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1C03688B-5E88-483F-8E91-CCCBB75425E5}" xr6:coauthVersionLast="47" xr6:coauthVersionMax="47" xr10:uidLastSave="{00000000-0000-0000-0000-000000000000}"/>
  <bookViews>
    <workbookView xWindow="-120" yWindow="-120" windowWidth="20730" windowHeight="11310" firstSheet="286" activeTab="290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02" l="1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T12" i="302" l="1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D6" i="286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<sst xmlns="http://schemas.openxmlformats.org/spreadsheetml/2006/main" count="25694" uniqueCount="542">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</sst>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916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theme" Target="theme/theme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styles" Target="styles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sharedStrings" Target="sharedString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calcChain" Target="calcChain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834" t="s">
        <v>1</v>
      </c>
      <c r="C2" s="1834"/>
      <c r="D2" s="1834"/>
      <c r="E2" s="1834"/>
      <c r="F2" s="1834"/>
      <c r="G2" s="1834"/>
    </row>
    <row r="3" spans="2:7" ht="15.75" x14ac:dyDescent="0.25">
      <c r="B3" s="1835" t="s">
        <v>0</v>
      </c>
      <c r="C3" s="1835"/>
      <c r="D3" s="1835"/>
      <c r="E3" s="1835"/>
      <c r="F3" s="1835"/>
      <c r="G3" s="1835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836" t="s">
        <v>18</v>
      </c>
      <c r="C15" s="1836"/>
      <c r="D15" s="1836"/>
      <c r="E15" s="1836"/>
      <c r="F15" s="1837"/>
      <c r="G15" s="1"/>
    </row>
    <row r="16" spans="2:7" ht="18.75" customHeight="1" x14ac:dyDescent="0.25">
      <c r="B16" s="1836" t="s">
        <v>19</v>
      </c>
      <c r="C16" s="1836"/>
      <c r="D16" s="1836"/>
      <c r="E16" s="1836"/>
      <c r="F16" s="1837"/>
      <c r="G16" s="1"/>
    </row>
    <row r="17" spans="1:7" ht="20.25" customHeight="1" x14ac:dyDescent="0.25">
      <c r="B17" s="1836" t="s">
        <v>20</v>
      </c>
      <c r="C17" s="1836"/>
      <c r="D17" s="1836"/>
      <c r="E17" s="1836"/>
      <c r="F17" s="1837"/>
      <c r="G17" s="1"/>
    </row>
    <row r="18" spans="1:7" ht="19.5" customHeight="1" x14ac:dyDescent="0.25">
      <c r="B18" s="1836" t="s">
        <v>21</v>
      </c>
      <c r="C18" s="1836"/>
      <c r="D18" s="1836"/>
      <c r="E18" s="1836"/>
      <c r="F18" s="1837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834" t="s">
        <v>1</v>
      </c>
      <c r="C26" s="1834"/>
      <c r="D26" s="1834"/>
      <c r="E26" s="1834"/>
      <c r="F26" s="1834"/>
      <c r="G26" s="1834"/>
    </row>
    <row r="27" spans="1:7" ht="15.75" x14ac:dyDescent="0.25">
      <c r="B27" s="1835" t="s">
        <v>0</v>
      </c>
      <c r="C27" s="1835"/>
      <c r="D27" s="1835"/>
      <c r="E27" s="1835"/>
      <c r="F27" s="1835"/>
      <c r="G27" s="1835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836" t="s">
        <v>18</v>
      </c>
      <c r="C39" s="1836"/>
      <c r="D39" s="1836"/>
      <c r="E39" s="1836"/>
      <c r="F39" s="1837"/>
      <c r="G39" s="8"/>
    </row>
    <row r="40" spans="2:7" ht="17.25" customHeight="1" x14ac:dyDescent="0.25">
      <c r="B40" s="1836" t="s">
        <v>19</v>
      </c>
      <c r="C40" s="1836"/>
      <c r="D40" s="1836"/>
      <c r="E40" s="1836"/>
      <c r="F40" s="1837"/>
      <c r="G40" s="8"/>
    </row>
    <row r="41" spans="2:7" ht="16.5" customHeight="1" x14ac:dyDescent="0.25">
      <c r="B41" s="1836" t="s">
        <v>20</v>
      </c>
      <c r="C41" s="1836"/>
      <c r="D41" s="1836"/>
      <c r="E41" s="1836"/>
      <c r="F41" s="1837"/>
      <c r="G41" s="8"/>
    </row>
    <row r="42" spans="2:7" ht="20.25" customHeight="1" x14ac:dyDescent="0.25">
      <c r="B42" s="1836" t="s">
        <v>21</v>
      </c>
      <c r="C42" s="1836"/>
      <c r="D42" s="1836"/>
      <c r="E42" s="1836"/>
      <c r="F42" s="1837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842" t="s">
        <v>78</v>
      </c>
      <c r="S3" s="1842"/>
      <c r="T3" s="1842"/>
      <c r="U3" s="1842"/>
      <c r="V3" s="1842"/>
      <c r="W3" s="1842"/>
    </row>
    <row r="4" spans="1:23" s="2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25" customFormat="1" ht="25.5" customHeight="1" x14ac:dyDescent="0.25">
      <c r="A5" s="1843"/>
      <c r="B5" s="1843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51" t="s">
        <v>46</v>
      </c>
      <c r="S14" s="24" t="s">
        <v>54</v>
      </c>
      <c r="T14" s="1852">
        <v>18790</v>
      </c>
      <c r="U14" s="1853"/>
      <c r="V14" s="1854"/>
    </row>
    <row r="15" spans="1:23" ht="22.5" customHeight="1" x14ac:dyDescent="0.25">
      <c r="A15" s="11" t="s">
        <v>38</v>
      </c>
      <c r="B15" s="1852">
        <v>228814</v>
      </c>
      <c r="C15" s="1854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851"/>
      <c r="S15" s="24" t="s">
        <v>64</v>
      </c>
      <c r="T15" s="1855">
        <v>10551</v>
      </c>
      <c r="U15" s="1855"/>
      <c r="V15" s="1855"/>
    </row>
    <row r="16" spans="1:23" ht="24.75" customHeight="1" x14ac:dyDescent="0.25">
      <c r="A16" s="11" t="s">
        <v>39</v>
      </c>
      <c r="B16" s="1852">
        <v>306468</v>
      </c>
      <c r="C16" s="1854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856" t="s">
        <v>55</v>
      </c>
      <c r="S16" s="1856"/>
      <c r="T16" s="1857">
        <f>W12</f>
        <v>201989.47</v>
      </c>
      <c r="U16" s="1857"/>
      <c r="V16" s="1855"/>
    </row>
    <row r="17" spans="1:23" ht="24.75" customHeight="1" x14ac:dyDescent="0.25">
      <c r="A17" s="11" t="s">
        <v>44</v>
      </c>
      <c r="B17" s="1852">
        <v>73611</v>
      </c>
      <c r="C17" s="1854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856" t="s">
        <v>56</v>
      </c>
      <c r="S17" s="1856"/>
      <c r="T17" s="1855"/>
      <c r="U17" s="1855"/>
      <c r="V17" s="1855"/>
    </row>
    <row r="18" spans="1:23" ht="27" customHeight="1" x14ac:dyDescent="0.25">
      <c r="A18" s="11" t="s">
        <v>40</v>
      </c>
      <c r="B18" s="1858">
        <f>C12</f>
        <v>192892</v>
      </c>
      <c r="C18" s="1854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856" t="s">
        <v>57</v>
      </c>
      <c r="S18" s="1856"/>
      <c r="T18" s="1855">
        <v>3570</v>
      </c>
      <c r="U18" s="1855"/>
      <c r="V18" s="1855"/>
      <c r="W18" s="14" t="s">
        <v>53</v>
      </c>
    </row>
    <row r="19" spans="1:23" ht="25.5" customHeight="1" x14ac:dyDescent="0.25">
      <c r="A19" s="11" t="s">
        <v>41</v>
      </c>
      <c r="B19" s="1852">
        <f>B15+B16+B17-B18</f>
        <v>416001</v>
      </c>
      <c r="C19" s="1854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859" t="s">
        <v>48</v>
      </c>
      <c r="S19" s="16" t="s">
        <v>58</v>
      </c>
      <c r="T19" s="1855">
        <v>205300</v>
      </c>
      <c r="U19" s="1855"/>
      <c r="V19" s="185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60"/>
      <c r="S20" s="16" t="s">
        <v>59</v>
      </c>
      <c r="T20" s="1855"/>
      <c r="U20" s="1855"/>
      <c r="V20" s="1855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56" t="s">
        <v>60</v>
      </c>
      <c r="S21" s="1856"/>
      <c r="T21" s="1855">
        <v>205300</v>
      </c>
      <c r="U21" s="1855"/>
      <c r="V21" s="1855"/>
    </row>
    <row r="22" spans="1:23" ht="20.25" customHeight="1" x14ac:dyDescent="0.25">
      <c r="A22" s="10"/>
      <c r="B22" s="1862" t="s">
        <v>49</v>
      </c>
      <c r="C22" s="1855">
        <v>573346</v>
      </c>
      <c r="D22" s="1855">
        <v>205300</v>
      </c>
      <c r="E22" s="1855">
        <v>580775</v>
      </c>
      <c r="F22" s="185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56" t="s">
        <v>61</v>
      </c>
      <c r="S22" s="1856"/>
      <c r="T22" s="1855">
        <v>205300</v>
      </c>
      <c r="U22" s="1855"/>
      <c r="V22" s="1855"/>
    </row>
    <row r="23" spans="1:23" ht="47.25" customHeight="1" x14ac:dyDescent="0.25">
      <c r="A23" s="10"/>
      <c r="B23" s="1862"/>
      <c r="C23" s="1855"/>
      <c r="D23" s="1855"/>
      <c r="E23" s="1855"/>
      <c r="F23" s="18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51" t="s">
        <v>47</v>
      </c>
      <c r="S23" s="17" t="s">
        <v>62</v>
      </c>
      <c r="T23" s="1861">
        <f>T14+T16+T17-T18-T19-T20-T21+T22</f>
        <v>11909.470000000001</v>
      </c>
      <c r="U23" s="1861"/>
      <c r="V23" s="1861"/>
    </row>
    <row r="24" spans="1:23" ht="27" customHeight="1" x14ac:dyDescent="0.25">
      <c r="B24" s="1862"/>
      <c r="C24" s="24" t="s">
        <v>46</v>
      </c>
      <c r="D24" s="24" t="s">
        <v>50</v>
      </c>
      <c r="E24" s="24" t="s">
        <v>51</v>
      </c>
      <c r="F24" s="24" t="s">
        <v>52</v>
      </c>
      <c r="R24" s="1851"/>
      <c r="S24" s="17" t="s">
        <v>63</v>
      </c>
      <c r="T24" s="1855">
        <f>T15+T21-T22</f>
        <v>10551</v>
      </c>
      <c r="U24" s="1855"/>
      <c r="V24" s="1855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842" t="s">
        <v>79</v>
      </c>
      <c r="S3" s="1842"/>
      <c r="T3" s="1842"/>
      <c r="U3" s="1842"/>
      <c r="V3" s="1842"/>
      <c r="W3" s="1842"/>
    </row>
    <row r="4" spans="1:23" s="3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34" customFormat="1" ht="25.5" customHeight="1" x14ac:dyDescent="0.25">
      <c r="A5" s="1843"/>
      <c r="B5" s="184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51" t="s">
        <v>46</v>
      </c>
      <c r="S14" s="37" t="s">
        <v>54</v>
      </c>
      <c r="T14" s="1852">
        <v>11909</v>
      </c>
      <c r="U14" s="1853"/>
      <c r="V14" s="1854"/>
    </row>
    <row r="15" spans="1:23" ht="22.5" customHeight="1" x14ac:dyDescent="0.25">
      <c r="A15" s="11" t="s">
        <v>38</v>
      </c>
      <c r="B15" s="1852">
        <v>416001</v>
      </c>
      <c r="C15" s="1854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851"/>
      <c r="S15" s="37" t="s">
        <v>64</v>
      </c>
      <c r="T15" s="1855">
        <v>10551</v>
      </c>
      <c r="U15" s="1855"/>
      <c r="V15" s="1855"/>
    </row>
    <row r="16" spans="1:23" ht="24.75" customHeight="1" x14ac:dyDescent="0.25">
      <c r="A16" s="11" t="s">
        <v>39</v>
      </c>
      <c r="B16" s="1852"/>
      <c r="C16" s="1854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856" t="s">
        <v>55</v>
      </c>
      <c r="S16" s="1856"/>
      <c r="T16" s="1857">
        <f>W12</f>
        <v>257387.58500000002</v>
      </c>
      <c r="U16" s="1857"/>
      <c r="V16" s="1855"/>
    </row>
    <row r="17" spans="1:23" ht="24.75" customHeight="1" x14ac:dyDescent="0.25">
      <c r="A17" s="11" t="s">
        <v>44</v>
      </c>
      <c r="B17" s="1852"/>
      <c r="C17" s="1854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856" t="s">
        <v>56</v>
      </c>
      <c r="S17" s="1856"/>
      <c r="T17" s="1855"/>
      <c r="U17" s="1855"/>
      <c r="V17" s="1855"/>
    </row>
    <row r="18" spans="1:23" ht="27" customHeight="1" x14ac:dyDescent="0.25">
      <c r="A18" s="11" t="s">
        <v>40</v>
      </c>
      <c r="B18" s="1858">
        <f>C12</f>
        <v>89906</v>
      </c>
      <c r="C18" s="1854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856" t="s">
        <v>57</v>
      </c>
      <c r="S18" s="1856"/>
      <c r="T18" s="1855">
        <v>530</v>
      </c>
      <c r="U18" s="1855"/>
      <c r="V18" s="1855"/>
      <c r="W18" s="1865" t="s">
        <v>81</v>
      </c>
    </row>
    <row r="19" spans="1:23" ht="25.5" customHeight="1" x14ac:dyDescent="0.25">
      <c r="A19" s="11" t="s">
        <v>41</v>
      </c>
      <c r="B19" s="1852">
        <f>B15+B16+B17-B18</f>
        <v>326095</v>
      </c>
      <c r="C19" s="1854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859" t="s">
        <v>48</v>
      </c>
      <c r="S19" s="16" t="s">
        <v>58</v>
      </c>
      <c r="T19" s="1855"/>
      <c r="U19" s="1855"/>
      <c r="V19" s="1855"/>
      <c r="W19" s="186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60"/>
      <c r="S20" s="16" t="s">
        <v>59</v>
      </c>
      <c r="T20" s="1855"/>
      <c r="U20" s="1855"/>
      <c r="V20" s="1855"/>
      <c r="W20" s="186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80</v>
      </c>
      <c r="S21" s="48" t="s">
        <v>60</v>
      </c>
      <c r="T21" s="1855"/>
      <c r="U21" s="1855"/>
      <c r="V21" s="1855"/>
      <c r="W21" s="1865"/>
    </row>
    <row r="22" spans="1:23" ht="29.25" customHeight="1" x14ac:dyDescent="0.25">
      <c r="A22" s="10"/>
      <c r="B22" s="1862" t="s">
        <v>49</v>
      </c>
      <c r="C22" s="1866">
        <v>948821</v>
      </c>
      <c r="D22" s="1855"/>
      <c r="E22" s="1855"/>
      <c r="F22" s="1855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48" t="s">
        <v>61</v>
      </c>
      <c r="T22" s="1855"/>
      <c r="U22" s="1855"/>
      <c r="V22" s="1855"/>
      <c r="W22" s="1865"/>
    </row>
    <row r="23" spans="1:23" ht="47.25" customHeight="1" x14ac:dyDescent="0.25">
      <c r="A23" s="10"/>
      <c r="B23" s="1862"/>
      <c r="C23" s="1867"/>
      <c r="D23" s="1855"/>
      <c r="E23" s="1855"/>
      <c r="F23" s="18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51" t="s">
        <v>47</v>
      </c>
      <c r="S23" s="17" t="s">
        <v>62</v>
      </c>
      <c r="T23" s="1861">
        <f>T14+T16+T17-T18-T19-T20-T21+T22</f>
        <v>268766.58500000002</v>
      </c>
      <c r="U23" s="1861"/>
      <c r="V23" s="1861"/>
      <c r="W23" s="1865"/>
    </row>
    <row r="24" spans="1:23" ht="27" customHeight="1" x14ac:dyDescent="0.25">
      <c r="B24" s="1862"/>
      <c r="C24" s="37" t="s">
        <v>46</v>
      </c>
      <c r="D24" s="37" t="s">
        <v>50</v>
      </c>
      <c r="E24" s="37" t="s">
        <v>51</v>
      </c>
      <c r="F24" s="37" t="s">
        <v>52</v>
      </c>
      <c r="R24" s="1851"/>
      <c r="S24" s="17" t="s">
        <v>63</v>
      </c>
      <c r="T24" s="1855">
        <f>T15+T21-T22</f>
        <v>10551</v>
      </c>
      <c r="U24" s="1855"/>
      <c r="V24" s="1855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842" t="s">
        <v>82</v>
      </c>
      <c r="S3" s="1842"/>
      <c r="T3" s="1842"/>
      <c r="U3" s="1842"/>
      <c r="V3" s="1842"/>
      <c r="W3" s="1842"/>
    </row>
    <row r="4" spans="1:23" s="3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34" customFormat="1" ht="25.5" customHeight="1" x14ac:dyDescent="0.25">
      <c r="A5" s="1843"/>
      <c r="B5" s="184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49" t="s">
        <v>46</v>
      </c>
      <c r="S14" s="35" t="s">
        <v>54</v>
      </c>
      <c r="T14" s="1852">
        <v>268767</v>
      </c>
      <c r="U14" s="1853"/>
      <c r="V14" s="1854"/>
    </row>
    <row r="15" spans="1:23" ht="22.5" customHeight="1" x14ac:dyDescent="0.25">
      <c r="A15" s="11" t="s">
        <v>38</v>
      </c>
      <c r="B15" s="1852">
        <v>326095</v>
      </c>
      <c r="C15" s="1854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849"/>
      <c r="S15" s="35" t="s">
        <v>64</v>
      </c>
      <c r="T15" s="1855">
        <v>10551</v>
      </c>
      <c r="U15" s="1855"/>
      <c r="V15" s="1855"/>
    </row>
    <row r="16" spans="1:23" ht="24.75" customHeight="1" x14ac:dyDescent="0.25">
      <c r="A16" s="11" t="s">
        <v>39</v>
      </c>
      <c r="B16" s="1852">
        <v>49140</v>
      </c>
      <c r="C16" s="1854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871" t="s">
        <v>55</v>
      </c>
      <c r="S16" s="1871"/>
      <c r="T16" s="1857">
        <f>W12</f>
        <v>261245.92499999999</v>
      </c>
      <c r="U16" s="1857"/>
      <c r="V16" s="1855"/>
    </row>
    <row r="17" spans="1:23" ht="24.75" customHeight="1" x14ac:dyDescent="0.25">
      <c r="A17" s="11" t="s">
        <v>44</v>
      </c>
      <c r="B17" s="1852"/>
      <c r="C17" s="1854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871" t="s">
        <v>85</v>
      </c>
      <c r="S17" s="1871"/>
      <c r="T17" s="1855">
        <v>9090</v>
      </c>
      <c r="U17" s="1855"/>
      <c r="V17" s="1855"/>
    </row>
    <row r="18" spans="1:23" ht="27" customHeight="1" x14ac:dyDescent="0.25">
      <c r="A18" s="11" t="s">
        <v>40</v>
      </c>
      <c r="B18" s="1858">
        <f>C12</f>
        <v>111530</v>
      </c>
      <c r="C18" s="1854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871" t="s">
        <v>57</v>
      </c>
      <c r="S18" s="1871"/>
      <c r="T18" s="1855">
        <f>530+200+1600+70850</f>
        <v>73180</v>
      </c>
      <c r="U18" s="1855"/>
      <c r="V18" s="1855"/>
      <c r="W18" s="1868" t="s">
        <v>84</v>
      </c>
    </row>
    <row r="19" spans="1:23" ht="25.5" customHeight="1" x14ac:dyDescent="0.25">
      <c r="A19" s="11" t="s">
        <v>41</v>
      </c>
      <c r="B19" s="1852">
        <f>B15+B16+B17-B18</f>
        <v>263705</v>
      </c>
      <c r="C19" s="1854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869" t="s">
        <v>48</v>
      </c>
      <c r="S19" s="49" t="s">
        <v>58</v>
      </c>
      <c r="T19" s="1855">
        <v>455600</v>
      </c>
      <c r="U19" s="1855"/>
      <c r="V19" s="1855"/>
      <c r="W19" s="18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55"/>
      <c r="U20" s="1855"/>
      <c r="V20" s="1855"/>
      <c r="W20" s="18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55">
        <f>258100+34250+15600+58100+37440+52110</f>
        <v>455600</v>
      </c>
      <c r="U21" s="1855"/>
      <c r="V21" s="1855"/>
      <c r="W21" s="1868"/>
    </row>
    <row r="22" spans="1:23" ht="29.25" customHeight="1" x14ac:dyDescent="0.25">
      <c r="A22" s="10"/>
      <c r="B22" s="1872" t="s">
        <v>49</v>
      </c>
      <c r="C22" s="1866">
        <v>948821</v>
      </c>
      <c r="D22" s="1855">
        <v>455600</v>
      </c>
      <c r="E22" s="1855">
        <v>47297</v>
      </c>
      <c r="F22" s="1855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55">
        <v>455600</v>
      </c>
      <c r="U22" s="1855"/>
      <c r="V22" s="1855"/>
      <c r="W22" s="1868"/>
    </row>
    <row r="23" spans="1:23" ht="47.25" customHeight="1" x14ac:dyDescent="0.25">
      <c r="A23" s="10"/>
      <c r="B23" s="1872"/>
      <c r="C23" s="1867"/>
      <c r="D23" s="1855"/>
      <c r="E23" s="1855"/>
      <c r="F23" s="18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61">
        <f>T14+T16+T17-T18-T19-T20-T21+T22</f>
        <v>10322.925000000047</v>
      </c>
      <c r="U23" s="1861"/>
      <c r="V23" s="1861"/>
      <c r="W23" s="1868"/>
    </row>
    <row r="24" spans="1:23" ht="27" customHeight="1" x14ac:dyDescent="0.25">
      <c r="B24" s="1872"/>
      <c r="C24" s="35" t="s">
        <v>46</v>
      </c>
      <c r="D24" s="35" t="s">
        <v>50</v>
      </c>
      <c r="E24" s="35" t="s">
        <v>51</v>
      </c>
      <c r="F24" s="35" t="s">
        <v>52</v>
      </c>
      <c r="R24" s="1849"/>
      <c r="S24" s="51" t="s">
        <v>63</v>
      </c>
      <c r="T24" s="1855">
        <f>T15+T21-T22</f>
        <v>10551</v>
      </c>
      <c r="U24" s="1855"/>
      <c r="V24" s="185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842" t="s">
        <v>86</v>
      </c>
      <c r="S3" s="1842"/>
      <c r="T3" s="1842"/>
      <c r="U3" s="1842"/>
      <c r="V3" s="1842"/>
      <c r="W3" s="1842"/>
    </row>
    <row r="4" spans="1:23" s="3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34" customFormat="1" ht="25.5" customHeight="1" x14ac:dyDescent="0.25">
      <c r="A5" s="1843"/>
      <c r="B5" s="1843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49" t="s">
        <v>46</v>
      </c>
      <c r="S14" s="35" t="s">
        <v>54</v>
      </c>
      <c r="T14" s="1852">
        <v>10323</v>
      </c>
      <c r="U14" s="1853"/>
      <c r="V14" s="1854"/>
    </row>
    <row r="15" spans="1:23" ht="22.5" customHeight="1" x14ac:dyDescent="0.25">
      <c r="A15" s="11" t="s">
        <v>38</v>
      </c>
      <c r="B15" s="1852">
        <v>263705</v>
      </c>
      <c r="C15" s="1854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849"/>
      <c r="S15" s="35" t="s">
        <v>64</v>
      </c>
      <c r="T15" s="1855">
        <v>10551</v>
      </c>
      <c r="U15" s="1855"/>
      <c r="V15" s="1855"/>
    </row>
    <row r="16" spans="1:23" ht="24.75" customHeight="1" x14ac:dyDescent="0.25">
      <c r="A16" s="11" t="s">
        <v>39</v>
      </c>
      <c r="B16" s="1852">
        <v>132416</v>
      </c>
      <c r="C16" s="1854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871" t="s">
        <v>55</v>
      </c>
      <c r="S16" s="1871"/>
      <c r="T16" s="1857">
        <f>W12</f>
        <v>156409.50749999998</v>
      </c>
      <c r="U16" s="1857"/>
      <c r="V16" s="1855"/>
    </row>
    <row r="17" spans="1:23" ht="24.75" customHeight="1" x14ac:dyDescent="0.25">
      <c r="A17" s="11" t="s">
        <v>44</v>
      </c>
      <c r="B17" s="1852"/>
      <c r="C17" s="1854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871" t="s">
        <v>87</v>
      </c>
      <c r="S17" s="1871"/>
      <c r="T17" s="1855">
        <v>100000</v>
      </c>
      <c r="U17" s="1855"/>
      <c r="V17" s="1855"/>
    </row>
    <row r="18" spans="1:23" ht="27" customHeight="1" x14ac:dyDescent="0.25">
      <c r="A18" s="11" t="s">
        <v>40</v>
      </c>
      <c r="B18" s="1858">
        <f>C12</f>
        <v>131727</v>
      </c>
      <c r="C18" s="1854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871" t="s">
        <v>57</v>
      </c>
      <c r="S18" s="1871"/>
      <c r="T18" s="1855">
        <f>530+8000</f>
        <v>8530</v>
      </c>
      <c r="U18" s="1855"/>
      <c r="V18" s="1855"/>
      <c r="W18" s="1873" t="s">
        <v>88</v>
      </c>
    </row>
    <row r="19" spans="1:23" ht="25.5" customHeight="1" x14ac:dyDescent="0.25">
      <c r="A19" s="11" t="s">
        <v>41</v>
      </c>
      <c r="B19" s="1852">
        <f>B15+B16+B17-B18</f>
        <v>264394</v>
      </c>
      <c r="C19" s="1854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869" t="s">
        <v>48</v>
      </c>
      <c r="S19" s="49" t="s">
        <v>58</v>
      </c>
      <c r="T19" s="1855">
        <v>247140</v>
      </c>
      <c r="U19" s="1855"/>
      <c r="V19" s="1855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55"/>
      <c r="U20" s="1855"/>
      <c r="V20" s="1855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55">
        <v>147140</v>
      </c>
      <c r="U21" s="1855"/>
      <c r="V21" s="1855"/>
      <c r="W21" s="1873"/>
    </row>
    <row r="22" spans="1:23" ht="29.25" customHeight="1" x14ac:dyDescent="0.25">
      <c r="A22" s="10"/>
      <c r="B22" s="1872" t="s">
        <v>49</v>
      </c>
      <c r="C22" s="1866">
        <v>540518</v>
      </c>
      <c r="D22" s="1855">
        <v>247140</v>
      </c>
      <c r="E22" s="1855">
        <v>246962</v>
      </c>
      <c r="F22" s="1855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55">
        <v>147140</v>
      </c>
      <c r="U22" s="1855"/>
      <c r="V22" s="1855"/>
      <c r="W22" s="1873"/>
    </row>
    <row r="23" spans="1:23" ht="47.25" customHeight="1" x14ac:dyDescent="0.25">
      <c r="A23" s="10"/>
      <c r="B23" s="1872"/>
      <c r="C23" s="1867"/>
      <c r="D23" s="1855"/>
      <c r="E23" s="1855"/>
      <c r="F23" s="18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61">
        <f>T14+T16+T17-T18-T19-T20-T21+T22</f>
        <v>11062.507499999949</v>
      </c>
      <c r="U23" s="1861"/>
      <c r="V23" s="1861"/>
      <c r="W23" s="1873"/>
    </row>
    <row r="24" spans="1:23" ht="27" customHeight="1" x14ac:dyDescent="0.25">
      <c r="B24" s="1872"/>
      <c r="C24" s="35" t="s">
        <v>46</v>
      </c>
      <c r="D24" s="35" t="s">
        <v>50</v>
      </c>
      <c r="E24" s="35" t="s">
        <v>51</v>
      </c>
      <c r="F24" s="35" t="s">
        <v>52</v>
      </c>
      <c r="R24" s="1849"/>
      <c r="S24" s="51" t="s">
        <v>63</v>
      </c>
      <c r="T24" s="1855">
        <f>T15+T21-T22</f>
        <v>10551</v>
      </c>
      <c r="U24" s="1855"/>
      <c r="V24" s="185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842" t="s">
        <v>89</v>
      </c>
      <c r="S3" s="1842"/>
      <c r="T3" s="1842"/>
      <c r="U3" s="1842"/>
      <c r="V3" s="1842"/>
      <c r="W3" s="1842"/>
    </row>
    <row r="4" spans="1:23" s="4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47" customFormat="1" ht="25.5" customHeight="1" x14ac:dyDescent="0.25">
      <c r="A5" s="1843"/>
      <c r="B5" s="1843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49" t="s">
        <v>46</v>
      </c>
      <c r="S14" s="45" t="s">
        <v>54</v>
      </c>
      <c r="T14" s="1852">
        <v>11063</v>
      </c>
      <c r="U14" s="1853"/>
      <c r="V14" s="1854"/>
    </row>
    <row r="15" spans="1:23" ht="22.5" customHeight="1" x14ac:dyDescent="0.25">
      <c r="A15" s="11" t="s">
        <v>38</v>
      </c>
      <c r="B15" s="1852">
        <v>264394</v>
      </c>
      <c r="C15" s="1854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849"/>
      <c r="S15" s="45" t="s">
        <v>64</v>
      </c>
      <c r="T15" s="1855">
        <v>10551</v>
      </c>
      <c r="U15" s="1855"/>
      <c r="V15" s="1855"/>
    </row>
    <row r="16" spans="1:23" ht="24.75" customHeight="1" x14ac:dyDescent="0.25">
      <c r="A16" s="11" t="s">
        <v>39</v>
      </c>
      <c r="B16" s="1852">
        <v>365506</v>
      </c>
      <c r="C16" s="1854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871" t="s">
        <v>55</v>
      </c>
      <c r="S16" s="1871"/>
      <c r="T16" s="1857">
        <f>W12</f>
        <v>550865.56500000006</v>
      </c>
      <c r="U16" s="1857"/>
      <c r="V16" s="1855"/>
    </row>
    <row r="17" spans="1:23" ht="24.75" customHeight="1" x14ac:dyDescent="0.25">
      <c r="A17" s="11" t="s">
        <v>44</v>
      </c>
      <c r="B17" s="1852">
        <v>54264</v>
      </c>
      <c r="C17" s="1854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871" t="s">
        <v>87</v>
      </c>
      <c r="S17" s="1871"/>
      <c r="T17" s="1855"/>
      <c r="U17" s="1855"/>
      <c r="V17" s="1855"/>
    </row>
    <row r="18" spans="1:23" ht="27" customHeight="1" x14ac:dyDescent="0.25">
      <c r="A18" s="11" t="s">
        <v>40</v>
      </c>
      <c r="B18" s="1858">
        <f>C12</f>
        <v>548634</v>
      </c>
      <c r="C18" s="1854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871" t="s">
        <v>57</v>
      </c>
      <c r="S18" s="1871"/>
      <c r="T18" s="1855">
        <f>530+2286+100+6964+630</f>
        <v>10510</v>
      </c>
      <c r="U18" s="1855"/>
      <c r="V18" s="1855"/>
      <c r="W18" s="1873" t="s">
        <v>90</v>
      </c>
    </row>
    <row r="19" spans="1:23" ht="25.5" customHeight="1" x14ac:dyDescent="0.25">
      <c r="A19" s="11" t="s">
        <v>41</v>
      </c>
      <c r="B19" s="1852">
        <f>B15+B16+B17-B18</f>
        <v>135530</v>
      </c>
      <c r="C19" s="1854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869" t="s">
        <v>48</v>
      </c>
      <c r="S19" s="49" t="s">
        <v>58</v>
      </c>
      <c r="T19" s="1855">
        <v>540560</v>
      </c>
      <c r="U19" s="1855"/>
      <c r="V19" s="1855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55"/>
      <c r="U20" s="1855"/>
      <c r="V20" s="1855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55">
        <v>76510</v>
      </c>
      <c r="U21" s="1855"/>
      <c r="V21" s="1855"/>
      <c r="W21" s="1873"/>
    </row>
    <row r="22" spans="1:23" ht="29.25" customHeight="1" x14ac:dyDescent="0.25">
      <c r="A22" s="10"/>
      <c r="B22" s="1872" t="s">
        <v>49</v>
      </c>
      <c r="C22" s="1866">
        <v>540518</v>
      </c>
      <c r="D22" s="1855">
        <v>540560</v>
      </c>
      <c r="E22" s="1855">
        <v>400000</v>
      </c>
      <c r="F22" s="185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55">
        <v>76410</v>
      </c>
      <c r="U22" s="1855"/>
      <c r="V22" s="1855"/>
      <c r="W22" s="1873"/>
    </row>
    <row r="23" spans="1:23" ht="47.25" customHeight="1" x14ac:dyDescent="0.25">
      <c r="A23" s="10"/>
      <c r="B23" s="1872"/>
      <c r="C23" s="1867"/>
      <c r="D23" s="1855"/>
      <c r="E23" s="1855"/>
      <c r="F23" s="18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61">
        <f>T14+T16+T17-T18-T19-T20-T21+T22</f>
        <v>10758.565000000061</v>
      </c>
      <c r="U23" s="1861"/>
      <c r="V23" s="1861"/>
      <c r="W23" s="1873"/>
    </row>
    <row r="24" spans="1:23" ht="27" customHeight="1" x14ac:dyDescent="0.25">
      <c r="B24" s="1872"/>
      <c r="C24" s="45" t="s">
        <v>46</v>
      </c>
      <c r="D24" s="45" t="s">
        <v>50</v>
      </c>
      <c r="E24" s="45" t="s">
        <v>51</v>
      </c>
      <c r="F24" s="45" t="s">
        <v>52</v>
      </c>
      <c r="R24" s="1849"/>
      <c r="S24" s="51" t="s">
        <v>63</v>
      </c>
      <c r="T24" s="1855">
        <f>T15+T21-T22</f>
        <v>10651</v>
      </c>
      <c r="U24" s="1855"/>
      <c r="V24" s="18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842" t="s">
        <v>91</v>
      </c>
      <c r="S3" s="1842"/>
      <c r="T3" s="1842"/>
      <c r="U3" s="1842"/>
      <c r="V3" s="1842"/>
      <c r="W3" s="1842"/>
    </row>
    <row r="4" spans="1:23" s="5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52" customFormat="1" ht="25.5" customHeight="1" x14ac:dyDescent="0.25">
      <c r="A5" s="1843"/>
      <c r="B5" s="1843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49" t="s">
        <v>46</v>
      </c>
      <c r="S14" s="53" t="s">
        <v>54</v>
      </c>
      <c r="T14" s="1852">
        <v>10759</v>
      </c>
      <c r="U14" s="1853"/>
      <c r="V14" s="1854"/>
    </row>
    <row r="15" spans="1:23" ht="22.5" customHeight="1" x14ac:dyDescent="0.25">
      <c r="A15" s="11" t="s">
        <v>38</v>
      </c>
      <c r="B15" s="1852">
        <v>135530</v>
      </c>
      <c r="C15" s="1854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849"/>
      <c r="S15" s="53" t="s">
        <v>64</v>
      </c>
      <c r="T15" s="1855">
        <v>10651</v>
      </c>
      <c r="U15" s="1855"/>
      <c r="V15" s="1855"/>
    </row>
    <row r="16" spans="1:23" ht="24.75" customHeight="1" x14ac:dyDescent="0.25">
      <c r="A16" s="11" t="s">
        <v>39</v>
      </c>
      <c r="B16" s="1852">
        <v>93506</v>
      </c>
      <c r="C16" s="1854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871" t="s">
        <v>55</v>
      </c>
      <c r="S16" s="1871"/>
      <c r="T16" s="1857">
        <f>W12</f>
        <v>145758.29999999999</v>
      </c>
      <c r="U16" s="1857"/>
      <c r="V16" s="1855"/>
    </row>
    <row r="17" spans="1:23" ht="24.75" customHeight="1" x14ac:dyDescent="0.25">
      <c r="A17" s="11" t="s">
        <v>44</v>
      </c>
      <c r="B17" s="1852"/>
      <c r="C17" s="1854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871" t="s">
        <v>87</v>
      </c>
      <c r="S17" s="1871"/>
      <c r="T17" s="1855"/>
      <c r="U17" s="1855"/>
      <c r="V17" s="1855"/>
    </row>
    <row r="18" spans="1:23" ht="27" customHeight="1" x14ac:dyDescent="0.25">
      <c r="A18" s="11" t="s">
        <v>40</v>
      </c>
      <c r="B18" s="1858">
        <f>C12</f>
        <v>149880</v>
      </c>
      <c r="C18" s="1854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871" t="s">
        <v>57</v>
      </c>
      <c r="S18" s="1871"/>
      <c r="T18" s="1855">
        <f>530+870+200+400</f>
        <v>2000</v>
      </c>
      <c r="U18" s="1855"/>
      <c r="V18" s="1855"/>
      <c r="W18" s="1873" t="s">
        <v>92</v>
      </c>
    </row>
    <row r="19" spans="1:23" ht="25.5" customHeight="1" x14ac:dyDescent="0.25">
      <c r="A19" s="11" t="s">
        <v>41</v>
      </c>
      <c r="B19" s="1852">
        <f>B15+B16+B17-B18</f>
        <v>79156</v>
      </c>
      <c r="C19" s="1854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869" t="s">
        <v>48</v>
      </c>
      <c r="S19" s="49" t="s">
        <v>58</v>
      </c>
      <c r="T19" s="1855"/>
      <c r="U19" s="1855"/>
      <c r="V19" s="1855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55">
        <v>90000</v>
      </c>
      <c r="U20" s="1855"/>
      <c r="V20" s="1855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55"/>
      <c r="U21" s="1855"/>
      <c r="V21" s="1855"/>
      <c r="W21" s="1873"/>
    </row>
    <row r="22" spans="1:23" ht="29.25" customHeight="1" x14ac:dyDescent="0.25">
      <c r="A22" s="10"/>
      <c r="B22" s="1872" t="s">
        <v>49</v>
      </c>
      <c r="C22" s="1866">
        <v>399958</v>
      </c>
      <c r="D22" s="1855"/>
      <c r="E22" s="1855"/>
      <c r="F22" s="1855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55"/>
      <c r="U22" s="1855"/>
      <c r="V22" s="1855"/>
      <c r="W22" s="1873"/>
    </row>
    <row r="23" spans="1:23" ht="47.25" customHeight="1" x14ac:dyDescent="0.25">
      <c r="A23" s="10"/>
      <c r="B23" s="1872"/>
      <c r="C23" s="1867"/>
      <c r="D23" s="1855"/>
      <c r="E23" s="1855"/>
      <c r="F23" s="18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61">
        <f>T14+T16+T17-T18-T19-T20-T21+T22</f>
        <v>64517.299999999988</v>
      </c>
      <c r="U23" s="1861"/>
      <c r="V23" s="1861"/>
      <c r="W23" s="1873"/>
    </row>
    <row r="24" spans="1:23" ht="27" customHeight="1" x14ac:dyDescent="0.25">
      <c r="B24" s="1872"/>
      <c r="C24" s="53" t="s">
        <v>46</v>
      </c>
      <c r="D24" s="53" t="s">
        <v>50</v>
      </c>
      <c r="E24" s="53" t="s">
        <v>51</v>
      </c>
      <c r="F24" s="53" t="s">
        <v>52</v>
      </c>
      <c r="R24" s="1849"/>
      <c r="S24" s="51" t="s">
        <v>63</v>
      </c>
      <c r="T24" s="1855">
        <f>T15+T21-T22</f>
        <v>10651</v>
      </c>
      <c r="U24" s="1855"/>
      <c r="V24" s="185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842" t="s">
        <v>93</v>
      </c>
      <c r="S3" s="1842"/>
      <c r="T3" s="1842"/>
      <c r="U3" s="1842"/>
      <c r="V3" s="1842"/>
      <c r="W3" s="1842"/>
    </row>
    <row r="4" spans="1:23" s="6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65" customFormat="1" ht="25.5" customHeight="1" x14ac:dyDescent="0.25">
      <c r="A5" s="1843"/>
      <c r="B5" s="1843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49" t="s">
        <v>46</v>
      </c>
      <c r="S14" s="63" t="s">
        <v>54</v>
      </c>
      <c r="T14" s="1852">
        <v>64517</v>
      </c>
      <c r="U14" s="1853"/>
      <c r="V14" s="1854"/>
    </row>
    <row r="15" spans="1:23" ht="22.5" customHeight="1" x14ac:dyDescent="0.25">
      <c r="A15" s="11" t="s">
        <v>38</v>
      </c>
      <c r="B15" s="1852">
        <v>79156</v>
      </c>
      <c r="C15" s="1854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849"/>
      <c r="S15" s="63" t="s">
        <v>64</v>
      </c>
      <c r="T15" s="1855">
        <v>10651</v>
      </c>
      <c r="U15" s="1855"/>
      <c r="V15" s="1855"/>
    </row>
    <row r="16" spans="1:23" ht="24.75" customHeight="1" x14ac:dyDescent="0.25">
      <c r="A16" s="11" t="s">
        <v>39</v>
      </c>
      <c r="B16" s="1852">
        <v>130000</v>
      </c>
      <c r="C16" s="1854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871" t="s">
        <v>55</v>
      </c>
      <c r="S16" s="1871"/>
      <c r="T16" s="1857">
        <f>W12</f>
        <v>193285.3475</v>
      </c>
      <c r="U16" s="1857"/>
      <c r="V16" s="1855"/>
    </row>
    <row r="17" spans="1:23" ht="24.75" customHeight="1" x14ac:dyDescent="0.25">
      <c r="A17" s="11" t="s">
        <v>44</v>
      </c>
      <c r="B17" s="1852"/>
      <c r="C17" s="1854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871" t="s">
        <v>87</v>
      </c>
      <c r="S17" s="1871"/>
      <c r="T17" s="1855"/>
      <c r="U17" s="1855"/>
      <c r="V17" s="1855"/>
    </row>
    <row r="18" spans="1:23" ht="27" customHeight="1" x14ac:dyDescent="0.25">
      <c r="A18" s="11" t="s">
        <v>40</v>
      </c>
      <c r="B18" s="1858">
        <f>C12</f>
        <v>198751</v>
      </c>
      <c r="C18" s="1854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871" t="s">
        <v>57</v>
      </c>
      <c r="S18" s="1871"/>
      <c r="T18" s="1855">
        <f>1210+6000</f>
        <v>7210</v>
      </c>
      <c r="U18" s="1855"/>
      <c r="V18" s="1855"/>
      <c r="W18" s="1873" t="s">
        <v>94</v>
      </c>
    </row>
    <row r="19" spans="1:23" ht="25.5" customHeight="1" x14ac:dyDescent="0.25">
      <c r="A19" s="11" t="s">
        <v>41</v>
      </c>
      <c r="B19" s="1852">
        <f>B15+B16+B17-B18</f>
        <v>10405</v>
      </c>
      <c r="C19" s="1854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869" t="s">
        <v>48</v>
      </c>
      <c r="S19" s="49" t="s">
        <v>58</v>
      </c>
      <c r="T19" s="1855"/>
      <c r="U19" s="1855"/>
      <c r="V19" s="1855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55"/>
      <c r="U20" s="1855"/>
      <c r="V20" s="1855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55"/>
      <c r="U21" s="1855"/>
      <c r="V21" s="1855"/>
      <c r="W21" s="1873"/>
    </row>
    <row r="22" spans="1:23" ht="29.25" customHeight="1" x14ac:dyDescent="0.25">
      <c r="A22" s="10"/>
      <c r="B22" s="1872" t="s">
        <v>49</v>
      </c>
      <c r="C22" s="1866">
        <v>399958</v>
      </c>
      <c r="D22" s="1855"/>
      <c r="E22" s="1855">
        <v>125125</v>
      </c>
      <c r="F22" s="1855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55"/>
      <c r="U22" s="1855"/>
      <c r="V22" s="1855"/>
      <c r="W22" s="1873"/>
    </row>
    <row r="23" spans="1:23" ht="47.25" customHeight="1" x14ac:dyDescent="0.25">
      <c r="A23" s="10"/>
      <c r="B23" s="1872"/>
      <c r="C23" s="1867"/>
      <c r="D23" s="1855"/>
      <c r="E23" s="1855"/>
      <c r="F23" s="18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61">
        <f>T14+T16+T17-T18-T19-T20-T21+T22</f>
        <v>250592.3475</v>
      </c>
      <c r="U23" s="1861"/>
      <c r="V23" s="1861"/>
      <c r="W23" s="1873"/>
    </row>
    <row r="24" spans="1:23" ht="27" customHeight="1" x14ac:dyDescent="0.25">
      <c r="B24" s="1872"/>
      <c r="C24" s="63" t="s">
        <v>46</v>
      </c>
      <c r="D24" s="63" t="s">
        <v>50</v>
      </c>
      <c r="E24" s="63" t="s">
        <v>51</v>
      </c>
      <c r="F24" s="63" t="s">
        <v>52</v>
      </c>
      <c r="R24" s="1849"/>
      <c r="S24" s="51" t="s">
        <v>63</v>
      </c>
      <c r="T24" s="1855">
        <f>T15+T21-T22</f>
        <v>10651</v>
      </c>
      <c r="U24" s="1855"/>
      <c r="V24" s="1855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842" t="s">
        <v>97</v>
      </c>
      <c r="S3" s="1842"/>
      <c r="T3" s="1842"/>
      <c r="U3" s="1842"/>
      <c r="V3" s="1842"/>
      <c r="W3" s="1842"/>
    </row>
    <row r="4" spans="1:23" s="6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66" customFormat="1" ht="25.5" customHeight="1" x14ac:dyDescent="0.25">
      <c r="A5" s="1843"/>
      <c r="B5" s="1843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849" t="s">
        <v>46</v>
      </c>
      <c r="S14" s="67" t="s">
        <v>54</v>
      </c>
      <c r="T14" s="1852">
        <v>250592</v>
      </c>
      <c r="U14" s="1853"/>
      <c r="V14" s="1854"/>
    </row>
    <row r="15" spans="1:23" ht="22.5" customHeight="1" x14ac:dyDescent="0.25">
      <c r="A15" s="11" t="s">
        <v>38</v>
      </c>
      <c r="B15" s="1852">
        <v>10405</v>
      </c>
      <c r="C15" s="1854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849"/>
      <c r="S15" s="67" t="s">
        <v>64</v>
      </c>
      <c r="T15" s="1855">
        <v>10651</v>
      </c>
      <c r="U15" s="1855"/>
      <c r="V15" s="1855"/>
    </row>
    <row r="16" spans="1:23" ht="24.75" customHeight="1" x14ac:dyDescent="0.25">
      <c r="A16" s="11" t="s">
        <v>39</v>
      </c>
      <c r="B16" s="1852">
        <v>244648</v>
      </c>
      <c r="C16" s="1854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871" t="s">
        <v>55</v>
      </c>
      <c r="S16" s="1871"/>
      <c r="T16" s="1857">
        <f>W12</f>
        <v>64616.3</v>
      </c>
      <c r="U16" s="1857"/>
      <c r="V16" s="1855"/>
    </row>
    <row r="17" spans="1:23" ht="24.75" customHeight="1" x14ac:dyDescent="0.25">
      <c r="A17" s="11" t="s">
        <v>44</v>
      </c>
      <c r="B17" s="1852"/>
      <c r="C17" s="1854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871" t="s">
        <v>95</v>
      </c>
      <c r="S17" s="1871"/>
      <c r="T17" s="1855">
        <v>2952</v>
      </c>
      <c r="U17" s="1855"/>
      <c r="V17" s="1855"/>
    </row>
    <row r="18" spans="1:23" ht="27" customHeight="1" x14ac:dyDescent="0.25">
      <c r="A18" s="11" t="s">
        <v>40</v>
      </c>
      <c r="B18" s="1858">
        <f>C12</f>
        <v>10280</v>
      </c>
      <c r="C18" s="1854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871" t="s">
        <v>57</v>
      </c>
      <c r="S18" s="1871"/>
      <c r="T18" s="1855">
        <f>150+100000+52229</f>
        <v>152379</v>
      </c>
      <c r="U18" s="1855"/>
      <c r="V18" s="1855"/>
      <c r="W18" s="1873" t="s">
        <v>96</v>
      </c>
    </row>
    <row r="19" spans="1:23" ht="25.5" customHeight="1" x14ac:dyDescent="0.25">
      <c r="A19" s="11" t="s">
        <v>41</v>
      </c>
      <c r="B19" s="1852">
        <f>B15+B16+B17-B18</f>
        <v>244773</v>
      </c>
      <c r="C19" s="1854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869" t="s">
        <v>48</v>
      </c>
      <c r="S19" s="49" t="s">
        <v>58</v>
      </c>
      <c r="T19" s="1855">
        <v>147000</v>
      </c>
      <c r="U19" s="1855"/>
      <c r="V19" s="1855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55"/>
      <c r="U20" s="1855"/>
      <c r="V20" s="1855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55">
        <v>147500</v>
      </c>
      <c r="U21" s="1855"/>
      <c r="V21" s="1855"/>
      <c r="W21" s="1873"/>
    </row>
    <row r="22" spans="1:23" ht="29.25" customHeight="1" x14ac:dyDescent="0.25">
      <c r="A22" s="10"/>
      <c r="B22" s="1872" t="s">
        <v>49</v>
      </c>
      <c r="C22" s="1866">
        <v>525083</v>
      </c>
      <c r="D22" s="1855">
        <v>147000</v>
      </c>
      <c r="E22" s="1855">
        <v>475410</v>
      </c>
      <c r="F22" s="1855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55">
        <v>147000</v>
      </c>
      <c r="U22" s="1855"/>
      <c r="V22" s="1855"/>
      <c r="W22" s="1873"/>
    </row>
    <row r="23" spans="1:23" ht="47.25" customHeight="1" x14ac:dyDescent="0.25">
      <c r="A23" s="10"/>
      <c r="B23" s="1872"/>
      <c r="C23" s="1867"/>
      <c r="D23" s="1855"/>
      <c r="E23" s="1855"/>
      <c r="F23" s="1855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61">
        <f>T14+T16+T17-T18-T19-T20-T21+T22</f>
        <v>18281.299999999988</v>
      </c>
      <c r="U23" s="1861"/>
      <c r="V23" s="1861"/>
      <c r="W23" s="1873"/>
    </row>
    <row r="24" spans="1:23" ht="27" customHeight="1" x14ac:dyDescent="0.25">
      <c r="B24" s="1872"/>
      <c r="C24" s="67" t="s">
        <v>46</v>
      </c>
      <c r="D24" s="67" t="s">
        <v>50</v>
      </c>
      <c r="E24" s="67" t="s">
        <v>51</v>
      </c>
      <c r="F24" s="67" t="s">
        <v>52</v>
      </c>
      <c r="R24" s="1849"/>
      <c r="S24" s="51" t="s">
        <v>63</v>
      </c>
      <c r="T24" s="1855">
        <f>T15+T21-T22</f>
        <v>11151</v>
      </c>
      <c r="U24" s="1855"/>
      <c r="V24" s="1855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842" t="s">
        <v>98</v>
      </c>
      <c r="S3" s="1842"/>
      <c r="T3" s="1842"/>
      <c r="U3" s="1842"/>
      <c r="V3" s="1842"/>
      <c r="W3" s="1842"/>
    </row>
    <row r="4" spans="1:23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49" t="s">
        <v>46</v>
      </c>
      <c r="S14" s="76" t="s">
        <v>54</v>
      </c>
      <c r="T14" s="1874">
        <v>18281</v>
      </c>
      <c r="U14" s="1875"/>
      <c r="V14" s="1876"/>
    </row>
    <row r="15" spans="1:23" ht="22.5" customHeight="1" x14ac:dyDescent="0.25">
      <c r="A15" s="11" t="s">
        <v>38</v>
      </c>
      <c r="B15" s="1874">
        <v>244773</v>
      </c>
      <c r="C15" s="1876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849"/>
      <c r="S15" s="76" t="s">
        <v>64</v>
      </c>
      <c r="T15" s="1877">
        <v>11151</v>
      </c>
      <c r="U15" s="1877"/>
      <c r="V15" s="1877"/>
    </row>
    <row r="16" spans="1:23" ht="24.75" customHeight="1" x14ac:dyDescent="0.25">
      <c r="A16" s="11" t="s">
        <v>39</v>
      </c>
      <c r="B16" s="1874">
        <v>100000</v>
      </c>
      <c r="C16" s="1876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871" t="s">
        <v>55</v>
      </c>
      <c r="S16" s="1871"/>
      <c r="T16" s="1878">
        <f>W12</f>
        <v>215656.24000000002</v>
      </c>
      <c r="U16" s="1878"/>
      <c r="V16" s="1877"/>
    </row>
    <row r="17" spans="1:23" ht="24.75" customHeight="1" x14ac:dyDescent="0.25">
      <c r="A17" s="11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871" t="s">
        <v>95</v>
      </c>
      <c r="S17" s="1871"/>
      <c r="T17" s="1877"/>
      <c r="U17" s="1877"/>
      <c r="V17" s="1877"/>
    </row>
    <row r="18" spans="1:23" ht="27" customHeight="1" x14ac:dyDescent="0.25">
      <c r="A18" s="11" t="s">
        <v>40</v>
      </c>
      <c r="B18" s="1880">
        <f>C12</f>
        <v>96864</v>
      </c>
      <c r="C18" s="1876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871" t="s">
        <v>57</v>
      </c>
      <c r="S18" s="1871"/>
      <c r="T18" s="1877">
        <f>530+100+7000</f>
        <v>7630</v>
      </c>
      <c r="U18" s="1877"/>
      <c r="V18" s="1877"/>
      <c r="W18" s="1873" t="s">
        <v>101</v>
      </c>
    </row>
    <row r="19" spans="1:23" ht="25.5" customHeight="1" x14ac:dyDescent="0.25">
      <c r="A19" s="11" t="s">
        <v>41</v>
      </c>
      <c r="B19" s="1874">
        <f>B15+B16+B17-B18</f>
        <v>247909</v>
      </c>
      <c r="C19" s="1876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869" t="s">
        <v>48</v>
      </c>
      <c r="S19" s="49" t="s">
        <v>58</v>
      </c>
      <c r="T19" s="1877">
        <v>210000</v>
      </c>
      <c r="U19" s="1877"/>
      <c r="V19" s="1877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77"/>
      <c r="U20" s="1877"/>
      <c r="V20" s="1877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77">
        <v>210080</v>
      </c>
      <c r="U21" s="1877"/>
      <c r="V21" s="1877"/>
      <c r="W21" s="1873"/>
    </row>
    <row r="22" spans="1:23" ht="29.25" customHeight="1" x14ac:dyDescent="0.25">
      <c r="A22" s="10"/>
      <c r="B22" s="1872" t="s">
        <v>49</v>
      </c>
      <c r="C22" s="1881">
        <v>853493</v>
      </c>
      <c r="D22" s="1877">
        <v>210000</v>
      </c>
      <c r="E22" s="1877">
        <v>96250</v>
      </c>
      <c r="F22" s="1877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77">
        <v>210000</v>
      </c>
      <c r="U22" s="1877"/>
      <c r="V22" s="1877"/>
      <c r="W22" s="1873"/>
    </row>
    <row r="23" spans="1:23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79">
        <f>T14+T16+T17-T18-T19-T20-T21+T22</f>
        <v>16227.24000000002</v>
      </c>
      <c r="U23" s="1879"/>
      <c r="V23" s="1879"/>
      <c r="W23" s="1873"/>
    </row>
    <row r="24" spans="1:23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R24" s="1849"/>
      <c r="S24" s="51" t="s">
        <v>63</v>
      </c>
      <c r="T24" s="1877">
        <f>T15+T21-T22</f>
        <v>11231</v>
      </c>
      <c r="U24" s="1877"/>
      <c r="V24" s="1877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842" t="s">
        <v>102</v>
      </c>
      <c r="S3" s="1842"/>
      <c r="T3" s="1842"/>
      <c r="U3" s="1842"/>
      <c r="V3" s="1842"/>
      <c r="W3" s="1842"/>
    </row>
    <row r="4" spans="1:23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49" t="s">
        <v>46</v>
      </c>
      <c r="S14" s="76" t="s">
        <v>54</v>
      </c>
      <c r="T14" s="1874">
        <v>16227</v>
      </c>
      <c r="U14" s="1875"/>
      <c r="V14" s="1876"/>
    </row>
    <row r="15" spans="1:23" ht="22.5" customHeight="1" x14ac:dyDescent="0.25">
      <c r="A15" s="11" t="s">
        <v>38</v>
      </c>
      <c r="B15" s="1874">
        <v>247909</v>
      </c>
      <c r="C15" s="1876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849"/>
      <c r="S15" s="76" t="s">
        <v>64</v>
      </c>
      <c r="T15" s="1877">
        <v>11231</v>
      </c>
      <c r="U15" s="1877"/>
      <c r="V15" s="1877"/>
    </row>
    <row r="16" spans="1:23" ht="24.75" customHeight="1" x14ac:dyDescent="0.25">
      <c r="A16" s="11" t="s">
        <v>39</v>
      </c>
      <c r="B16" s="1874">
        <v>111080</v>
      </c>
      <c r="C16" s="1876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871" t="s">
        <v>55</v>
      </c>
      <c r="S16" s="1871"/>
      <c r="T16" s="1878">
        <f>W12</f>
        <v>111794.26000000001</v>
      </c>
      <c r="U16" s="1878"/>
      <c r="V16" s="1877"/>
    </row>
    <row r="17" spans="1:23" ht="24.75" customHeight="1" x14ac:dyDescent="0.25">
      <c r="A17" s="11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871" t="s">
        <v>104</v>
      </c>
      <c r="S17" s="1871"/>
      <c r="T17" s="1877"/>
      <c r="U17" s="1877"/>
      <c r="V17" s="1877"/>
    </row>
    <row r="18" spans="1:23" ht="27" customHeight="1" x14ac:dyDescent="0.25">
      <c r="A18" s="11" t="s">
        <v>40</v>
      </c>
      <c r="B18" s="1880">
        <f>C12</f>
        <v>86936</v>
      </c>
      <c r="C18" s="1876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871" t="s">
        <v>57</v>
      </c>
      <c r="S18" s="1871"/>
      <c r="T18" s="1877">
        <f>530+380+370</f>
        <v>1280</v>
      </c>
      <c r="U18" s="1877"/>
      <c r="V18" s="1877"/>
      <c r="W18" s="1873" t="s">
        <v>105</v>
      </c>
    </row>
    <row r="19" spans="1:23" ht="25.5" customHeight="1" x14ac:dyDescent="0.25">
      <c r="A19" s="11" t="s">
        <v>41</v>
      </c>
      <c r="B19" s="1874">
        <f>B15+B16+B17-B18</f>
        <v>272053</v>
      </c>
      <c r="C19" s="1876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869" t="s">
        <v>48</v>
      </c>
      <c r="S19" s="49" t="s">
        <v>58</v>
      </c>
      <c r="T19" s="1877">
        <v>107000</v>
      </c>
      <c r="U19" s="1877"/>
      <c r="V19" s="1877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77"/>
      <c r="U20" s="1877"/>
      <c r="V20" s="1877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77">
        <v>107640</v>
      </c>
      <c r="U21" s="1877"/>
      <c r="V21" s="1877"/>
      <c r="W21" s="1873"/>
    </row>
    <row r="22" spans="1:23" ht="29.25" customHeight="1" x14ac:dyDescent="0.25">
      <c r="A22" s="10"/>
      <c r="B22" s="1872" t="s">
        <v>49</v>
      </c>
      <c r="C22" s="1881">
        <v>739743</v>
      </c>
      <c r="D22" s="1877">
        <v>107000</v>
      </c>
      <c r="E22" s="1877">
        <v>186563</v>
      </c>
      <c r="F22" s="1877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77">
        <v>107000</v>
      </c>
      <c r="U22" s="1877"/>
      <c r="V22" s="1877"/>
      <c r="W22" s="1873"/>
    </row>
    <row r="23" spans="1:23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79">
        <f>T14+T16+T17-T18-T19-T20-T21+T22</f>
        <v>19101.260000000009</v>
      </c>
      <c r="U23" s="1879"/>
      <c r="V23" s="1879"/>
      <c r="W23" s="1873"/>
    </row>
    <row r="24" spans="1:23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R24" s="1849"/>
      <c r="S24" s="51" t="s">
        <v>63</v>
      </c>
      <c r="T24" s="1877">
        <f>T15+T21-T22</f>
        <v>11871</v>
      </c>
      <c r="U24" s="1877"/>
      <c r="V24" s="1877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842" t="s">
        <v>106</v>
      </c>
      <c r="S3" s="1842"/>
      <c r="T3" s="1842"/>
      <c r="U3" s="1842"/>
      <c r="V3" s="1842"/>
      <c r="W3" s="1842"/>
    </row>
    <row r="4" spans="1:23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49" t="s">
        <v>46</v>
      </c>
      <c r="S14" s="76" t="s">
        <v>54</v>
      </c>
      <c r="T14" s="1874">
        <v>19101</v>
      </c>
      <c r="U14" s="1875"/>
      <c r="V14" s="1876"/>
    </row>
    <row r="15" spans="1:23" ht="22.5" customHeight="1" x14ac:dyDescent="0.25">
      <c r="A15" s="11" t="s">
        <v>38</v>
      </c>
      <c r="B15" s="1874">
        <v>272053</v>
      </c>
      <c r="C15" s="1876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849"/>
      <c r="S15" s="76" t="s">
        <v>64</v>
      </c>
      <c r="T15" s="1877">
        <v>11871</v>
      </c>
      <c r="U15" s="1877"/>
      <c r="V15" s="1877"/>
    </row>
    <row r="16" spans="1:23" ht="24.75" customHeight="1" x14ac:dyDescent="0.25">
      <c r="A16" s="11" t="s">
        <v>39</v>
      </c>
      <c r="B16" s="1874">
        <v>397098</v>
      </c>
      <c r="C16" s="1876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871" t="s">
        <v>55</v>
      </c>
      <c r="S16" s="1871"/>
      <c r="T16" s="1878">
        <f>W12</f>
        <v>200587.31</v>
      </c>
      <c r="U16" s="1878"/>
      <c r="V16" s="1877"/>
    </row>
    <row r="17" spans="1:23" ht="24.75" customHeight="1" x14ac:dyDescent="0.25">
      <c r="A17" s="11" t="s">
        <v>44</v>
      </c>
      <c r="B17" s="1874">
        <v>75965</v>
      </c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871" t="s">
        <v>107</v>
      </c>
      <c r="S17" s="1871"/>
      <c r="T17" s="1877">
        <v>25500</v>
      </c>
      <c r="U17" s="1877"/>
      <c r="V17" s="1877"/>
    </row>
    <row r="18" spans="1:23" ht="27" customHeight="1" x14ac:dyDescent="0.25">
      <c r="A18" s="11" t="s">
        <v>40</v>
      </c>
      <c r="B18" s="1880">
        <f>C12</f>
        <v>198716</v>
      </c>
      <c r="C18" s="1876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871" t="s">
        <v>57</v>
      </c>
      <c r="S18" s="1871"/>
      <c r="T18" s="1877">
        <f>530+400+343+700+2060+29000</f>
        <v>33033</v>
      </c>
      <c r="U18" s="1877"/>
      <c r="V18" s="1877"/>
      <c r="W18" s="1873" t="s">
        <v>108</v>
      </c>
    </row>
    <row r="19" spans="1:23" ht="25.5" customHeight="1" x14ac:dyDescent="0.25">
      <c r="A19" s="11" t="s">
        <v>41</v>
      </c>
      <c r="B19" s="1874">
        <f>B15+B16+B17-B18</f>
        <v>546400</v>
      </c>
      <c r="C19" s="1876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869" t="s">
        <v>48</v>
      </c>
      <c r="S19" s="49" t="s">
        <v>58</v>
      </c>
      <c r="T19" s="1877">
        <v>198860</v>
      </c>
      <c r="U19" s="1877"/>
      <c r="V19" s="1877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77"/>
      <c r="U20" s="1877"/>
      <c r="V20" s="1877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77">
        <v>198860</v>
      </c>
      <c r="U21" s="1877"/>
      <c r="V21" s="1877"/>
      <c r="W21" s="1873"/>
    </row>
    <row r="22" spans="1:23" ht="29.25" customHeight="1" x14ac:dyDescent="0.25">
      <c r="A22" s="10"/>
      <c r="B22" s="1872" t="s">
        <v>49</v>
      </c>
      <c r="C22" s="1881">
        <v>819306</v>
      </c>
      <c r="D22" s="1877">
        <v>198860</v>
      </c>
      <c r="E22" s="1877">
        <v>455447</v>
      </c>
      <c r="F22" s="1877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77">
        <v>198860</v>
      </c>
      <c r="U22" s="1877"/>
      <c r="V22" s="1877"/>
      <c r="W22" s="1873"/>
    </row>
    <row r="23" spans="1:23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79">
        <f>T14+T16+T17-T18-T19-T20-T21+T22</f>
        <v>13295.309999999998</v>
      </c>
      <c r="U23" s="1879"/>
      <c r="V23" s="1879"/>
      <c r="W23" s="1873"/>
    </row>
    <row r="24" spans="1:23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R24" s="1849"/>
      <c r="S24" s="51" t="s">
        <v>63</v>
      </c>
      <c r="T24" s="1877">
        <f>T15+T21-T22</f>
        <v>11871</v>
      </c>
      <c r="U24" s="1877"/>
      <c r="V24" s="1877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842" t="s">
        <v>109</v>
      </c>
      <c r="S3" s="1842"/>
      <c r="T3" s="1842"/>
      <c r="U3" s="1842"/>
      <c r="V3" s="1842"/>
      <c r="W3" s="1842"/>
    </row>
    <row r="4" spans="1:23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49" t="s">
        <v>46</v>
      </c>
      <c r="S14" s="76" t="s">
        <v>54</v>
      </c>
      <c r="T14" s="1874">
        <v>13295</v>
      </c>
      <c r="U14" s="1875"/>
      <c r="V14" s="1876"/>
    </row>
    <row r="15" spans="1:23" ht="22.5" customHeight="1" x14ac:dyDescent="0.25">
      <c r="A15" s="11" t="s">
        <v>38</v>
      </c>
      <c r="B15" s="1874">
        <v>546400</v>
      </c>
      <c r="C15" s="1876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849"/>
      <c r="S15" s="76" t="s">
        <v>64</v>
      </c>
      <c r="T15" s="1877">
        <v>11871</v>
      </c>
      <c r="U15" s="1877"/>
      <c r="V15" s="1877"/>
    </row>
    <row r="16" spans="1:23" ht="24.75" customHeight="1" x14ac:dyDescent="0.25">
      <c r="A16" s="11" t="s">
        <v>39</v>
      </c>
      <c r="B16" s="1874"/>
      <c r="C16" s="1876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871" t="s">
        <v>55</v>
      </c>
      <c r="S16" s="1871"/>
      <c r="T16" s="1878">
        <f>W12</f>
        <v>434860.18500000006</v>
      </c>
      <c r="U16" s="1878"/>
      <c r="V16" s="1877"/>
    </row>
    <row r="17" spans="1:23" ht="24.75" customHeight="1" x14ac:dyDescent="0.25">
      <c r="A17" s="11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871" t="s">
        <v>95</v>
      </c>
      <c r="S17" s="1871"/>
      <c r="T17" s="1877">
        <v>9221</v>
      </c>
      <c r="U17" s="1877"/>
      <c r="V17" s="1877"/>
    </row>
    <row r="18" spans="1:23" ht="27" customHeight="1" x14ac:dyDescent="0.25">
      <c r="A18" s="11" t="s">
        <v>40</v>
      </c>
      <c r="B18" s="1880">
        <f>C12</f>
        <v>290066</v>
      </c>
      <c r="C18" s="1876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871" t="s">
        <v>57</v>
      </c>
      <c r="S18" s="1871"/>
      <c r="T18" s="1877">
        <f>530+1350+1005+73117</f>
        <v>76002</v>
      </c>
      <c r="U18" s="1877"/>
      <c r="V18" s="1877"/>
      <c r="W18" s="1873" t="s">
        <v>110</v>
      </c>
    </row>
    <row r="19" spans="1:23" ht="25.5" customHeight="1" x14ac:dyDescent="0.25">
      <c r="A19" s="11" t="s">
        <v>41</v>
      </c>
      <c r="B19" s="1874">
        <f>B15+B16+B17-B18</f>
        <v>256334</v>
      </c>
      <c r="C19" s="1876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869" t="s">
        <v>48</v>
      </c>
      <c r="S19" s="49" t="s">
        <v>58</v>
      </c>
      <c r="T19" s="1877"/>
      <c r="U19" s="1877"/>
      <c r="V19" s="1877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77"/>
      <c r="U20" s="1877"/>
      <c r="V20" s="1877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77"/>
      <c r="U21" s="1877"/>
      <c r="V21" s="1877"/>
      <c r="W21" s="1873"/>
    </row>
    <row r="22" spans="1:23" ht="29.25" customHeight="1" x14ac:dyDescent="0.25">
      <c r="A22" s="10"/>
      <c r="B22" s="1872" t="s">
        <v>49</v>
      </c>
      <c r="C22" s="1881">
        <v>1075893</v>
      </c>
      <c r="D22" s="1877"/>
      <c r="E22" s="1877"/>
      <c r="F22" s="1877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77"/>
      <c r="U22" s="1877"/>
      <c r="V22" s="1877"/>
      <c r="W22" s="1873"/>
    </row>
    <row r="23" spans="1:23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79">
        <f>T14+T16+T17-T18-T19-T20-T21+T22</f>
        <v>381374.18500000006</v>
      </c>
      <c r="U23" s="1879"/>
      <c r="V23" s="1879"/>
      <c r="W23" s="1873"/>
    </row>
    <row r="24" spans="1:23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R24" s="1849"/>
      <c r="S24" s="51" t="s">
        <v>63</v>
      </c>
      <c r="T24" s="1877">
        <f>T15+T21-T22</f>
        <v>11871</v>
      </c>
      <c r="U24" s="1877"/>
      <c r="V24" s="1877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</row>
    <row r="2" spans="1:23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842" t="s">
        <v>111</v>
      </c>
      <c r="S3" s="1842"/>
      <c r="T3" s="1842"/>
      <c r="U3" s="1842"/>
      <c r="V3" s="1842"/>
      <c r="W3" s="1842"/>
    </row>
    <row r="4" spans="1:23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4" t="s">
        <v>35</v>
      </c>
      <c r="R4" s="1844"/>
      <c r="S4" s="1845" t="s">
        <v>17</v>
      </c>
      <c r="T4" s="1846"/>
      <c r="U4" s="1847" t="s">
        <v>36</v>
      </c>
      <c r="V4" s="1848"/>
      <c r="W4" s="1838" t="s">
        <v>30</v>
      </c>
    </row>
    <row r="5" spans="1:23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839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849" t="s">
        <v>31</v>
      </c>
      <c r="B12" s="1849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849" t="s">
        <v>46</v>
      </c>
      <c r="S14" s="76" t="s">
        <v>54</v>
      </c>
      <c r="T14" s="1874">
        <v>381374</v>
      </c>
      <c r="U14" s="1875"/>
      <c r="V14" s="1876"/>
    </row>
    <row r="15" spans="1:23" ht="22.5" customHeight="1" x14ac:dyDescent="0.25">
      <c r="A15" s="11" t="s">
        <v>38</v>
      </c>
      <c r="B15" s="1874">
        <v>256334</v>
      </c>
      <c r="C15" s="1876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849"/>
      <c r="S15" s="76" t="s">
        <v>64</v>
      </c>
      <c r="T15" s="1877">
        <v>11871</v>
      </c>
      <c r="U15" s="1877"/>
      <c r="V15" s="1877"/>
    </row>
    <row r="16" spans="1:23" ht="24.75" customHeight="1" x14ac:dyDescent="0.25">
      <c r="A16" s="11" t="s">
        <v>39</v>
      </c>
      <c r="B16" s="1874">
        <v>215000</v>
      </c>
      <c r="C16" s="1876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871" t="s">
        <v>55</v>
      </c>
      <c r="S16" s="1871"/>
      <c r="T16" s="1878">
        <f>W12</f>
        <v>191169.66999999998</v>
      </c>
      <c r="U16" s="1878"/>
      <c r="V16" s="1877"/>
    </row>
    <row r="17" spans="1:23" ht="24.75" customHeight="1" x14ac:dyDescent="0.25">
      <c r="A17" s="11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871" t="s">
        <v>104</v>
      </c>
      <c r="S17" s="1871"/>
      <c r="T17" s="1877"/>
      <c r="U17" s="1877"/>
      <c r="V17" s="1877"/>
    </row>
    <row r="18" spans="1:23" ht="27" customHeight="1" x14ac:dyDescent="0.25">
      <c r="A18" s="11" t="s">
        <v>40</v>
      </c>
      <c r="B18" s="1880">
        <f>C12</f>
        <v>124412</v>
      </c>
      <c r="C18" s="1876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871" t="s">
        <v>57</v>
      </c>
      <c r="S18" s="1871"/>
      <c r="T18" s="1877">
        <f>530+10050</f>
        <v>10580</v>
      </c>
      <c r="U18" s="1877"/>
      <c r="V18" s="1877"/>
      <c r="W18" s="1873" t="s">
        <v>112</v>
      </c>
    </row>
    <row r="19" spans="1:23" ht="25.5" customHeight="1" x14ac:dyDescent="0.25">
      <c r="A19" s="11" t="s">
        <v>41</v>
      </c>
      <c r="B19" s="1874">
        <f>B15+B16+B17-B18</f>
        <v>346922</v>
      </c>
      <c r="C19" s="1876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869" t="s">
        <v>48</v>
      </c>
      <c r="S19" s="49" t="s">
        <v>58</v>
      </c>
      <c r="T19" s="1877">
        <v>529000</v>
      </c>
      <c r="U19" s="1877"/>
      <c r="V19" s="1877"/>
      <c r="W19" s="187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870"/>
      <c r="S20" s="49" t="s">
        <v>59</v>
      </c>
      <c r="T20" s="1877"/>
      <c r="U20" s="1877"/>
      <c r="V20" s="1877"/>
      <c r="W20" s="187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863" t="s">
        <v>83</v>
      </c>
      <c r="S21" s="50" t="s">
        <v>60</v>
      </c>
      <c r="T21" s="1877">
        <v>542540</v>
      </c>
      <c r="U21" s="1877"/>
      <c r="V21" s="1877"/>
      <c r="W21" s="1873"/>
    </row>
    <row r="22" spans="1:23" ht="29.25" customHeight="1" x14ac:dyDescent="0.25">
      <c r="A22" s="10"/>
      <c r="B22" s="1872" t="s">
        <v>49</v>
      </c>
      <c r="C22" s="1881">
        <v>1075893</v>
      </c>
      <c r="D22" s="1877">
        <v>529000</v>
      </c>
      <c r="E22" s="1877">
        <v>261868</v>
      </c>
      <c r="F22" s="1877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864"/>
      <c r="S22" s="50" t="s">
        <v>61</v>
      </c>
      <c r="T22" s="1877">
        <v>529000</v>
      </c>
      <c r="U22" s="1877"/>
      <c r="V22" s="1877"/>
      <c r="W22" s="1873"/>
    </row>
    <row r="23" spans="1:23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849" t="s">
        <v>47</v>
      </c>
      <c r="S23" s="51" t="s">
        <v>62</v>
      </c>
      <c r="T23" s="1879">
        <f>T14+T16+T17-T18-T19-T20-T21+T22</f>
        <v>19423.669999999925</v>
      </c>
      <c r="U23" s="1879"/>
      <c r="V23" s="1879"/>
      <c r="W23" s="1873"/>
    </row>
    <row r="24" spans="1:23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R24" s="1849"/>
      <c r="S24" s="51" t="s">
        <v>63</v>
      </c>
      <c r="T24" s="1877">
        <f>T15+T21-T22</f>
        <v>25411</v>
      </c>
      <c r="U24" s="1877"/>
      <c r="V24" s="1877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842" t="s">
        <v>113</v>
      </c>
      <c r="U3" s="1842"/>
      <c r="V3" s="1842"/>
      <c r="W3" s="1842"/>
      <c r="X3" s="1842"/>
      <c r="Y3" s="1842"/>
    </row>
    <row r="4" spans="1:25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76" t="s">
        <v>54</v>
      </c>
      <c r="V14" s="1874">
        <v>19424</v>
      </c>
      <c r="W14" s="1875"/>
      <c r="X14" s="1876"/>
    </row>
    <row r="15" spans="1:25" ht="22.5" customHeight="1" x14ac:dyDescent="0.25">
      <c r="A15" s="11" t="s">
        <v>38</v>
      </c>
      <c r="B15" s="1874">
        <v>346922</v>
      </c>
      <c r="C15" s="1876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849"/>
      <c r="U15" s="76" t="s">
        <v>64</v>
      </c>
      <c r="V15" s="1877">
        <v>25411</v>
      </c>
      <c r="W15" s="1877"/>
      <c r="X15" s="1877"/>
    </row>
    <row r="16" spans="1:25" ht="24.75" customHeight="1" x14ac:dyDescent="0.25">
      <c r="A16" s="11" t="s">
        <v>39</v>
      </c>
      <c r="B16" s="1874">
        <v>290000</v>
      </c>
      <c r="C16" s="1876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871" t="s">
        <v>55</v>
      </c>
      <c r="U16" s="1871"/>
      <c r="V16" s="1878">
        <f>Y12</f>
        <v>391160.15250000003</v>
      </c>
      <c r="W16" s="1878"/>
      <c r="X16" s="1877"/>
    </row>
    <row r="17" spans="1:25" ht="33" customHeight="1" x14ac:dyDescent="0.25">
      <c r="A17" s="85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71" t="s">
        <v>104</v>
      </c>
      <c r="U17" s="1871"/>
      <c r="V17" s="1877"/>
      <c r="W17" s="1877"/>
      <c r="X17" s="1877"/>
    </row>
    <row r="18" spans="1:25" ht="27" customHeight="1" x14ac:dyDescent="0.25">
      <c r="A18" s="11" t="s">
        <v>40</v>
      </c>
      <c r="B18" s="1880">
        <f>C12</f>
        <v>361049</v>
      </c>
      <c r="C18" s="1876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871" t="s">
        <v>57</v>
      </c>
      <c r="U18" s="1871"/>
      <c r="V18" s="1877">
        <f>530+2288</f>
        <v>2818</v>
      </c>
      <c r="W18" s="1877"/>
      <c r="X18" s="1877"/>
      <c r="Y18" s="1873" t="s">
        <v>115</v>
      </c>
    </row>
    <row r="19" spans="1:25" ht="25.5" customHeight="1" x14ac:dyDescent="0.25">
      <c r="A19" s="11" t="s">
        <v>41</v>
      </c>
      <c r="B19" s="1874">
        <f>B15+B16+B17-B18</f>
        <v>275873</v>
      </c>
      <c r="C19" s="1876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869" t="s">
        <v>48</v>
      </c>
      <c r="U19" s="49" t="s">
        <v>58</v>
      </c>
      <c r="V19" s="1877">
        <v>392740</v>
      </c>
      <c r="W19" s="1877"/>
      <c r="X19" s="1877"/>
      <c r="Y19" s="187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7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379740</v>
      </c>
      <c r="W21" s="1877"/>
      <c r="X21" s="1877"/>
      <c r="Y21" s="1873"/>
    </row>
    <row r="22" spans="1:25" ht="29.25" customHeight="1" x14ac:dyDescent="0.25">
      <c r="A22" s="10"/>
      <c r="B22" s="1872" t="s">
        <v>49</v>
      </c>
      <c r="C22" s="1881">
        <v>808761</v>
      </c>
      <c r="D22" s="1877">
        <v>392740</v>
      </c>
      <c r="E22" s="1877">
        <v>296300</v>
      </c>
      <c r="F22" s="1877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392740</v>
      </c>
      <c r="W22" s="1877"/>
      <c r="X22" s="1877"/>
      <c r="Y22" s="187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28026.152500000026</v>
      </c>
      <c r="W23" s="1879"/>
      <c r="X23" s="1879"/>
      <c r="Y23" s="1873"/>
    </row>
    <row r="24" spans="1:25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T24" s="1849"/>
      <c r="U24" s="51" t="s">
        <v>63</v>
      </c>
      <c r="V24" s="1877">
        <f>V15+V21-V22</f>
        <v>12411</v>
      </c>
      <c r="W24" s="1877"/>
      <c r="X24" s="1877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842" t="s">
        <v>116</v>
      </c>
      <c r="U3" s="1842"/>
      <c r="V3" s="1842"/>
      <c r="W3" s="1842"/>
      <c r="X3" s="1842"/>
      <c r="Y3" s="1842"/>
    </row>
    <row r="4" spans="1:25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76" t="s">
        <v>54</v>
      </c>
      <c r="V14" s="1874">
        <v>28026</v>
      </c>
      <c r="W14" s="1875"/>
      <c r="X14" s="1876"/>
    </row>
    <row r="15" spans="1:25" ht="22.5" customHeight="1" x14ac:dyDescent="0.25">
      <c r="A15" s="11" t="s">
        <v>38</v>
      </c>
      <c r="B15" s="1874">
        <v>275873</v>
      </c>
      <c r="C15" s="1876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849"/>
      <c r="U15" s="76" t="s">
        <v>64</v>
      </c>
      <c r="V15" s="1877">
        <v>12411</v>
      </c>
      <c r="W15" s="1877"/>
      <c r="X15" s="1877"/>
    </row>
    <row r="16" spans="1:25" ht="24.75" customHeight="1" x14ac:dyDescent="0.25">
      <c r="A16" s="11" t="s">
        <v>39</v>
      </c>
      <c r="B16" s="1874">
        <v>100000</v>
      </c>
      <c r="C16" s="1876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158564.51250000001</v>
      </c>
      <c r="W16" s="1878"/>
      <c r="X16" s="1877"/>
    </row>
    <row r="17" spans="1:25" ht="33" customHeight="1" x14ac:dyDescent="0.25">
      <c r="A17" s="85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71" t="s">
        <v>104</v>
      </c>
      <c r="U17" s="1871"/>
      <c r="V17" s="1877"/>
      <c r="W17" s="1877"/>
      <c r="X17" s="1877"/>
    </row>
    <row r="18" spans="1:25" ht="27" customHeight="1" x14ac:dyDescent="0.25">
      <c r="A18" s="11" t="s">
        <v>40</v>
      </c>
      <c r="B18" s="1880">
        <f>C12</f>
        <v>96745</v>
      </c>
      <c r="C18" s="1876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871" t="s">
        <v>57</v>
      </c>
      <c r="U18" s="1871"/>
      <c r="V18" s="1877">
        <f>530+100+100</f>
        <v>730</v>
      </c>
      <c r="W18" s="1877"/>
      <c r="X18" s="1877"/>
      <c r="Y18" s="1873" t="s">
        <v>117</v>
      </c>
    </row>
    <row r="19" spans="1:25" ht="25.5" customHeight="1" x14ac:dyDescent="0.25">
      <c r="A19" s="11" t="s">
        <v>41</v>
      </c>
      <c r="B19" s="1874">
        <f>B15+B16+B17-B18</f>
        <v>279128</v>
      </c>
      <c r="C19" s="1876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869" t="s">
        <v>48</v>
      </c>
      <c r="U19" s="49" t="s">
        <v>58</v>
      </c>
      <c r="V19" s="1877">
        <v>172500</v>
      </c>
      <c r="W19" s="1877"/>
      <c r="X19" s="1877"/>
      <c r="Y19" s="187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7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172620</v>
      </c>
      <c r="W21" s="1877"/>
      <c r="X21" s="1877"/>
      <c r="Y21" s="1873"/>
    </row>
    <row r="22" spans="1:25" ht="29.25" customHeight="1" x14ac:dyDescent="0.25">
      <c r="A22" s="10"/>
      <c r="B22" s="1872" t="s">
        <v>49</v>
      </c>
      <c r="C22" s="1881">
        <v>712321</v>
      </c>
      <c r="D22" s="1877">
        <v>172500</v>
      </c>
      <c r="E22" s="1877">
        <v>96250</v>
      </c>
      <c r="F22" s="1877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172500</v>
      </c>
      <c r="W22" s="1877"/>
      <c r="X22" s="1877"/>
      <c r="Y22" s="187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13240.512500000012</v>
      </c>
      <c r="W23" s="1879"/>
      <c r="X23" s="1879"/>
      <c r="Y23" s="1873"/>
    </row>
    <row r="24" spans="1:25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T24" s="1849"/>
      <c r="U24" s="51" t="s">
        <v>63</v>
      </c>
      <c r="V24" s="1877">
        <f>V15+V21-V22</f>
        <v>12531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842" t="s">
        <v>118</v>
      </c>
      <c r="U3" s="1842"/>
      <c r="V3" s="1842"/>
      <c r="W3" s="1842"/>
      <c r="X3" s="1842"/>
      <c r="Y3" s="1842"/>
    </row>
    <row r="4" spans="1:25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76" t="s">
        <v>54</v>
      </c>
      <c r="V14" s="1874">
        <v>13241</v>
      </c>
      <c r="W14" s="1875"/>
      <c r="X14" s="1876"/>
    </row>
    <row r="15" spans="1:25" ht="22.5" customHeight="1" x14ac:dyDescent="0.25">
      <c r="A15" s="11" t="s">
        <v>38</v>
      </c>
      <c r="B15" s="1874">
        <v>279128</v>
      </c>
      <c r="C15" s="1876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849"/>
      <c r="U15" s="76" t="s">
        <v>64</v>
      </c>
      <c r="V15" s="1877">
        <v>12531</v>
      </c>
      <c r="W15" s="1877"/>
      <c r="X15" s="1877"/>
    </row>
    <row r="16" spans="1:25" ht="24.75" customHeight="1" x14ac:dyDescent="0.25">
      <c r="A16" s="11" t="s">
        <v>39</v>
      </c>
      <c r="B16" s="1874">
        <v>71186</v>
      </c>
      <c r="C16" s="1876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188788.4425</v>
      </c>
      <c r="W16" s="1878"/>
      <c r="X16" s="1877"/>
    </row>
    <row r="17" spans="1:25" ht="33" customHeight="1" x14ac:dyDescent="0.25">
      <c r="A17" s="85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71" t="s">
        <v>104</v>
      </c>
      <c r="U17" s="1871"/>
      <c r="V17" s="1877"/>
      <c r="W17" s="1877"/>
      <c r="X17" s="1877"/>
    </row>
    <row r="18" spans="1:25" ht="27" customHeight="1" x14ac:dyDescent="0.25">
      <c r="A18" s="11" t="s">
        <v>40</v>
      </c>
      <c r="B18" s="1880">
        <f>C12</f>
        <v>166893</v>
      </c>
      <c r="C18" s="1876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871" t="s">
        <v>57</v>
      </c>
      <c r="U18" s="1871"/>
      <c r="V18" s="1877">
        <v>530</v>
      </c>
      <c r="W18" s="1877"/>
      <c r="X18" s="1877"/>
      <c r="Y18" s="1873" t="s">
        <v>103</v>
      </c>
    </row>
    <row r="19" spans="1:25" ht="25.5" customHeight="1" x14ac:dyDescent="0.25">
      <c r="A19" s="11" t="s">
        <v>41</v>
      </c>
      <c r="B19" s="1874">
        <f>B15+B16+B17-B18</f>
        <v>183421</v>
      </c>
      <c r="C19" s="1876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869" t="s">
        <v>48</v>
      </c>
      <c r="U19" s="49" t="s">
        <v>58</v>
      </c>
      <c r="V19" s="1877">
        <v>182500</v>
      </c>
      <c r="W19" s="1877"/>
      <c r="X19" s="1877"/>
      <c r="Y19" s="187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7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182800</v>
      </c>
      <c r="W21" s="1877"/>
      <c r="X21" s="1877"/>
      <c r="Y21" s="1873"/>
    </row>
    <row r="22" spans="1:25" ht="29.25" customHeight="1" x14ac:dyDescent="0.25">
      <c r="A22" s="10"/>
      <c r="B22" s="1872" t="s">
        <v>49</v>
      </c>
      <c r="C22" s="1881">
        <v>636071</v>
      </c>
      <c r="D22" s="1877">
        <v>182500</v>
      </c>
      <c r="E22" s="1877">
        <v>102417</v>
      </c>
      <c r="F22" s="1877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182500</v>
      </c>
      <c r="W22" s="1877"/>
      <c r="X22" s="1877"/>
      <c r="Y22" s="187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18699.442500000005</v>
      </c>
      <c r="W23" s="1879"/>
      <c r="X23" s="1879"/>
      <c r="Y23" s="1873"/>
    </row>
    <row r="24" spans="1:25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T24" s="1849"/>
      <c r="U24" s="51" t="s">
        <v>63</v>
      </c>
      <c r="V24" s="1877">
        <f>V15+V21-V22</f>
        <v>12831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842" t="s">
        <v>119</v>
      </c>
      <c r="U3" s="1842"/>
      <c r="V3" s="1842"/>
      <c r="W3" s="1842"/>
      <c r="X3" s="1842"/>
      <c r="Y3" s="1842"/>
    </row>
    <row r="4" spans="1:25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76" t="s">
        <v>54</v>
      </c>
      <c r="V14" s="1874">
        <v>18699</v>
      </c>
      <c r="W14" s="1875"/>
      <c r="X14" s="1876"/>
    </row>
    <row r="15" spans="1:25" ht="22.5" customHeight="1" x14ac:dyDescent="0.25">
      <c r="A15" s="11" t="s">
        <v>38</v>
      </c>
      <c r="B15" s="1874">
        <v>183421</v>
      </c>
      <c r="C15" s="1876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849"/>
      <c r="U15" s="76" t="s">
        <v>64</v>
      </c>
      <c r="V15" s="1877">
        <v>12831</v>
      </c>
      <c r="W15" s="1877"/>
      <c r="X15" s="1877"/>
    </row>
    <row r="16" spans="1:25" ht="24.75" customHeight="1" x14ac:dyDescent="0.25">
      <c r="A16" s="11" t="s">
        <v>39</v>
      </c>
      <c r="B16" s="1874"/>
      <c r="C16" s="1876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99650.455000000002</v>
      </c>
      <c r="W16" s="1878"/>
      <c r="X16" s="1877"/>
    </row>
    <row r="17" spans="1:25" ht="33" customHeight="1" x14ac:dyDescent="0.25">
      <c r="A17" s="85" t="s">
        <v>44</v>
      </c>
      <c r="B17" s="1874">
        <v>157859</v>
      </c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71" t="s">
        <v>104</v>
      </c>
      <c r="U17" s="1871"/>
      <c r="V17" s="1877"/>
      <c r="W17" s="1877"/>
      <c r="X17" s="1877"/>
    </row>
    <row r="18" spans="1:25" ht="27" customHeight="1" x14ac:dyDescent="0.25">
      <c r="A18" s="11" t="s">
        <v>40</v>
      </c>
      <c r="B18" s="1880">
        <f>C12</f>
        <v>100238</v>
      </c>
      <c r="C18" s="1876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871" t="s">
        <v>57</v>
      </c>
      <c r="U18" s="1871"/>
      <c r="V18" s="1877">
        <v>530</v>
      </c>
      <c r="W18" s="1877"/>
      <c r="X18" s="1877"/>
      <c r="Y18" s="1873" t="s">
        <v>103</v>
      </c>
    </row>
    <row r="19" spans="1:25" ht="25.5" customHeight="1" x14ac:dyDescent="0.25">
      <c r="A19" s="11" t="s">
        <v>41</v>
      </c>
      <c r="B19" s="1874">
        <f>B15+B16+B17-B18</f>
        <v>241042</v>
      </c>
      <c r="C19" s="1876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869" t="s">
        <v>48</v>
      </c>
      <c r="U19" s="49" t="s">
        <v>58</v>
      </c>
      <c r="V19" s="1877"/>
      <c r="W19" s="1877"/>
      <c r="X19" s="1877"/>
      <c r="Y19" s="187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7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/>
      <c r="W21" s="1877"/>
      <c r="X21" s="1877"/>
      <c r="Y21" s="1873"/>
    </row>
    <row r="22" spans="1:25" ht="29.25" customHeight="1" x14ac:dyDescent="0.25">
      <c r="A22" s="10"/>
      <c r="B22" s="1872" t="s">
        <v>49</v>
      </c>
      <c r="C22" s="1881">
        <v>555988</v>
      </c>
      <c r="D22" s="1877"/>
      <c r="E22" s="1877"/>
      <c r="F22" s="1877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/>
      <c r="W22" s="1877"/>
      <c r="X22" s="1877"/>
      <c r="Y22" s="187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117819.455</v>
      </c>
      <c r="W23" s="1879"/>
      <c r="X23" s="1879"/>
      <c r="Y23" s="1873"/>
    </row>
    <row r="24" spans="1:25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T24" s="1849"/>
      <c r="U24" s="51" t="s">
        <v>63</v>
      </c>
      <c r="V24" s="1877">
        <f>V15+V21-V22</f>
        <v>12831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842" t="s">
        <v>120</v>
      </c>
      <c r="U3" s="1842"/>
      <c r="V3" s="1842"/>
      <c r="W3" s="1842"/>
      <c r="X3" s="1842"/>
      <c r="Y3" s="1842"/>
    </row>
    <row r="4" spans="1:25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76" t="s">
        <v>54</v>
      </c>
      <c r="V14" s="1874">
        <v>117819</v>
      </c>
      <c r="W14" s="1875"/>
      <c r="X14" s="1876"/>
    </row>
    <row r="15" spans="1:25" ht="22.5" customHeight="1" x14ac:dyDescent="0.25">
      <c r="A15" s="11" t="s">
        <v>38</v>
      </c>
      <c r="B15" s="1874">
        <v>241042</v>
      </c>
      <c r="C15" s="1876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849"/>
      <c r="U15" s="76" t="s">
        <v>64</v>
      </c>
      <c r="V15" s="1877">
        <v>12831</v>
      </c>
      <c r="W15" s="1877"/>
      <c r="X15" s="1877"/>
    </row>
    <row r="16" spans="1:25" ht="24.75" customHeight="1" x14ac:dyDescent="0.25">
      <c r="A16" s="11" t="s">
        <v>39</v>
      </c>
      <c r="B16" s="1874">
        <v>230000</v>
      </c>
      <c r="C16" s="1876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154969.79250000001</v>
      </c>
      <c r="W16" s="1878"/>
      <c r="X16" s="1877"/>
    </row>
    <row r="17" spans="1:25" ht="33" customHeight="1" x14ac:dyDescent="0.25">
      <c r="A17" s="85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71" t="s">
        <v>104</v>
      </c>
      <c r="U17" s="1871"/>
      <c r="V17" s="1877"/>
      <c r="W17" s="1877"/>
      <c r="X17" s="1877"/>
    </row>
    <row r="18" spans="1:25" ht="27" customHeight="1" x14ac:dyDescent="0.25">
      <c r="A18" s="11" t="s">
        <v>40</v>
      </c>
      <c r="B18" s="1880">
        <f>C12</f>
        <v>123753</v>
      </c>
      <c r="C18" s="1876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871" t="s">
        <v>57</v>
      </c>
      <c r="U18" s="1871"/>
      <c r="V18" s="1877">
        <v>380</v>
      </c>
      <c r="W18" s="1877"/>
      <c r="X18" s="1877"/>
      <c r="Y18" s="1873" t="s">
        <v>103</v>
      </c>
    </row>
    <row r="19" spans="1:25" ht="25.5" customHeight="1" x14ac:dyDescent="0.25">
      <c r="A19" s="11" t="s">
        <v>41</v>
      </c>
      <c r="B19" s="1874">
        <f>B15+B16+B17-B18</f>
        <v>347289</v>
      </c>
      <c r="C19" s="1876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869" t="s">
        <v>48</v>
      </c>
      <c r="U19" s="49" t="s">
        <v>58</v>
      </c>
      <c r="V19" s="1877">
        <v>257000</v>
      </c>
      <c r="W19" s="1877"/>
      <c r="X19" s="1877"/>
      <c r="Y19" s="187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7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257250</v>
      </c>
      <c r="W21" s="1877"/>
      <c r="X21" s="1877"/>
      <c r="Y21" s="1873"/>
    </row>
    <row r="22" spans="1:25" ht="29.25" customHeight="1" x14ac:dyDescent="0.25">
      <c r="A22" s="10"/>
      <c r="B22" s="1872" t="s">
        <v>49</v>
      </c>
      <c r="C22" s="1881">
        <v>555988</v>
      </c>
      <c r="D22" s="1877">
        <v>257000</v>
      </c>
      <c r="E22" s="1877">
        <v>293675</v>
      </c>
      <c r="F22" s="1877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257000</v>
      </c>
      <c r="W22" s="1877"/>
      <c r="X22" s="1877"/>
      <c r="Y22" s="187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15158.792499999981</v>
      </c>
      <c r="W23" s="1879"/>
      <c r="X23" s="1879"/>
      <c r="Y23" s="1873"/>
    </row>
    <row r="24" spans="1:25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T24" s="1849"/>
      <c r="U24" s="51" t="s">
        <v>63</v>
      </c>
      <c r="V24" s="1877">
        <f>V15+V21-V22</f>
        <v>13081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842" t="s">
        <v>121</v>
      </c>
      <c r="U3" s="1842"/>
      <c r="V3" s="1842"/>
      <c r="W3" s="1842"/>
      <c r="X3" s="1842"/>
      <c r="Y3" s="1842"/>
    </row>
    <row r="4" spans="1:25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76" t="s">
        <v>54</v>
      </c>
      <c r="V14" s="1874">
        <v>15159</v>
      </c>
      <c r="W14" s="1875"/>
      <c r="X14" s="1876"/>
    </row>
    <row r="15" spans="1:25" ht="22.5" customHeight="1" x14ac:dyDescent="0.25">
      <c r="A15" s="11" t="s">
        <v>38</v>
      </c>
      <c r="B15" s="1874">
        <v>347289</v>
      </c>
      <c r="C15" s="1876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849"/>
      <c r="U15" s="76" t="s">
        <v>64</v>
      </c>
      <c r="V15" s="1877">
        <v>13081</v>
      </c>
      <c r="W15" s="1877"/>
      <c r="X15" s="1877"/>
    </row>
    <row r="16" spans="1:25" ht="24.75" customHeight="1" x14ac:dyDescent="0.25">
      <c r="A16" s="11" t="s">
        <v>39</v>
      </c>
      <c r="B16" s="1874">
        <v>30000</v>
      </c>
      <c r="C16" s="1876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215594.87249999997</v>
      </c>
      <c r="W16" s="1878"/>
      <c r="X16" s="1877"/>
    </row>
    <row r="17" spans="1:25" ht="33" customHeight="1" x14ac:dyDescent="0.25">
      <c r="A17" s="85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71" t="s">
        <v>104</v>
      </c>
      <c r="U17" s="1871"/>
      <c r="V17" s="1877"/>
      <c r="W17" s="1877"/>
      <c r="X17" s="1877"/>
    </row>
    <row r="18" spans="1:25" ht="27" customHeight="1" x14ac:dyDescent="0.25">
      <c r="A18" s="11" t="s">
        <v>40</v>
      </c>
      <c r="B18" s="1880">
        <f>C12</f>
        <v>105641</v>
      </c>
      <c r="C18" s="1876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871" t="s">
        <v>57</v>
      </c>
      <c r="U18" s="1871"/>
      <c r="V18" s="1877">
        <f>680+6772</f>
        <v>7452</v>
      </c>
      <c r="W18" s="1877"/>
      <c r="X18" s="1877"/>
      <c r="Y18" s="1883" t="s">
        <v>122</v>
      </c>
    </row>
    <row r="19" spans="1:25" ht="25.5" customHeight="1" x14ac:dyDescent="0.25">
      <c r="A19" s="11" t="s">
        <v>41</v>
      </c>
      <c r="B19" s="1874">
        <f>B15+B16+B17-B18</f>
        <v>271648</v>
      </c>
      <c r="C19" s="1876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869" t="s">
        <v>48</v>
      </c>
      <c r="U19" s="49" t="s">
        <v>58</v>
      </c>
      <c r="V19" s="1877">
        <v>209000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209380</v>
      </c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592663</v>
      </c>
      <c r="D22" s="1877">
        <v>209000</v>
      </c>
      <c r="E22" s="1877">
        <v>337013</v>
      </c>
      <c r="F22" s="1877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215772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20693.872499999969</v>
      </c>
      <c r="W23" s="1879"/>
      <c r="X23" s="1879"/>
      <c r="Y23" s="1883"/>
    </row>
    <row r="24" spans="1:25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T24" s="1849"/>
      <c r="U24" s="51" t="s">
        <v>63</v>
      </c>
      <c r="V24" s="1877">
        <f>V15+V21-V22</f>
        <v>6689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842" t="s">
        <v>123</v>
      </c>
      <c r="U3" s="1842"/>
      <c r="V3" s="1842"/>
      <c r="W3" s="1842"/>
      <c r="X3" s="1842"/>
      <c r="Y3" s="1842"/>
    </row>
    <row r="4" spans="1:25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76" t="s">
        <v>54</v>
      </c>
      <c r="V14" s="1874">
        <v>20694</v>
      </c>
      <c r="W14" s="1875"/>
      <c r="X14" s="1876"/>
    </row>
    <row r="15" spans="1:25" ht="22.5" customHeight="1" x14ac:dyDescent="0.25">
      <c r="A15" s="11" t="s">
        <v>38</v>
      </c>
      <c r="B15" s="1874">
        <v>271648</v>
      </c>
      <c r="C15" s="1876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849"/>
      <c r="U15" s="76" t="s">
        <v>64</v>
      </c>
      <c r="V15" s="1877">
        <v>6689</v>
      </c>
      <c r="W15" s="1877"/>
      <c r="X15" s="1877"/>
    </row>
    <row r="16" spans="1:25" ht="24.75" customHeight="1" x14ac:dyDescent="0.25">
      <c r="A16" s="11" t="s">
        <v>39</v>
      </c>
      <c r="B16" s="1874">
        <v>160000</v>
      </c>
      <c r="C16" s="1876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205872.83500000002</v>
      </c>
      <c r="W16" s="1878"/>
      <c r="X16" s="1877"/>
    </row>
    <row r="17" spans="1:25" ht="33" customHeight="1" x14ac:dyDescent="0.25">
      <c r="A17" s="85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71" t="s">
        <v>104</v>
      </c>
      <c r="U17" s="1871"/>
      <c r="V17" s="1877"/>
      <c r="W17" s="1877"/>
      <c r="X17" s="1877"/>
    </row>
    <row r="18" spans="1:25" ht="27" customHeight="1" x14ac:dyDescent="0.25">
      <c r="A18" s="11" t="s">
        <v>40</v>
      </c>
      <c r="B18" s="1880">
        <f>C12</f>
        <v>135206</v>
      </c>
      <c r="C18" s="1876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871" t="s">
        <v>57</v>
      </c>
      <c r="U18" s="1871"/>
      <c r="V18" s="1877">
        <v>530</v>
      </c>
      <c r="W18" s="1877"/>
      <c r="X18" s="1877"/>
      <c r="Y18" s="1883" t="s">
        <v>103</v>
      </c>
    </row>
    <row r="19" spans="1:25" ht="25.5" customHeight="1" x14ac:dyDescent="0.25">
      <c r="A19" s="11" t="s">
        <v>41</v>
      </c>
      <c r="B19" s="1874">
        <f>B15+B16+B17-B18</f>
        <v>296442</v>
      </c>
      <c r="C19" s="1876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869" t="s">
        <v>48</v>
      </c>
      <c r="U19" s="49" t="s">
        <v>58</v>
      </c>
      <c r="V19" s="1877">
        <v>202600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202670</v>
      </c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720676</v>
      </c>
      <c r="D22" s="1877">
        <v>202600</v>
      </c>
      <c r="E22" s="1877">
        <v>154000</v>
      </c>
      <c r="F22" s="1877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202600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23366.835000000021</v>
      </c>
      <c r="W23" s="1879"/>
      <c r="X23" s="1879"/>
      <c r="Y23" s="1883"/>
    </row>
    <row r="24" spans="1:25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T24" s="1849"/>
      <c r="U24" s="51" t="s">
        <v>63</v>
      </c>
      <c r="V24" s="1877">
        <f>V15+V21-V22</f>
        <v>6759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842" t="s">
        <v>124</v>
      </c>
      <c r="U3" s="1842"/>
      <c r="V3" s="1842"/>
      <c r="W3" s="1842"/>
      <c r="X3" s="1842"/>
      <c r="Y3" s="1842"/>
    </row>
    <row r="4" spans="1:25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76" t="s">
        <v>54</v>
      </c>
      <c r="V14" s="1874">
        <v>23367</v>
      </c>
      <c r="W14" s="1875"/>
      <c r="X14" s="1876"/>
    </row>
    <row r="15" spans="1:25" ht="22.5" customHeight="1" x14ac:dyDescent="0.25">
      <c r="A15" s="11" t="s">
        <v>38</v>
      </c>
      <c r="B15" s="1874">
        <v>296442</v>
      </c>
      <c r="C15" s="1876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849"/>
      <c r="U15" s="76" t="s">
        <v>64</v>
      </c>
      <c r="V15" s="1877">
        <v>6759</v>
      </c>
      <c r="W15" s="1877"/>
      <c r="X15" s="1877"/>
    </row>
    <row r="16" spans="1:25" ht="24.75" customHeight="1" x14ac:dyDescent="0.25">
      <c r="A16" s="11" t="s">
        <v>39</v>
      </c>
      <c r="B16" s="1874">
        <v>100000</v>
      </c>
      <c r="C16" s="1876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297639.6925</v>
      </c>
      <c r="W16" s="1878"/>
      <c r="X16" s="1877"/>
    </row>
    <row r="17" spans="1:25" ht="33" customHeight="1" x14ac:dyDescent="0.25">
      <c r="A17" s="85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71" t="s">
        <v>95</v>
      </c>
      <c r="U17" s="1871"/>
      <c r="V17" s="1877">
        <v>1350</v>
      </c>
      <c r="W17" s="1877"/>
      <c r="X17" s="1877"/>
    </row>
    <row r="18" spans="1:25" ht="27" customHeight="1" x14ac:dyDescent="0.25">
      <c r="A18" s="11" t="s">
        <v>40</v>
      </c>
      <c r="B18" s="1880">
        <f>C12</f>
        <v>103593</v>
      </c>
      <c r="C18" s="1876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871" t="s">
        <v>57</v>
      </c>
      <c r="U18" s="1871"/>
      <c r="V18" s="1877">
        <f>530+151940</f>
        <v>152470</v>
      </c>
      <c r="W18" s="1877"/>
      <c r="X18" s="1877"/>
      <c r="Y18" s="1883" t="s">
        <v>125</v>
      </c>
    </row>
    <row r="19" spans="1:25" ht="25.5" customHeight="1" x14ac:dyDescent="0.25">
      <c r="A19" s="11" t="s">
        <v>41</v>
      </c>
      <c r="B19" s="1874">
        <f>B15+B16+B17-B18</f>
        <v>292849</v>
      </c>
      <c r="C19" s="1876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869" t="s">
        <v>48</v>
      </c>
      <c r="U19" s="49" t="s">
        <v>58</v>
      </c>
      <c r="V19" s="1877">
        <v>148800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148800</v>
      </c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672076</v>
      </c>
      <c r="D22" s="1877">
        <v>148800</v>
      </c>
      <c r="E22" s="1877">
        <v>96250</v>
      </c>
      <c r="F22" s="1877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148800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21086.692500000005</v>
      </c>
      <c r="W23" s="1879"/>
      <c r="X23" s="1879"/>
      <c r="Y23" s="1883"/>
    </row>
    <row r="24" spans="1:25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T24" s="1849"/>
      <c r="U24" s="51" t="s">
        <v>63</v>
      </c>
      <c r="V24" s="1877">
        <f>V15+V21-V22</f>
        <v>6759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842" t="s">
        <v>126</v>
      </c>
      <c r="U3" s="1842"/>
      <c r="V3" s="1842"/>
      <c r="W3" s="1842"/>
      <c r="X3" s="1842"/>
      <c r="Y3" s="1842"/>
    </row>
    <row r="4" spans="1:25" s="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8" customFormat="1" ht="25.5" customHeight="1" x14ac:dyDescent="0.25">
      <c r="A5" s="1843"/>
      <c r="B5" s="1843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76" t="s">
        <v>54</v>
      </c>
      <c r="V14" s="1874">
        <v>21087</v>
      </c>
      <c r="W14" s="1875"/>
      <c r="X14" s="1876"/>
    </row>
    <row r="15" spans="1:25" ht="22.5" customHeight="1" x14ac:dyDescent="0.25">
      <c r="A15" s="11" t="s">
        <v>38</v>
      </c>
      <c r="B15" s="1874">
        <v>292849</v>
      </c>
      <c r="C15" s="1876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849"/>
      <c r="U15" s="76" t="s">
        <v>64</v>
      </c>
      <c r="V15" s="1877">
        <v>6759</v>
      </c>
      <c r="W15" s="1877"/>
      <c r="X15" s="1877"/>
    </row>
    <row r="16" spans="1:25" ht="24.75" customHeight="1" x14ac:dyDescent="0.25">
      <c r="A16" s="11" t="s">
        <v>39</v>
      </c>
      <c r="B16" s="1874">
        <v>330000</v>
      </c>
      <c r="C16" s="1876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209312.8125</v>
      </c>
      <c r="W16" s="1878"/>
      <c r="X16" s="1877"/>
    </row>
    <row r="17" spans="1:25" ht="33" customHeight="1" x14ac:dyDescent="0.25">
      <c r="A17" s="85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71" t="s">
        <v>104</v>
      </c>
      <c r="U17" s="1871"/>
      <c r="V17" s="1877"/>
      <c r="W17" s="1877"/>
      <c r="X17" s="1877"/>
    </row>
    <row r="18" spans="1:25" ht="27" customHeight="1" x14ac:dyDescent="0.25">
      <c r="A18" s="11" t="s">
        <v>40</v>
      </c>
      <c r="B18" s="1880">
        <f>C12</f>
        <v>176225</v>
      </c>
      <c r="C18" s="1876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871" t="s">
        <v>57</v>
      </c>
      <c r="U18" s="1871"/>
      <c r="V18" s="1877">
        <v>530</v>
      </c>
      <c r="W18" s="1877"/>
      <c r="X18" s="1877"/>
      <c r="Y18" s="1883" t="s">
        <v>100</v>
      </c>
    </row>
    <row r="19" spans="1:25" ht="25.5" customHeight="1" x14ac:dyDescent="0.25">
      <c r="A19" s="11" t="s">
        <v>41</v>
      </c>
      <c r="B19" s="1874">
        <f>B15+B16+B17-B18</f>
        <v>446624</v>
      </c>
      <c r="C19" s="1876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869" t="s">
        <v>48</v>
      </c>
      <c r="U19" s="49" t="s">
        <v>58</v>
      </c>
      <c r="V19" s="1877">
        <v>205900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205960</v>
      </c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619526</v>
      </c>
      <c r="D22" s="1877">
        <v>205900</v>
      </c>
      <c r="E22" s="1877">
        <v>317625</v>
      </c>
      <c r="F22" s="1877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205900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23909.8125</v>
      </c>
      <c r="W23" s="1879"/>
      <c r="X23" s="1879"/>
      <c r="Y23" s="1883"/>
    </row>
    <row r="24" spans="1:25" ht="27" customHeight="1" x14ac:dyDescent="0.25">
      <c r="B24" s="1872"/>
      <c r="C24" s="76" t="s">
        <v>46</v>
      </c>
      <c r="D24" s="76" t="s">
        <v>50</v>
      </c>
      <c r="E24" s="76" t="s">
        <v>51</v>
      </c>
      <c r="F24" s="76" t="s">
        <v>52</v>
      </c>
      <c r="T24" s="1849"/>
      <c r="U24" s="51" t="s">
        <v>63</v>
      </c>
      <c r="V24" s="1877">
        <f>V15+V21-V22</f>
        <v>6819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842" t="s">
        <v>127</v>
      </c>
      <c r="U3" s="1842"/>
      <c r="V3" s="1842"/>
      <c r="W3" s="1842"/>
      <c r="X3" s="1842"/>
      <c r="Y3" s="1842"/>
    </row>
    <row r="4" spans="1:25" s="7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9" customFormat="1" ht="25.5" customHeight="1" x14ac:dyDescent="0.25">
      <c r="A5" s="1843"/>
      <c r="B5" s="184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80" t="s">
        <v>54</v>
      </c>
      <c r="V14" s="1874">
        <v>23910</v>
      </c>
      <c r="W14" s="1875"/>
      <c r="X14" s="1876"/>
    </row>
    <row r="15" spans="1:25" ht="22.5" customHeight="1" x14ac:dyDescent="0.25">
      <c r="A15" s="11" t="s">
        <v>38</v>
      </c>
      <c r="B15" s="1874">
        <v>446624</v>
      </c>
      <c r="C15" s="1876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849"/>
      <c r="U15" s="80" t="s">
        <v>64</v>
      </c>
      <c r="V15" s="1877">
        <v>6819</v>
      </c>
      <c r="W15" s="1877"/>
      <c r="X15" s="1877"/>
    </row>
    <row r="16" spans="1:25" ht="24.75" customHeight="1" x14ac:dyDescent="0.25">
      <c r="A16" s="11" t="s">
        <v>39</v>
      </c>
      <c r="B16" s="1874"/>
      <c r="C16" s="1876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147433.3725</v>
      </c>
      <c r="W16" s="1878"/>
      <c r="X16" s="1877"/>
    </row>
    <row r="17" spans="1:25" ht="49.5" customHeight="1" x14ac:dyDescent="0.25">
      <c r="A17" s="85" t="s">
        <v>44</v>
      </c>
      <c r="B17" s="1874">
        <v>62075</v>
      </c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84" t="s">
        <v>128</v>
      </c>
      <c r="U17" s="1885"/>
      <c r="V17" s="1877">
        <v>41265</v>
      </c>
      <c r="W17" s="1877"/>
      <c r="X17" s="1877"/>
    </row>
    <row r="18" spans="1:25" ht="27" customHeight="1" x14ac:dyDescent="0.25">
      <c r="A18" s="11" t="s">
        <v>40</v>
      </c>
      <c r="B18" s="1880">
        <f>C12</f>
        <v>123841</v>
      </c>
      <c r="C18" s="1876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871" t="s">
        <v>57</v>
      </c>
      <c r="U18" s="1871"/>
      <c r="V18" s="1877">
        <f>530+10000+59747</f>
        <v>70277</v>
      </c>
      <c r="W18" s="1877"/>
      <c r="X18" s="1877"/>
      <c r="Y18" s="1883" t="s">
        <v>129</v>
      </c>
    </row>
    <row r="19" spans="1:25" ht="25.5" customHeight="1" x14ac:dyDescent="0.25">
      <c r="A19" s="11" t="s">
        <v>41</v>
      </c>
      <c r="B19" s="1874">
        <f>B15+B16+B17-B18</f>
        <v>384858</v>
      </c>
      <c r="C19" s="1876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/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731251</v>
      </c>
      <c r="D22" s="1877"/>
      <c r="E22" s="1877"/>
      <c r="F22" s="1877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/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142331.3725</v>
      </c>
      <c r="W23" s="1879"/>
      <c r="X23" s="1879"/>
      <c r="Y23" s="1883"/>
    </row>
    <row r="24" spans="1:25" ht="27" customHeight="1" x14ac:dyDescent="0.25">
      <c r="B24" s="1872"/>
      <c r="C24" s="80" t="s">
        <v>46</v>
      </c>
      <c r="D24" s="80" t="s">
        <v>50</v>
      </c>
      <c r="E24" s="80" t="s">
        <v>51</v>
      </c>
      <c r="F24" s="80" t="s">
        <v>52</v>
      </c>
      <c r="T24" s="1849"/>
      <c r="U24" s="51" t="s">
        <v>63</v>
      </c>
      <c r="V24" s="1877">
        <f>V15+V21-V22</f>
        <v>6819</v>
      </c>
      <c r="W24" s="1877"/>
      <c r="X24" s="1877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842" t="s">
        <v>130</v>
      </c>
      <c r="U3" s="1842"/>
      <c r="V3" s="1842"/>
      <c r="W3" s="1842"/>
      <c r="X3" s="1842"/>
      <c r="Y3" s="1842"/>
    </row>
    <row r="4" spans="1:25" s="7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9" customFormat="1" ht="25.5" customHeight="1" x14ac:dyDescent="0.25">
      <c r="A5" s="1843"/>
      <c r="B5" s="1843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80" t="s">
        <v>54</v>
      </c>
      <c r="V14" s="1874">
        <v>142331</v>
      </c>
      <c r="W14" s="1875"/>
      <c r="X14" s="1876"/>
    </row>
    <row r="15" spans="1:25" ht="22.5" customHeight="1" x14ac:dyDescent="0.25">
      <c r="A15" s="100" t="s">
        <v>38</v>
      </c>
      <c r="B15" s="1874">
        <v>384858</v>
      </c>
      <c r="C15" s="1876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849"/>
      <c r="U15" s="80" t="s">
        <v>64</v>
      </c>
      <c r="V15" s="1877">
        <v>6819</v>
      </c>
      <c r="W15" s="1877"/>
      <c r="X15" s="1877"/>
    </row>
    <row r="16" spans="1:25" ht="24.75" customHeight="1" x14ac:dyDescent="0.25">
      <c r="A16" s="100" t="s">
        <v>39</v>
      </c>
      <c r="B16" s="1874">
        <v>50000</v>
      </c>
      <c r="C16" s="1876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871" t="s">
        <v>55</v>
      </c>
      <c r="U16" s="1871"/>
      <c r="V16" s="1878">
        <f>Y12</f>
        <v>153621.87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117532</v>
      </c>
      <c r="C18" s="1876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871" t="s">
        <v>57</v>
      </c>
      <c r="U18" s="1871"/>
      <c r="V18" s="1877">
        <f>530+353</f>
        <v>883</v>
      </c>
      <c r="W18" s="1877"/>
      <c r="X18" s="1877"/>
      <c r="Y18" s="1883" t="s">
        <v>131</v>
      </c>
    </row>
    <row r="19" spans="1:25" ht="25.5" customHeight="1" x14ac:dyDescent="0.25">
      <c r="A19" s="100" t="s">
        <v>41</v>
      </c>
      <c r="B19" s="1874">
        <f>B15+B16+B17-B18</f>
        <v>317326</v>
      </c>
      <c r="C19" s="1876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869" t="s">
        <v>48</v>
      </c>
      <c r="U19" s="49" t="s">
        <v>58</v>
      </c>
      <c r="V19" s="1877">
        <v>277000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277330</v>
      </c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731251</v>
      </c>
      <c r="D22" s="1877">
        <v>277000</v>
      </c>
      <c r="E22" s="1877">
        <v>221196</v>
      </c>
      <c r="F22" s="1877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277000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17739.869999999995</v>
      </c>
      <c r="W23" s="1879"/>
      <c r="X23" s="1879"/>
      <c r="Y23" s="1883"/>
    </row>
    <row r="24" spans="1:25" ht="27" customHeight="1" x14ac:dyDescent="0.25">
      <c r="B24" s="1872"/>
      <c r="C24" s="80" t="s">
        <v>46</v>
      </c>
      <c r="D24" s="80" t="s">
        <v>50</v>
      </c>
      <c r="E24" s="80" t="s">
        <v>51</v>
      </c>
      <c r="F24" s="80" t="s">
        <v>52</v>
      </c>
      <c r="T24" s="1849"/>
      <c r="U24" s="51" t="s">
        <v>63</v>
      </c>
      <c r="V24" s="1877">
        <f>V15+V21-V22</f>
        <v>7149</v>
      </c>
      <c r="W24" s="1877"/>
      <c r="X24" s="1877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842" t="s">
        <v>132</v>
      </c>
      <c r="U3" s="1842"/>
      <c r="V3" s="1842"/>
      <c r="W3" s="1842"/>
      <c r="X3" s="1842"/>
      <c r="Y3" s="1842"/>
    </row>
    <row r="4" spans="1:25" s="9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6" customFormat="1" ht="25.5" customHeight="1" x14ac:dyDescent="0.25">
      <c r="A5" s="1843"/>
      <c r="B5" s="184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94" t="s">
        <v>54</v>
      </c>
      <c r="V14" s="1874">
        <v>17740</v>
      </c>
      <c r="W14" s="1875"/>
      <c r="X14" s="1876"/>
    </row>
    <row r="15" spans="1:25" ht="22.5" customHeight="1" x14ac:dyDescent="0.25">
      <c r="A15" s="100" t="s">
        <v>38</v>
      </c>
      <c r="B15" s="1874">
        <v>317326</v>
      </c>
      <c r="C15" s="1876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849"/>
      <c r="U15" s="94" t="s">
        <v>64</v>
      </c>
      <c r="V15" s="1877">
        <v>7149</v>
      </c>
      <c r="W15" s="1877"/>
      <c r="X15" s="1877"/>
    </row>
    <row r="16" spans="1:25" ht="24.75" customHeight="1" x14ac:dyDescent="0.25">
      <c r="A16" s="100" t="s">
        <v>39</v>
      </c>
      <c r="B16" s="1874">
        <v>107013</v>
      </c>
      <c r="C16" s="1876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871" t="s">
        <v>55</v>
      </c>
      <c r="U16" s="1871"/>
      <c r="V16" s="1878">
        <f>Y12</f>
        <v>106712.6225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101541</v>
      </c>
      <c r="C18" s="1876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871" t="s">
        <v>57</v>
      </c>
      <c r="U18" s="1871"/>
      <c r="V18" s="1877">
        <f>530+1800</f>
        <v>2330</v>
      </c>
      <c r="W18" s="1877"/>
      <c r="X18" s="1877"/>
      <c r="Y18" s="1883" t="s">
        <v>133</v>
      </c>
    </row>
    <row r="19" spans="1:25" ht="25.5" customHeight="1" x14ac:dyDescent="0.25">
      <c r="A19" s="100" t="s">
        <v>41</v>
      </c>
      <c r="B19" s="1874">
        <f>B15+B16+B17-B18</f>
        <v>322798</v>
      </c>
      <c r="C19" s="1876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869" t="s">
        <v>48</v>
      </c>
      <c r="U19" s="49" t="s">
        <v>58</v>
      </c>
      <c r="V19" s="1877">
        <v>103000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863" t="s">
        <v>83</v>
      </c>
      <c r="U21" s="50" t="s">
        <v>60</v>
      </c>
      <c r="V21" s="1877">
        <v>103150</v>
      </c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675447</v>
      </c>
      <c r="D22" s="1877">
        <v>103000</v>
      </c>
      <c r="E22" s="1877">
        <v>103000</v>
      </c>
      <c r="F22" s="1877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103000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18972.622499999998</v>
      </c>
      <c r="W23" s="1879"/>
      <c r="X23" s="1879"/>
      <c r="Y23" s="1883"/>
    </row>
    <row r="24" spans="1:25" ht="27" customHeight="1" x14ac:dyDescent="0.25">
      <c r="B24" s="1872"/>
      <c r="C24" s="94" t="s">
        <v>46</v>
      </c>
      <c r="D24" s="94" t="s">
        <v>50</v>
      </c>
      <c r="E24" s="94" t="s">
        <v>51</v>
      </c>
      <c r="F24" s="94" t="s">
        <v>52</v>
      </c>
      <c r="T24" s="1849"/>
      <c r="U24" s="51" t="s">
        <v>63</v>
      </c>
      <c r="V24" s="1877">
        <f>V15+V21-V22</f>
        <v>7299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842" t="s">
        <v>134</v>
      </c>
      <c r="U3" s="1842"/>
      <c r="V3" s="1842"/>
      <c r="W3" s="1842"/>
      <c r="X3" s="1842"/>
      <c r="Y3" s="1842"/>
    </row>
    <row r="4" spans="1:25" s="9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6" customFormat="1" ht="25.5" customHeight="1" x14ac:dyDescent="0.25">
      <c r="A5" s="1843"/>
      <c r="B5" s="1843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94" t="s">
        <v>54</v>
      </c>
      <c r="V14" s="1874">
        <v>18973</v>
      </c>
      <c r="W14" s="1875"/>
      <c r="X14" s="1876"/>
    </row>
    <row r="15" spans="1:25" ht="22.5" customHeight="1" x14ac:dyDescent="0.25">
      <c r="A15" s="100" t="s">
        <v>38</v>
      </c>
      <c r="B15" s="1874">
        <v>322798</v>
      </c>
      <c r="C15" s="1876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849"/>
      <c r="U15" s="94" t="s">
        <v>64</v>
      </c>
      <c r="V15" s="1877">
        <v>7299</v>
      </c>
      <c r="W15" s="1877"/>
      <c r="X15" s="1877"/>
    </row>
    <row r="16" spans="1:25" ht="24.75" customHeight="1" x14ac:dyDescent="0.25">
      <c r="A16" s="100" t="s">
        <v>39</v>
      </c>
      <c r="B16" s="1874">
        <v>100000</v>
      </c>
      <c r="C16" s="1876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871" t="s">
        <v>55</v>
      </c>
      <c r="U16" s="1871"/>
      <c r="V16" s="1878">
        <f>Y12</f>
        <v>198089.89250000002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95313</v>
      </c>
      <c r="C18" s="1876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871" t="s">
        <v>57</v>
      </c>
      <c r="U18" s="1871"/>
      <c r="V18" s="1877">
        <f>530+100</f>
        <v>630</v>
      </c>
      <c r="W18" s="1877"/>
      <c r="X18" s="1877"/>
      <c r="Y18" s="1883" t="s">
        <v>135</v>
      </c>
    </row>
    <row r="19" spans="1:25" ht="25.5" customHeight="1" x14ac:dyDescent="0.25">
      <c r="A19" s="100" t="s">
        <v>41</v>
      </c>
      <c r="B19" s="1874">
        <f>B15+B16+B17-B18</f>
        <v>327485</v>
      </c>
      <c r="C19" s="1876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869" t="s">
        <v>48</v>
      </c>
      <c r="U19" s="49" t="s">
        <v>58</v>
      </c>
      <c r="V19" s="1877">
        <v>195000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195520</v>
      </c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675447</v>
      </c>
      <c r="D22" s="1877">
        <v>195000</v>
      </c>
      <c r="E22" s="1877">
        <v>197941</v>
      </c>
      <c r="F22" s="1877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195000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20912.892500000016</v>
      </c>
      <c r="W23" s="1879"/>
      <c r="X23" s="1879"/>
      <c r="Y23" s="1883"/>
    </row>
    <row r="24" spans="1:25" ht="27" customHeight="1" x14ac:dyDescent="0.25">
      <c r="B24" s="1872"/>
      <c r="C24" s="94" t="s">
        <v>46</v>
      </c>
      <c r="D24" s="94" t="s">
        <v>50</v>
      </c>
      <c r="E24" s="94" t="s">
        <v>51</v>
      </c>
      <c r="F24" s="94" t="s">
        <v>52</v>
      </c>
      <c r="T24" s="1849"/>
      <c r="U24" s="51" t="s">
        <v>63</v>
      </c>
      <c r="V24" s="1877">
        <f>V15+V21-V22</f>
        <v>7819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842" t="s">
        <v>136</v>
      </c>
      <c r="U3" s="1842"/>
      <c r="V3" s="1842"/>
      <c r="W3" s="1842"/>
      <c r="X3" s="1842"/>
      <c r="Y3" s="1842"/>
    </row>
    <row r="4" spans="1:25" s="10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2" customFormat="1" ht="25.5" customHeight="1" x14ac:dyDescent="0.25">
      <c r="A5" s="1843"/>
      <c r="B5" s="1843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103" t="s">
        <v>54</v>
      </c>
      <c r="V14" s="1874">
        <v>20913</v>
      </c>
      <c r="W14" s="1875"/>
      <c r="X14" s="1876"/>
    </row>
    <row r="15" spans="1:25" ht="22.5" customHeight="1" x14ac:dyDescent="0.25">
      <c r="A15" s="100" t="s">
        <v>38</v>
      </c>
      <c r="B15" s="1874">
        <v>327485</v>
      </c>
      <c r="C15" s="1876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849"/>
      <c r="U15" s="103" t="s">
        <v>64</v>
      </c>
      <c r="V15" s="1877">
        <v>7819</v>
      </c>
      <c r="W15" s="1877"/>
      <c r="X15" s="1877"/>
    </row>
    <row r="16" spans="1:25" ht="24.75" customHeight="1" x14ac:dyDescent="0.25">
      <c r="A16" s="100" t="s">
        <v>39</v>
      </c>
      <c r="B16" s="1874">
        <v>100000</v>
      </c>
      <c r="C16" s="1876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871" t="s">
        <v>55</v>
      </c>
      <c r="U16" s="1871"/>
      <c r="V16" s="1878">
        <f>Y12</f>
        <v>184450.21249999999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127265</v>
      </c>
      <c r="C18" s="1876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871" t="s">
        <v>57</v>
      </c>
      <c r="U18" s="1871"/>
      <c r="V18" s="1877">
        <f>530+100</f>
        <v>630</v>
      </c>
      <c r="W18" s="1877"/>
      <c r="X18" s="1877"/>
      <c r="Y18" s="1883" t="s">
        <v>137</v>
      </c>
    </row>
    <row r="19" spans="1:25" ht="25.5" customHeight="1" x14ac:dyDescent="0.25">
      <c r="A19" s="100" t="s">
        <v>41</v>
      </c>
      <c r="B19" s="1874">
        <f>B15+B16+B17-B18</f>
        <v>300220</v>
      </c>
      <c r="C19" s="1876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869" t="s">
        <v>48</v>
      </c>
      <c r="U19" s="49" t="s">
        <v>58</v>
      </c>
      <c r="V19" s="1877">
        <v>185000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185180</v>
      </c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678388</v>
      </c>
      <c r="D22" s="1877">
        <v>185000</v>
      </c>
      <c r="E22" s="1877">
        <v>96250</v>
      </c>
      <c r="F22" s="1877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4"/>
      <c r="U22" s="50" t="s">
        <v>61</v>
      </c>
      <c r="V22" s="1877">
        <v>185000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19553.212499999994</v>
      </c>
      <c r="W23" s="1879"/>
      <c r="X23" s="1879"/>
      <c r="Y23" s="1883"/>
    </row>
    <row r="24" spans="1:25" ht="27" customHeight="1" x14ac:dyDescent="0.25">
      <c r="B24" s="1872"/>
      <c r="C24" s="103" t="s">
        <v>46</v>
      </c>
      <c r="D24" s="103" t="s">
        <v>50</v>
      </c>
      <c r="E24" s="103" t="s">
        <v>51</v>
      </c>
      <c r="F24" s="103" t="s">
        <v>52</v>
      </c>
      <c r="T24" s="1849"/>
      <c r="U24" s="51" t="s">
        <v>63</v>
      </c>
      <c r="V24" s="1877">
        <f>V15+V21-V22</f>
        <v>7999</v>
      </c>
      <c r="W24" s="1877"/>
      <c r="X24" s="1877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138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114" t="s">
        <v>54</v>
      </c>
      <c r="V14" s="1874">
        <v>19553</v>
      </c>
      <c r="W14" s="1875"/>
      <c r="X14" s="1876"/>
    </row>
    <row r="15" spans="1:25" ht="22.5" customHeight="1" x14ac:dyDescent="0.25">
      <c r="A15" s="100" t="s">
        <v>38</v>
      </c>
      <c r="B15" s="1874">
        <v>300220</v>
      </c>
      <c r="C15" s="1876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849"/>
      <c r="U15" s="114" t="s">
        <v>64</v>
      </c>
      <c r="V15" s="1877">
        <v>7999</v>
      </c>
      <c r="W15" s="1877"/>
      <c r="X15" s="1877"/>
    </row>
    <row r="16" spans="1:25" ht="24.75" customHeight="1" x14ac:dyDescent="0.25">
      <c r="A16" s="100" t="s">
        <v>39</v>
      </c>
      <c r="B16" s="1874">
        <v>281481</v>
      </c>
      <c r="C16" s="187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871" t="s">
        <v>55</v>
      </c>
      <c r="U16" s="1871"/>
      <c r="V16" s="1878">
        <f>Y12</f>
        <v>281019.56500000006</v>
      </c>
      <c r="W16" s="1878"/>
      <c r="X16" s="1877"/>
    </row>
    <row r="17" spans="1:25" ht="28.5" customHeight="1" x14ac:dyDescent="0.25">
      <c r="A17" s="101" t="s">
        <v>44</v>
      </c>
      <c r="B17" s="1874">
        <v>10065</v>
      </c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199034</v>
      </c>
      <c r="C18" s="1876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871" t="s">
        <v>57</v>
      </c>
      <c r="U18" s="1871"/>
      <c r="V18" s="1877">
        <f>530+9688</f>
        <v>10218</v>
      </c>
      <c r="W18" s="1877"/>
      <c r="X18" s="1877"/>
      <c r="Y18" s="1883" t="s">
        <v>125</v>
      </c>
    </row>
    <row r="19" spans="1:25" ht="25.5" customHeight="1" x14ac:dyDescent="0.25">
      <c r="A19" s="100" t="s">
        <v>41</v>
      </c>
      <c r="B19" s="1874">
        <f>B15+B16+B17-B18</f>
        <v>392732</v>
      </c>
      <c r="C19" s="1876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869" t="s">
        <v>48</v>
      </c>
      <c r="U19" s="49" t="s">
        <v>58</v>
      </c>
      <c r="V19" s="1877">
        <v>271000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272130</v>
      </c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589638</v>
      </c>
      <c r="D22" s="1877">
        <v>271000</v>
      </c>
      <c r="E22" s="1877">
        <v>270925</v>
      </c>
      <c r="F22" s="1877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271000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18224.565000000061</v>
      </c>
      <c r="W23" s="1879"/>
      <c r="X23" s="1879"/>
      <c r="Y23" s="1883"/>
    </row>
    <row r="24" spans="1:25" ht="27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9129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141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114" t="s">
        <v>54</v>
      </c>
      <c r="V14" s="1874">
        <v>18225</v>
      </c>
      <c r="W14" s="1875"/>
      <c r="X14" s="1876"/>
    </row>
    <row r="15" spans="1:25" ht="22.5" customHeight="1" x14ac:dyDescent="0.25">
      <c r="A15" s="100" t="s">
        <v>38</v>
      </c>
      <c r="B15" s="1874">
        <v>392732</v>
      </c>
      <c r="C15" s="1876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849"/>
      <c r="U15" s="114" t="s">
        <v>64</v>
      </c>
      <c r="V15" s="1877">
        <v>9129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871" t="s">
        <v>55</v>
      </c>
      <c r="U16" s="1871"/>
      <c r="V16" s="1878">
        <f>Y12</f>
        <v>133015.32500000001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96970</v>
      </c>
      <c r="C18" s="1876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871" t="s">
        <v>57</v>
      </c>
      <c r="U18" s="1871"/>
      <c r="V18" s="1877">
        <v>530</v>
      </c>
      <c r="W18" s="1877"/>
      <c r="X18" s="1877"/>
      <c r="Y18" s="1883" t="s">
        <v>103</v>
      </c>
    </row>
    <row r="19" spans="1:25" ht="25.5" customHeight="1" x14ac:dyDescent="0.25">
      <c r="A19" s="100" t="s">
        <v>41</v>
      </c>
      <c r="B19" s="1874">
        <f>B15+B16+B17-B18</f>
        <v>295762</v>
      </c>
      <c r="C19" s="1876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/>
      <c r="W21" s="1877"/>
      <c r="X21" s="1877"/>
      <c r="Y21" s="1883"/>
    </row>
    <row r="22" spans="1:25" ht="29.25" customHeight="1" x14ac:dyDescent="0.25">
      <c r="A22" s="10"/>
      <c r="B22" s="1872" t="s">
        <v>49</v>
      </c>
      <c r="C22" s="1881">
        <v>589563</v>
      </c>
      <c r="D22" s="1877"/>
      <c r="E22" s="1877"/>
      <c r="F22" s="1877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/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150710.32500000001</v>
      </c>
      <c r="W23" s="1879"/>
      <c r="X23" s="1879"/>
      <c r="Y23" s="1883"/>
    </row>
    <row r="24" spans="1:25" ht="27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9129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142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114" t="s">
        <v>54</v>
      </c>
      <c r="V14" s="1874">
        <v>150710</v>
      </c>
      <c r="W14" s="1875"/>
      <c r="X14" s="1876"/>
    </row>
    <row r="15" spans="1:25" ht="22.5" customHeight="1" x14ac:dyDescent="0.25">
      <c r="A15" s="100" t="s">
        <v>38</v>
      </c>
      <c r="B15" s="1874">
        <v>295762</v>
      </c>
      <c r="C15" s="1876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849"/>
      <c r="U15" s="114" t="s">
        <v>64</v>
      </c>
      <c r="V15" s="1877">
        <v>9129</v>
      </c>
      <c r="W15" s="1877"/>
      <c r="X15" s="1877"/>
    </row>
    <row r="16" spans="1:25" ht="24.75" customHeight="1" x14ac:dyDescent="0.25">
      <c r="A16" s="100" t="s">
        <v>39</v>
      </c>
      <c r="B16" s="1874">
        <v>87207</v>
      </c>
      <c r="C16" s="187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871" t="s">
        <v>55</v>
      </c>
      <c r="U16" s="1871"/>
      <c r="V16" s="1878">
        <f>Y12</f>
        <v>143348.01750000002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116363</v>
      </c>
      <c r="C18" s="1876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871" t="s">
        <v>57</v>
      </c>
      <c r="U18" s="1871"/>
      <c r="V18" s="1877">
        <f>530+450</f>
        <v>980</v>
      </c>
      <c r="W18" s="1877"/>
      <c r="X18" s="1877"/>
      <c r="Y18" s="1883" t="s">
        <v>143</v>
      </c>
    </row>
    <row r="19" spans="1:25" ht="25.5" customHeight="1" x14ac:dyDescent="0.25">
      <c r="A19" s="100" t="s">
        <v>41</v>
      </c>
      <c r="B19" s="1874">
        <f>B15+B16+B17-B18</f>
        <v>266606</v>
      </c>
      <c r="C19" s="1876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869" t="s">
        <v>48</v>
      </c>
      <c r="U19" s="49" t="s">
        <v>58</v>
      </c>
      <c r="V19" s="1877">
        <v>273500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273500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589563</v>
      </c>
      <c r="D22" s="1877">
        <v>273500</v>
      </c>
      <c r="E22" s="1877">
        <v>83937</v>
      </c>
      <c r="F22" s="1877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273500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19578.017500000016</v>
      </c>
      <c r="W23" s="1879"/>
      <c r="X23" s="1879"/>
      <c r="Y23" s="1883"/>
    </row>
    <row r="24" spans="1:25" ht="27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9129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40" t="s">
        <v>76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144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114" t="s">
        <v>54</v>
      </c>
      <c r="V14" s="1874">
        <v>19578</v>
      </c>
      <c r="W14" s="1875"/>
      <c r="X14" s="1876"/>
    </row>
    <row r="15" spans="1:25" ht="22.5" customHeight="1" x14ac:dyDescent="0.25">
      <c r="A15" s="100" t="s">
        <v>38</v>
      </c>
      <c r="B15" s="1874">
        <v>266606</v>
      </c>
      <c r="C15" s="1876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849"/>
      <c r="U15" s="114" t="s">
        <v>64</v>
      </c>
      <c r="V15" s="1877">
        <v>9129</v>
      </c>
      <c r="W15" s="1877"/>
      <c r="X15" s="1877"/>
    </row>
    <row r="16" spans="1:25" ht="24.75" customHeight="1" x14ac:dyDescent="0.25">
      <c r="A16" s="100" t="s">
        <v>39</v>
      </c>
      <c r="B16" s="1874">
        <v>134649</v>
      </c>
      <c r="C16" s="187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871" t="s">
        <v>55</v>
      </c>
      <c r="U16" s="1871"/>
      <c r="V16" s="1878">
        <f>Y12</f>
        <v>125568.375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122750</v>
      </c>
      <c r="C18" s="1876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871" t="s">
        <v>57</v>
      </c>
      <c r="U18" s="1871"/>
      <c r="V18" s="1877">
        <f>530+80</f>
        <v>610</v>
      </c>
      <c r="W18" s="1877"/>
      <c r="X18" s="1877"/>
      <c r="Y18" s="1883" t="s">
        <v>146</v>
      </c>
    </row>
    <row r="19" spans="1:25" ht="25.5" customHeight="1" x14ac:dyDescent="0.25">
      <c r="A19" s="100" t="s">
        <v>41</v>
      </c>
      <c r="B19" s="1874">
        <f>B15+B16+B17-B18</f>
        <v>278505</v>
      </c>
      <c r="C19" s="1876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869" t="s">
        <v>48</v>
      </c>
      <c r="U19" s="49" t="s">
        <v>58</v>
      </c>
      <c r="V19" s="1877">
        <v>129600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129500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400000</v>
      </c>
      <c r="D22" s="1877">
        <v>129600</v>
      </c>
      <c r="E22" s="1877">
        <v>129600</v>
      </c>
      <c r="F22" s="1877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129600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15036.375</v>
      </c>
      <c r="W23" s="1879"/>
      <c r="X23" s="1879"/>
      <c r="Y23" s="1883"/>
    </row>
    <row r="24" spans="1:25" ht="27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9029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145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114" t="s">
        <v>54</v>
      </c>
      <c r="V14" s="1874">
        <v>15036</v>
      </c>
      <c r="W14" s="1875"/>
      <c r="X14" s="1876"/>
    </row>
    <row r="15" spans="1:25" ht="22.5" customHeight="1" x14ac:dyDescent="0.25">
      <c r="A15" s="100" t="s">
        <v>38</v>
      </c>
      <c r="B15" s="1874">
        <v>278505</v>
      </c>
      <c r="C15" s="1876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849"/>
      <c r="U15" s="114" t="s">
        <v>64</v>
      </c>
      <c r="V15" s="1877">
        <v>9029</v>
      </c>
      <c r="W15" s="1877"/>
      <c r="X15" s="1877"/>
    </row>
    <row r="16" spans="1:25" ht="24.75" customHeight="1" x14ac:dyDescent="0.25">
      <c r="A16" s="100" t="s">
        <v>39</v>
      </c>
      <c r="B16" s="1874">
        <v>161350</v>
      </c>
      <c r="C16" s="1876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871" t="s">
        <v>55</v>
      </c>
      <c r="U16" s="1871"/>
      <c r="V16" s="1878">
        <f>Y12</f>
        <v>172821.23250000001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164937</v>
      </c>
      <c r="C18" s="1876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871" t="s">
        <v>57</v>
      </c>
      <c r="U18" s="1871"/>
      <c r="V18" s="1877">
        <v>530</v>
      </c>
      <c r="W18" s="1877"/>
      <c r="X18" s="1877"/>
      <c r="Y18" s="1883" t="s">
        <v>103</v>
      </c>
    </row>
    <row r="19" spans="1:25" ht="25.5" customHeight="1" x14ac:dyDescent="0.25">
      <c r="A19" s="100" t="s">
        <v>41</v>
      </c>
      <c r="B19" s="1874">
        <f>B15+B16+B17-B18</f>
        <v>274918</v>
      </c>
      <c r="C19" s="1876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869" t="s">
        <v>48</v>
      </c>
      <c r="U19" s="49" t="s">
        <v>58</v>
      </c>
      <c r="V19" s="1877">
        <v>155300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163835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400000</v>
      </c>
      <c r="D22" s="1877">
        <v>155300</v>
      </c>
      <c r="E22" s="1877">
        <v>155300</v>
      </c>
      <c r="F22" s="1877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155300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23492.232500000013</v>
      </c>
      <c r="W23" s="1879"/>
      <c r="X23" s="1879"/>
      <c r="Y23" s="1883"/>
    </row>
    <row r="24" spans="1:25" ht="27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17564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147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849" t="s">
        <v>46</v>
      </c>
      <c r="U14" s="114" t="s">
        <v>54</v>
      </c>
      <c r="V14" s="1874">
        <v>23492</v>
      </c>
      <c r="W14" s="1875"/>
      <c r="X14" s="1876"/>
    </row>
    <row r="15" spans="1:25" ht="22.5" customHeight="1" x14ac:dyDescent="0.25">
      <c r="A15" s="100" t="s">
        <v>38</v>
      </c>
      <c r="B15" s="1874">
        <v>274918</v>
      </c>
      <c r="C15" s="1876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849"/>
      <c r="U15" s="114" t="s">
        <v>64</v>
      </c>
      <c r="V15" s="1877">
        <v>17564</v>
      </c>
      <c r="W15" s="1877"/>
      <c r="X15" s="1877"/>
    </row>
    <row r="16" spans="1:25" ht="24.75" customHeight="1" x14ac:dyDescent="0.25">
      <c r="A16" s="100" t="s">
        <v>39</v>
      </c>
      <c r="B16" s="1874">
        <v>428986</v>
      </c>
      <c r="C16" s="1876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871" t="s">
        <v>55</v>
      </c>
      <c r="U16" s="1871"/>
      <c r="V16" s="1878">
        <f>Y12</f>
        <v>466873.33750000008</v>
      </c>
      <c r="W16" s="1878"/>
      <c r="X16" s="1877"/>
    </row>
    <row r="17" spans="1:25" ht="28.5" customHeight="1" x14ac:dyDescent="0.25">
      <c r="A17" s="101" t="s">
        <v>44</v>
      </c>
      <c r="B17" s="1874">
        <v>5856</v>
      </c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476315</v>
      </c>
      <c r="C18" s="1876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871" t="s">
        <v>57</v>
      </c>
      <c r="U18" s="1871"/>
      <c r="V18" s="1877">
        <v>530</v>
      </c>
      <c r="W18" s="1877"/>
      <c r="X18" s="1877"/>
      <c r="Y18" s="1883" t="s">
        <v>103</v>
      </c>
    </row>
    <row r="19" spans="1:25" ht="25.5" customHeight="1" x14ac:dyDescent="0.25">
      <c r="A19" s="100" t="s">
        <v>41</v>
      </c>
      <c r="B19" s="1874">
        <f>B15+B16+B17-B18</f>
        <v>233445</v>
      </c>
      <c r="C19" s="1876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869" t="s">
        <v>48</v>
      </c>
      <c r="U19" s="49" t="s">
        <v>58</v>
      </c>
      <c r="V19" s="1877">
        <v>412900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212980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400000</v>
      </c>
      <c r="D22" s="1877">
        <v>412900</v>
      </c>
      <c r="E22" s="1877">
        <v>412900</v>
      </c>
      <c r="F22" s="1877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220000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83955.337500000081</v>
      </c>
      <c r="W23" s="1879"/>
      <c r="X23" s="1879"/>
      <c r="Y23" s="1883"/>
    </row>
    <row r="24" spans="1:25" ht="27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10544</v>
      </c>
      <c r="W24" s="1877"/>
      <c r="X24" s="1877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149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T14" s="1849" t="s">
        <v>46</v>
      </c>
      <c r="U14" s="114" t="s">
        <v>54</v>
      </c>
      <c r="V14" s="1874">
        <v>83955</v>
      </c>
      <c r="W14" s="1875"/>
      <c r="X14" s="1876"/>
    </row>
    <row r="15" spans="1:25" ht="22.5" customHeight="1" x14ac:dyDescent="0.25">
      <c r="A15" s="100" t="s">
        <v>38</v>
      </c>
      <c r="B15" s="1874">
        <v>233445</v>
      </c>
      <c r="C15" s="1876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877">
        <v>115</v>
      </c>
      <c r="R15" s="1877"/>
      <c r="T15" s="1849"/>
      <c r="U15" s="114" t="s">
        <v>64</v>
      </c>
      <c r="V15" s="1877">
        <v>10544</v>
      </c>
      <c r="W15" s="1877"/>
      <c r="X15" s="1877"/>
    </row>
    <row r="16" spans="1:25" ht="24.75" customHeight="1" x14ac:dyDescent="0.25">
      <c r="A16" s="100" t="s">
        <v>39</v>
      </c>
      <c r="B16" s="1874">
        <v>252381</v>
      </c>
      <c r="C16" s="1876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855"/>
      <c r="R16" s="1855"/>
      <c r="T16" s="1871" t="s">
        <v>55</v>
      </c>
      <c r="U16" s="1871"/>
      <c r="V16" s="1878">
        <f>Y12</f>
        <v>42204.557500000003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36707</v>
      </c>
      <c r="C18" s="1876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55">
        <v>53</v>
      </c>
      <c r="R18" s="1855"/>
      <c r="T18" s="1871" t="s">
        <v>57</v>
      </c>
      <c r="U18" s="1871"/>
      <c r="V18" s="1877">
        <f>150+5637</f>
        <v>5787</v>
      </c>
      <c r="W18" s="1877"/>
      <c r="X18" s="1877"/>
      <c r="Y18" s="1883" t="s">
        <v>151</v>
      </c>
    </row>
    <row r="19" spans="1:25" ht="25.5" customHeight="1" x14ac:dyDescent="0.25">
      <c r="A19" s="100" t="s">
        <v>41</v>
      </c>
      <c r="B19" s="1874">
        <f>B15+B16+B17-B18</f>
        <v>449119</v>
      </c>
      <c r="C19" s="1876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874">
        <f t="shared" ref="Q19" si="14">Q15+Q16+Q17-Q18</f>
        <v>62</v>
      </c>
      <c r="R19" s="1876"/>
      <c r="T19" s="1869" t="s">
        <v>48</v>
      </c>
      <c r="U19" s="49" t="s">
        <v>58</v>
      </c>
      <c r="V19" s="1877">
        <v>98000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98050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400000</v>
      </c>
      <c r="D22" s="1877">
        <v>98000</v>
      </c>
      <c r="E22" s="1877">
        <v>589557</v>
      </c>
      <c r="F22" s="1877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98000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22322.557499999995</v>
      </c>
      <c r="W23" s="1879"/>
      <c r="X23" s="1879"/>
      <c r="Y23" s="1883"/>
    </row>
    <row r="24" spans="1:25" ht="27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10594</v>
      </c>
      <c r="W24" s="1877"/>
      <c r="X24" s="1877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152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T14" s="1849" t="s">
        <v>46</v>
      </c>
      <c r="U14" s="114" t="s">
        <v>54</v>
      </c>
      <c r="V14" s="1874">
        <v>22323</v>
      </c>
      <c r="W14" s="1875"/>
      <c r="X14" s="1876"/>
    </row>
    <row r="15" spans="1:25" ht="22.5" customHeight="1" x14ac:dyDescent="0.25">
      <c r="A15" s="100" t="s">
        <v>38</v>
      </c>
      <c r="B15" s="1874">
        <v>449119</v>
      </c>
      <c r="C15" s="1876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877">
        <v>62</v>
      </c>
      <c r="R15" s="1877"/>
      <c r="T15" s="1849"/>
      <c r="U15" s="114" t="s">
        <v>64</v>
      </c>
      <c r="V15" s="1877">
        <v>10594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855"/>
      <c r="R16" s="1855"/>
      <c r="T16" s="1871" t="s">
        <v>55</v>
      </c>
      <c r="U16" s="1871"/>
      <c r="V16" s="1878">
        <f>Y12</f>
        <v>198587.83499999999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T17" s="1884" t="s">
        <v>104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75206</v>
      </c>
      <c r="C18" s="1876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55"/>
      <c r="R18" s="1855"/>
      <c r="T18" s="1871" t="s">
        <v>57</v>
      </c>
      <c r="U18" s="1871"/>
      <c r="V18" s="1877">
        <v>530</v>
      </c>
      <c r="W18" s="1877"/>
      <c r="X18" s="1877"/>
      <c r="Y18" s="1883" t="s">
        <v>100</v>
      </c>
    </row>
    <row r="19" spans="1:25" ht="25.5" customHeight="1" x14ac:dyDescent="0.25">
      <c r="A19" s="100" t="s">
        <v>41</v>
      </c>
      <c r="B19" s="1874">
        <f>B15+B16+B17-B18</f>
        <v>373913</v>
      </c>
      <c r="C19" s="1876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874">
        <f t="shared" ref="Q19" si="14">Q15+Q16+Q17-Q18</f>
        <v>62</v>
      </c>
      <c r="R19" s="1876"/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/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891557</v>
      </c>
      <c r="D22" s="1877"/>
      <c r="E22" s="1877"/>
      <c r="F22" s="1877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/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220380.83499999999</v>
      </c>
      <c r="W23" s="1879"/>
      <c r="X23" s="1879"/>
      <c r="Y23" s="1883"/>
    </row>
    <row r="24" spans="1:25" ht="27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10594</v>
      </c>
      <c r="W24" s="1877"/>
      <c r="X24" s="1877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153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T14" s="1849" t="s">
        <v>46</v>
      </c>
      <c r="U14" s="114" t="s">
        <v>54</v>
      </c>
      <c r="V14" s="1874">
        <v>220381</v>
      </c>
      <c r="W14" s="1875"/>
      <c r="X14" s="1876"/>
    </row>
    <row r="15" spans="1:25" ht="22.5" customHeight="1" x14ac:dyDescent="0.25">
      <c r="A15" s="100" t="s">
        <v>38</v>
      </c>
      <c r="B15" s="1874">
        <v>373913</v>
      </c>
      <c r="C15" s="1876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877">
        <v>62</v>
      </c>
      <c r="R15" s="1877"/>
      <c r="T15" s="1849"/>
      <c r="U15" s="114" t="s">
        <v>64</v>
      </c>
      <c r="V15" s="1877">
        <v>10594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855"/>
      <c r="R16" s="1855"/>
      <c r="T16" s="1871" t="s">
        <v>55</v>
      </c>
      <c r="U16" s="1871"/>
      <c r="V16" s="1878">
        <f>Y12</f>
        <v>146127.48000000001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T17" s="1884" t="s">
        <v>154</v>
      </c>
      <c r="U17" s="1885"/>
      <c r="V17" s="1877">
        <v>4200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75728</v>
      </c>
      <c r="C18" s="1876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55"/>
      <c r="R18" s="1855"/>
      <c r="T18" s="1871" t="s">
        <v>57</v>
      </c>
      <c r="U18" s="1871"/>
      <c r="V18" s="1877">
        <f>450+4200</f>
        <v>4650</v>
      </c>
      <c r="W18" s="1877"/>
      <c r="X18" s="1877"/>
      <c r="Y18" s="1883" t="s">
        <v>155</v>
      </c>
    </row>
    <row r="19" spans="1:25" ht="25.5" customHeight="1" x14ac:dyDescent="0.25">
      <c r="A19" s="100" t="s">
        <v>41</v>
      </c>
      <c r="B19" s="1874">
        <f>B15+B16+B17-B18</f>
        <v>298185</v>
      </c>
      <c r="C19" s="1876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874">
        <f t="shared" ref="Q19" si="14">Q15+Q16+Q17-Q18</f>
        <v>62</v>
      </c>
      <c r="R19" s="1876"/>
      <c r="T19" s="1869" t="s">
        <v>48</v>
      </c>
      <c r="U19" s="49" t="s">
        <v>58</v>
      </c>
      <c r="V19" s="1877">
        <v>341600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341600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891557</v>
      </c>
      <c r="D22" s="1877">
        <v>341600</v>
      </c>
      <c r="E22" s="1877">
        <v>87196</v>
      </c>
      <c r="F22" s="1877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341600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24458.479999999981</v>
      </c>
      <c r="W23" s="1879"/>
      <c r="X23" s="1879"/>
      <c r="Y23" s="1883"/>
    </row>
    <row r="24" spans="1:25" ht="40.5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10594</v>
      </c>
      <c r="W24" s="1877"/>
      <c r="X24" s="1877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156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T14" s="1849" t="s">
        <v>46</v>
      </c>
      <c r="U14" s="114" t="s">
        <v>54</v>
      </c>
      <c r="V14" s="1874">
        <v>24458</v>
      </c>
      <c r="W14" s="1875"/>
      <c r="X14" s="1876"/>
    </row>
    <row r="15" spans="1:25" ht="22.5" customHeight="1" x14ac:dyDescent="0.25">
      <c r="A15" s="100" t="s">
        <v>38</v>
      </c>
      <c r="B15" s="1874">
        <v>298185</v>
      </c>
      <c r="C15" s="1876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877">
        <v>62</v>
      </c>
      <c r="R15" s="1877"/>
      <c r="T15" s="1849"/>
      <c r="U15" s="114" t="s">
        <v>64</v>
      </c>
      <c r="V15" s="1877">
        <v>10594</v>
      </c>
      <c r="W15" s="1877"/>
      <c r="X15" s="1877"/>
    </row>
    <row r="16" spans="1:25" ht="24.75" customHeight="1" x14ac:dyDescent="0.25">
      <c r="A16" s="100" t="s">
        <v>39</v>
      </c>
      <c r="B16" s="1874">
        <v>144104</v>
      </c>
      <c r="C16" s="1876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855"/>
      <c r="R16" s="1855"/>
      <c r="T16" s="1871" t="s">
        <v>55</v>
      </c>
      <c r="U16" s="1871"/>
      <c r="V16" s="1878">
        <f>Y12</f>
        <v>136723.26999999999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T17" s="1884" t="s">
        <v>154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114172</v>
      </c>
      <c r="C18" s="1876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55"/>
      <c r="R18" s="1855"/>
      <c r="T18" s="1871" t="s">
        <v>57</v>
      </c>
      <c r="U18" s="1871"/>
      <c r="V18" s="1877">
        <f>450+1020</f>
        <v>1470</v>
      </c>
      <c r="W18" s="1877"/>
      <c r="X18" s="1877"/>
      <c r="Y18" s="1883" t="s">
        <v>157</v>
      </c>
    </row>
    <row r="19" spans="1:25" ht="25.5" customHeight="1" x14ac:dyDescent="0.25">
      <c r="A19" s="100" t="s">
        <v>41</v>
      </c>
      <c r="B19" s="1874">
        <f>B15+B16+B17-B18</f>
        <v>328117</v>
      </c>
      <c r="C19" s="1876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874">
        <f t="shared" ref="Q19" si="14">Q15+Q16+Q17-Q18</f>
        <v>62</v>
      </c>
      <c r="R19" s="1876"/>
      <c r="T19" s="1869" t="s">
        <v>48</v>
      </c>
      <c r="U19" s="49" t="s">
        <v>58</v>
      </c>
      <c r="V19" s="1877">
        <v>138700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138775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637153</v>
      </c>
      <c r="D22" s="1877">
        <v>138700</v>
      </c>
      <c r="E22" s="1877">
        <v>138700</v>
      </c>
      <c r="F22" s="1877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138700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20936.26999999999</v>
      </c>
      <c r="W23" s="1879"/>
      <c r="X23" s="1879"/>
      <c r="Y23" s="1883"/>
    </row>
    <row r="24" spans="1:25" ht="40.5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10669</v>
      </c>
      <c r="W24" s="1877"/>
      <c r="X24" s="1877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158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T14" s="1849" t="s">
        <v>46</v>
      </c>
      <c r="U14" s="114" t="s">
        <v>54</v>
      </c>
      <c r="V14" s="1874">
        <v>20936</v>
      </c>
      <c r="W14" s="1875"/>
      <c r="X14" s="1876"/>
    </row>
    <row r="15" spans="1:25" ht="22.5" customHeight="1" x14ac:dyDescent="0.25">
      <c r="A15" s="100" t="s">
        <v>38</v>
      </c>
      <c r="B15" s="1874">
        <v>328117</v>
      </c>
      <c r="C15" s="1876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877">
        <v>62</v>
      </c>
      <c r="R15" s="1877"/>
      <c r="T15" s="1849"/>
      <c r="U15" s="114" t="s">
        <v>64</v>
      </c>
      <c r="V15" s="1877">
        <v>10669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855"/>
      <c r="R16" s="1855"/>
      <c r="T16" s="1871" t="s">
        <v>55</v>
      </c>
      <c r="U16" s="1871"/>
      <c r="V16" s="1878">
        <f>Y12</f>
        <v>182881.4075</v>
      </c>
      <c r="W16" s="1878"/>
      <c r="X16" s="1877"/>
    </row>
    <row r="17" spans="1:25" ht="28.5" customHeight="1" x14ac:dyDescent="0.25">
      <c r="A17" s="101" t="s">
        <v>44</v>
      </c>
      <c r="B17" s="1874">
        <v>42597</v>
      </c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T17" s="1884" t="s">
        <v>154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93767</v>
      </c>
      <c r="C18" s="1876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855"/>
      <c r="R18" s="1855"/>
      <c r="T18" s="1871" t="s">
        <v>57</v>
      </c>
      <c r="U18" s="1871"/>
      <c r="V18" s="1877">
        <f>450+41000</f>
        <v>41450</v>
      </c>
      <c r="W18" s="1877"/>
      <c r="X18" s="1877"/>
      <c r="Y18" s="1883" t="s">
        <v>159</v>
      </c>
    </row>
    <row r="19" spans="1:25" ht="25.5" customHeight="1" x14ac:dyDescent="0.25">
      <c r="A19" s="100" t="s">
        <v>41</v>
      </c>
      <c r="B19" s="1874">
        <f>B15+B16+B17-B18</f>
        <v>276947</v>
      </c>
      <c r="C19" s="1876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874">
        <f t="shared" ref="Q19" si="14">Q15+Q16+Q17-Q18</f>
        <v>62</v>
      </c>
      <c r="R19" s="1876"/>
      <c r="T19" s="1869" t="s">
        <v>48</v>
      </c>
      <c r="U19" s="49" t="s">
        <v>58</v>
      </c>
      <c r="V19" s="1877">
        <v>133500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133590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637153</v>
      </c>
      <c r="D22" s="1877">
        <v>133500</v>
      </c>
      <c r="E22" s="1877"/>
      <c r="F22" s="1877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133500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28777.407500000001</v>
      </c>
      <c r="W23" s="1879"/>
      <c r="X23" s="1879"/>
      <c r="Y23" s="1883"/>
    </row>
    <row r="24" spans="1:25" ht="40.5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10759</v>
      </c>
      <c r="W24" s="1877"/>
      <c r="X24" s="1877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160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T14" s="1849" t="s">
        <v>46</v>
      </c>
      <c r="U14" s="114" t="s">
        <v>54</v>
      </c>
      <c r="V14" s="1874">
        <v>28777</v>
      </c>
      <c r="W14" s="1875"/>
      <c r="X14" s="1876"/>
    </row>
    <row r="15" spans="1:25" ht="22.5" customHeight="1" x14ac:dyDescent="0.25">
      <c r="A15" s="100" t="s">
        <v>38</v>
      </c>
      <c r="B15" s="1874">
        <v>276947</v>
      </c>
      <c r="C15" s="1876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877">
        <v>62</v>
      </c>
      <c r="R15" s="1877"/>
      <c r="T15" s="1849"/>
      <c r="U15" s="114" t="s">
        <v>64</v>
      </c>
      <c r="V15" s="1877">
        <v>10759</v>
      </c>
      <c r="W15" s="1877"/>
      <c r="X15" s="1877"/>
    </row>
    <row r="16" spans="1:25" ht="24.75" customHeight="1" x14ac:dyDescent="0.25">
      <c r="A16" s="100" t="s">
        <v>39</v>
      </c>
      <c r="B16" s="1874">
        <v>207273</v>
      </c>
      <c r="C16" s="1876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855"/>
      <c r="R16" s="1855"/>
      <c r="T16" s="1871" t="s">
        <v>55</v>
      </c>
      <c r="U16" s="1871"/>
      <c r="V16" s="1878">
        <f>Y12</f>
        <v>189086.10500000001</v>
      </c>
      <c r="W16" s="1878"/>
      <c r="X16" s="1877"/>
    </row>
    <row r="17" spans="1:25" ht="28.5" customHeight="1" x14ac:dyDescent="0.25">
      <c r="A17" s="101" t="s">
        <v>44</v>
      </c>
      <c r="B17" s="1874">
        <v>26145</v>
      </c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T17" s="1884" t="s">
        <v>154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170978</v>
      </c>
      <c r="C18" s="1876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55"/>
      <c r="R18" s="1855"/>
      <c r="T18" s="1871" t="s">
        <v>57</v>
      </c>
      <c r="U18" s="1871"/>
      <c r="V18" s="1877">
        <f>450+300+530</f>
        <v>1280</v>
      </c>
      <c r="W18" s="1877"/>
      <c r="X18" s="1877"/>
      <c r="Y18" s="1883" t="s">
        <v>161</v>
      </c>
    </row>
    <row r="19" spans="1:25" ht="25.5" customHeight="1" x14ac:dyDescent="0.25">
      <c r="A19" s="100" t="s">
        <v>41</v>
      </c>
      <c r="B19" s="1874">
        <f>B15+B16+B17-B18</f>
        <v>339387</v>
      </c>
      <c r="C19" s="1876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874">
        <f t="shared" ref="Q19" si="14">Q15+Q16+Q17-Q18</f>
        <v>62</v>
      </c>
      <c r="R19" s="1876"/>
      <c r="T19" s="1869" t="s">
        <v>48</v>
      </c>
      <c r="U19" s="49" t="s">
        <v>58</v>
      </c>
      <c r="V19" s="1877">
        <v>199500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199420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503653</v>
      </c>
      <c r="D22" s="1877">
        <v>199500</v>
      </c>
      <c r="E22" s="1877">
        <v>199500</v>
      </c>
      <c r="F22" s="1877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199500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17163.10500000001</v>
      </c>
      <c r="W23" s="1879"/>
      <c r="X23" s="1879"/>
      <c r="Y23" s="1883"/>
    </row>
    <row r="24" spans="1:25" ht="40.5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10679</v>
      </c>
      <c r="W24" s="1877"/>
      <c r="X24" s="1877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162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T14" s="1849" t="s">
        <v>46</v>
      </c>
      <c r="U14" s="114" t="s">
        <v>54</v>
      </c>
      <c r="V14" s="1874">
        <v>17163</v>
      </c>
      <c r="W14" s="1875"/>
      <c r="X14" s="1876"/>
    </row>
    <row r="15" spans="1:25" ht="22.5" customHeight="1" x14ac:dyDescent="0.25">
      <c r="A15" s="100" t="s">
        <v>38</v>
      </c>
      <c r="B15" s="1874">
        <v>339387</v>
      </c>
      <c r="C15" s="1876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877">
        <v>62</v>
      </c>
      <c r="R15" s="1877"/>
      <c r="T15" s="1849"/>
      <c r="U15" s="114" t="s">
        <v>64</v>
      </c>
      <c r="V15" s="1877">
        <v>10679</v>
      </c>
      <c r="W15" s="1877"/>
      <c r="X15" s="1877"/>
    </row>
    <row r="16" spans="1:25" ht="24.75" customHeight="1" x14ac:dyDescent="0.25">
      <c r="A16" s="100" t="s">
        <v>39</v>
      </c>
      <c r="B16" s="1874">
        <v>330000</v>
      </c>
      <c r="C16" s="1876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855"/>
      <c r="R16" s="1855"/>
      <c r="T16" s="1871" t="s">
        <v>55</v>
      </c>
      <c r="U16" s="1871"/>
      <c r="V16" s="1878">
        <f>Y12</f>
        <v>215488.86749999999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T17" s="1884" t="s">
        <v>154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172223</v>
      </c>
      <c r="C18" s="1876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855">
        <v>10</v>
      </c>
      <c r="R18" s="1855"/>
      <c r="T18" s="1871" t="s">
        <v>57</v>
      </c>
      <c r="U18" s="1871"/>
      <c r="V18" s="1877">
        <f>450+25165</f>
        <v>25615</v>
      </c>
      <c r="W18" s="1877"/>
      <c r="X18" s="1877"/>
      <c r="Y18" s="1883" t="s">
        <v>159</v>
      </c>
    </row>
    <row r="19" spans="1:25" ht="25.5" customHeight="1" x14ac:dyDescent="0.25">
      <c r="A19" s="100" t="s">
        <v>41</v>
      </c>
      <c r="B19" s="1874">
        <f>B15+B16+B17-B18</f>
        <v>497164</v>
      </c>
      <c r="C19" s="1876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874">
        <f t="shared" ref="Q19" si="14">Q15+Q16+Q17-Q18</f>
        <v>52</v>
      </c>
      <c r="R19" s="1876"/>
      <c r="T19" s="1869" t="s">
        <v>48</v>
      </c>
      <c r="U19" s="49" t="s">
        <v>58</v>
      </c>
      <c r="V19" s="1877">
        <v>179500</v>
      </c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>
        <v>179510</v>
      </c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503653</v>
      </c>
      <c r="D22" s="1877">
        <v>179500</v>
      </c>
      <c r="E22" s="1877">
        <v>317625</v>
      </c>
      <c r="F22" s="1877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>
        <v>179500</v>
      </c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27526.867499999993</v>
      </c>
      <c r="W23" s="1879"/>
      <c r="X23" s="1879"/>
      <c r="Y23" s="1883"/>
    </row>
    <row r="24" spans="1:25" ht="40.5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10689</v>
      </c>
      <c r="W24" s="1877"/>
      <c r="X24" s="1877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163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T14" s="1849" t="s">
        <v>46</v>
      </c>
      <c r="U14" s="114" t="s">
        <v>54</v>
      </c>
      <c r="V14" s="1874">
        <v>27527</v>
      </c>
      <c r="W14" s="1875"/>
      <c r="X14" s="1876"/>
    </row>
    <row r="15" spans="1:25" ht="22.5" customHeight="1" x14ac:dyDescent="0.25">
      <c r="A15" s="100" t="s">
        <v>38</v>
      </c>
      <c r="B15" s="1874">
        <v>497164</v>
      </c>
      <c r="C15" s="1876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877">
        <v>52</v>
      </c>
      <c r="R15" s="1877"/>
      <c r="T15" s="1849"/>
      <c r="U15" s="114" t="s">
        <v>64</v>
      </c>
      <c r="V15" s="1877">
        <v>10689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855"/>
      <c r="R16" s="1855"/>
      <c r="T16" s="1871" t="s">
        <v>55</v>
      </c>
      <c r="U16" s="1871"/>
      <c r="V16" s="1878">
        <f>Y12</f>
        <v>153145.345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T17" s="1884" t="s">
        <v>107</v>
      </c>
      <c r="U17" s="1885"/>
      <c r="V17" s="1877">
        <v>43121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148242</v>
      </c>
      <c r="C18" s="1876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855"/>
      <c r="R18" s="1855"/>
      <c r="T18" s="1871" t="s">
        <v>57</v>
      </c>
      <c r="U18" s="1871"/>
      <c r="V18" s="1877">
        <f>450+85500</f>
        <v>85950</v>
      </c>
      <c r="W18" s="1877"/>
      <c r="X18" s="1877"/>
      <c r="Y18" s="1883" t="s">
        <v>164</v>
      </c>
    </row>
    <row r="19" spans="1:25" ht="25.5" customHeight="1" x14ac:dyDescent="0.25">
      <c r="A19" s="100" t="s">
        <v>41</v>
      </c>
      <c r="B19" s="1874">
        <f>B15+B16+B17-B18</f>
        <v>348922</v>
      </c>
      <c r="C19" s="1876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874">
        <f t="shared" ref="Q19" si="14">Q15+Q16+Q17-Q18</f>
        <v>52</v>
      </c>
      <c r="R19" s="1876"/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870"/>
      <c r="U20" s="49" t="s">
        <v>59</v>
      </c>
      <c r="V20" s="1877"/>
      <c r="W20" s="1877"/>
      <c r="X20" s="1877"/>
      <c r="Y20" s="1883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863" t="s">
        <v>83</v>
      </c>
      <c r="U21" s="50" t="s">
        <v>60</v>
      </c>
      <c r="V21" s="1877"/>
      <c r="W21" s="1877"/>
      <c r="X21" s="1877"/>
      <c r="Y21" s="1883"/>
    </row>
    <row r="22" spans="1:25" ht="39.75" customHeight="1" x14ac:dyDescent="0.25">
      <c r="A22" s="10"/>
      <c r="B22" s="1872" t="s">
        <v>49</v>
      </c>
      <c r="C22" s="1881">
        <v>641778</v>
      </c>
      <c r="D22" s="1877"/>
      <c r="E22" s="1877"/>
      <c r="F22" s="1877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864"/>
      <c r="U22" s="50" t="s">
        <v>61</v>
      </c>
      <c r="V22" s="1877"/>
      <c r="W22" s="1877"/>
      <c r="X22" s="1877"/>
      <c r="Y22" s="1883"/>
    </row>
    <row r="23" spans="1:25" ht="47.25" customHeight="1" x14ac:dyDescent="0.25">
      <c r="A23" s="10"/>
      <c r="B23" s="1872"/>
      <c r="C23" s="1882"/>
      <c r="D23" s="1877"/>
      <c r="E23" s="1877"/>
      <c r="F23" s="1877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849" t="s">
        <v>47</v>
      </c>
      <c r="U23" s="51" t="s">
        <v>62</v>
      </c>
      <c r="V23" s="1879">
        <f>V14+V16+V17-V18-V19-V20-V21+V22</f>
        <v>137843.345</v>
      </c>
      <c r="W23" s="1879"/>
      <c r="X23" s="1879"/>
      <c r="Y23" s="1883"/>
    </row>
    <row r="24" spans="1:25" ht="40.5" customHeight="1" x14ac:dyDescent="0.25">
      <c r="B24" s="1872"/>
      <c r="C24" s="114" t="s">
        <v>46</v>
      </c>
      <c r="D24" s="114" t="s">
        <v>50</v>
      </c>
      <c r="E24" s="114" t="s">
        <v>51</v>
      </c>
      <c r="F24" s="114" t="s">
        <v>52</v>
      </c>
      <c r="T24" s="1849"/>
      <c r="U24" s="51" t="s">
        <v>63</v>
      </c>
      <c r="V24" s="1877">
        <f>V15+V21-V22</f>
        <v>10689</v>
      </c>
      <c r="W24" s="1877"/>
      <c r="X24" s="1877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165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T14" s="1849" t="s">
        <v>46</v>
      </c>
      <c r="U14" s="114" t="s">
        <v>54</v>
      </c>
      <c r="V14" s="1874">
        <v>137843</v>
      </c>
      <c r="W14" s="1875"/>
      <c r="X14" s="1876"/>
    </row>
    <row r="15" spans="1:25" ht="22.5" customHeight="1" x14ac:dyDescent="0.25">
      <c r="A15" s="100" t="s">
        <v>38</v>
      </c>
      <c r="B15" s="1874">
        <v>348922</v>
      </c>
      <c r="C15" s="1876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877">
        <v>52</v>
      </c>
      <c r="R15" s="1877"/>
      <c r="T15" s="1849"/>
      <c r="U15" s="114" t="s">
        <v>64</v>
      </c>
      <c r="V15" s="1877">
        <v>10689</v>
      </c>
      <c r="W15" s="1877"/>
      <c r="X15" s="1877"/>
    </row>
    <row r="16" spans="1:25" ht="24.75" customHeight="1" x14ac:dyDescent="0.25">
      <c r="A16" s="100" t="s">
        <v>39</v>
      </c>
      <c r="B16" s="1874">
        <v>35856</v>
      </c>
      <c r="C16" s="1876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855"/>
      <c r="R16" s="1855"/>
      <c r="T16" s="1871" t="s">
        <v>55</v>
      </c>
      <c r="U16" s="1871"/>
      <c r="V16" s="1878">
        <f>Y12</f>
        <v>115341.38249999999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T17" s="1884" t="s">
        <v>107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107877</v>
      </c>
      <c r="C18" s="1876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855"/>
      <c r="R18" s="1855"/>
      <c r="T18" s="1871" t="s">
        <v>57</v>
      </c>
      <c r="U18" s="1871"/>
      <c r="V18" s="1877">
        <f>450+700</f>
        <v>1150</v>
      </c>
      <c r="W18" s="1877"/>
      <c r="X18" s="1877"/>
      <c r="Y18" s="1883" t="s">
        <v>166</v>
      </c>
    </row>
    <row r="19" spans="1:25" ht="25.5" customHeight="1" x14ac:dyDescent="0.25">
      <c r="A19" s="100" t="s">
        <v>41</v>
      </c>
      <c r="B19" s="1874">
        <f>B15+B16+B17-B18</f>
        <v>276901</v>
      </c>
      <c r="C19" s="1876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874">
        <f t="shared" ref="Q19" si="14">Q15+Q16+Q17-Q18</f>
        <v>52</v>
      </c>
      <c r="R19" s="1876"/>
      <c r="T19" s="1869" t="s">
        <v>48</v>
      </c>
      <c r="U19" s="49" t="s">
        <v>58</v>
      </c>
      <c r="V19" s="1877">
        <v>202000</v>
      </c>
      <c r="W19" s="1877"/>
      <c r="X19" s="1877"/>
      <c r="Y19" s="1883"/>
    </row>
    <row r="20" spans="1:25" ht="23.25" customHeight="1" x14ac:dyDescent="0.25">
      <c r="A20" s="11" t="s">
        <v>168</v>
      </c>
      <c r="B20" s="1887">
        <f>B19*0.9625</f>
        <v>266517.21250000002</v>
      </c>
      <c r="C20" s="1888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887">
        <f>241*Q19</f>
        <v>12532</v>
      </c>
      <c r="R20" s="1888"/>
      <c r="T20" s="1870"/>
      <c r="U20" s="49" t="s">
        <v>59</v>
      </c>
      <c r="V20" s="1877">
        <v>1687</v>
      </c>
      <c r="W20" s="1877"/>
      <c r="X20" s="1877"/>
      <c r="Y20" s="1883"/>
    </row>
    <row r="21" spans="1:25" ht="23.25" customHeight="1" x14ac:dyDescent="0.25">
      <c r="A21" s="15"/>
      <c r="B21" s="10"/>
      <c r="O21" s="10"/>
      <c r="P21" s="10"/>
      <c r="Q21" s="10"/>
      <c r="R21" s="10"/>
      <c r="T21" s="1889" t="s">
        <v>167</v>
      </c>
      <c r="U21" s="1890"/>
      <c r="V21" s="1874">
        <v>43125</v>
      </c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641778</v>
      </c>
      <c r="D22" s="1881">
        <v>202000</v>
      </c>
      <c r="E22" s="1881">
        <v>34512</v>
      </c>
      <c r="F22" s="1881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863" t="s">
        <v>83</v>
      </c>
      <c r="U22" s="50" t="s">
        <v>60</v>
      </c>
      <c r="V22" s="1877">
        <v>244775</v>
      </c>
      <c r="W22" s="1877"/>
      <c r="X22" s="1877"/>
      <c r="Y22" s="1883"/>
    </row>
    <row r="23" spans="1:25" ht="39.75" customHeight="1" x14ac:dyDescent="0.25">
      <c r="A23" s="10"/>
      <c r="B23" s="1892"/>
      <c r="C23" s="1882"/>
      <c r="D23" s="1882"/>
      <c r="E23" s="1882"/>
      <c r="F23" s="1882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864"/>
      <c r="U23" s="50" t="s">
        <v>61</v>
      </c>
      <c r="V23" s="1877">
        <v>245125</v>
      </c>
      <c r="W23" s="1877"/>
      <c r="X23" s="1877"/>
      <c r="Y23" s="1883"/>
    </row>
    <row r="24" spans="1:25" ht="47.25" customHeight="1" x14ac:dyDescent="0.25">
      <c r="A24" s="10"/>
      <c r="B24" s="1893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849" t="s">
        <v>47</v>
      </c>
      <c r="U24" s="51" t="s">
        <v>62</v>
      </c>
      <c r="V24" s="1879">
        <f>V14+V16+V17-V18-V19-V20-V22+V23-V21</f>
        <v>5572.382500000007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10339</v>
      </c>
      <c r="W25" s="1877"/>
      <c r="X25" s="1877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169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S14" s="86" t="s">
        <v>171</v>
      </c>
      <c r="T14" s="1849" t="s">
        <v>46</v>
      </c>
      <c r="U14" s="114" t="s">
        <v>54</v>
      </c>
      <c r="V14" s="1874">
        <v>5572</v>
      </c>
      <c r="W14" s="1875"/>
      <c r="X14" s="1876"/>
    </row>
    <row r="15" spans="1:25" ht="22.5" customHeight="1" x14ac:dyDescent="0.25">
      <c r="A15" s="100" t="s">
        <v>38</v>
      </c>
      <c r="B15" s="1874">
        <v>276901</v>
      </c>
      <c r="C15" s="1876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877">
        <v>52</v>
      </c>
      <c r="R15" s="1877"/>
      <c r="S15" s="114">
        <v>396</v>
      </c>
      <c r="T15" s="1849"/>
      <c r="U15" s="114" t="s">
        <v>64</v>
      </c>
      <c r="V15" s="1877">
        <v>10339</v>
      </c>
      <c r="W15" s="1877"/>
      <c r="X15" s="1877"/>
    </row>
    <row r="16" spans="1:25" ht="24.75" customHeight="1" x14ac:dyDescent="0.25">
      <c r="A16" s="100" t="s">
        <v>39</v>
      </c>
      <c r="B16" s="1874">
        <v>139055</v>
      </c>
      <c r="C16" s="1876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855"/>
      <c r="R16" s="1855"/>
      <c r="S16" s="113"/>
      <c r="T16" s="1871" t="s">
        <v>55</v>
      </c>
      <c r="U16" s="1871"/>
      <c r="V16" s="1878">
        <f>Y12</f>
        <v>165355.98750000002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S17" s="113"/>
      <c r="T17" s="1884" t="s">
        <v>107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139055</v>
      </c>
      <c r="C18" s="1876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55"/>
      <c r="R18" s="1855"/>
      <c r="S18" s="114">
        <v>100</v>
      </c>
      <c r="T18" s="1871" t="s">
        <v>57</v>
      </c>
      <c r="U18" s="1871"/>
      <c r="V18" s="1877">
        <f>450+1060</f>
        <v>1510</v>
      </c>
      <c r="W18" s="1877"/>
      <c r="X18" s="1877"/>
      <c r="Y18" s="1883" t="s">
        <v>170</v>
      </c>
    </row>
    <row r="19" spans="1:25" ht="25.5" customHeight="1" x14ac:dyDescent="0.25">
      <c r="A19" s="100" t="s">
        <v>41</v>
      </c>
      <c r="B19" s="1874">
        <f>B15+B16+B17-B18</f>
        <v>276901</v>
      </c>
      <c r="C19" s="1876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874">
        <f t="shared" ref="Q19" si="14">Q15+Q16+Q17-Q18</f>
        <v>52</v>
      </c>
      <c r="R19" s="1876"/>
      <c r="S19" s="114">
        <f>S15+S16-S17-S18</f>
        <v>296</v>
      </c>
      <c r="T19" s="1869" t="s">
        <v>48</v>
      </c>
      <c r="U19" s="49" t="s">
        <v>58</v>
      </c>
      <c r="V19" s="1877">
        <v>133840</v>
      </c>
      <c r="W19" s="1877"/>
      <c r="X19" s="1877"/>
      <c r="Y19" s="1883"/>
    </row>
    <row r="20" spans="1:25" ht="23.25" customHeight="1" x14ac:dyDescent="0.25">
      <c r="A20" s="11" t="s">
        <v>168</v>
      </c>
      <c r="B20" s="1887">
        <f>B19*0.9625</f>
        <v>266517.21250000002</v>
      </c>
      <c r="C20" s="1888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887">
        <f>241*Q19</f>
        <v>12532</v>
      </c>
      <c r="R20" s="1888"/>
      <c r="S20" s="113">
        <f>241*S19</f>
        <v>71336</v>
      </c>
      <c r="T20" s="1870"/>
      <c r="U20" s="49" t="s">
        <v>59</v>
      </c>
      <c r="V20" s="1877">
        <v>24100</v>
      </c>
      <c r="W20" s="1877"/>
      <c r="X20" s="1877"/>
      <c r="Y20" s="1883"/>
    </row>
    <row r="21" spans="1:25" ht="23.25" customHeight="1" x14ac:dyDescent="0.25">
      <c r="A21" s="15"/>
      <c r="B21" s="10"/>
      <c r="O21" s="10"/>
      <c r="P21" s="10"/>
      <c r="Q21" s="10"/>
      <c r="R21" s="10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474290</v>
      </c>
      <c r="D22" s="1881">
        <v>133840</v>
      </c>
      <c r="E22" s="1881">
        <v>133840</v>
      </c>
      <c r="F22" s="1881">
        <f>C22-D22+E22</f>
        <v>474290</v>
      </c>
      <c r="G22" s="10"/>
      <c r="Q22" s="10"/>
      <c r="R22" s="10"/>
      <c r="T22" s="1863" t="s">
        <v>83</v>
      </c>
      <c r="U22" s="50" t="s">
        <v>60</v>
      </c>
      <c r="V22" s="1877">
        <v>133840</v>
      </c>
      <c r="W22" s="1877"/>
      <c r="X22" s="1877"/>
      <c r="Y22" s="1883"/>
    </row>
    <row r="23" spans="1:25" ht="39.75" customHeight="1" x14ac:dyDescent="0.25">
      <c r="A23" s="10"/>
      <c r="B23" s="1892"/>
      <c r="C23" s="1882"/>
      <c r="D23" s="1882"/>
      <c r="E23" s="1882"/>
      <c r="F23" s="1882"/>
      <c r="G23" s="10"/>
      <c r="Q23" s="10"/>
      <c r="R23" s="10"/>
      <c r="T23" s="1864"/>
      <c r="U23" s="50" t="s">
        <v>61</v>
      </c>
      <c r="V23" s="1877">
        <v>133840</v>
      </c>
      <c r="W23" s="1877"/>
      <c r="X23" s="1877"/>
      <c r="Y23" s="1883"/>
    </row>
    <row r="24" spans="1:25" ht="47.25" customHeight="1" x14ac:dyDescent="0.25">
      <c r="A24" s="10"/>
      <c r="B24" s="1893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849" t="s">
        <v>47</v>
      </c>
      <c r="U24" s="51" t="s">
        <v>62</v>
      </c>
      <c r="V24" s="1879">
        <f>V14+V16+V17-V18-V19-V20-V22+V23-V21</f>
        <v>11477.987500000017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10339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0"/>
      <c r="J33" s="10"/>
      <c r="K33" s="1894"/>
      <c r="L33" s="1894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842" t="s">
        <v>172</v>
      </c>
      <c r="U3" s="1842"/>
      <c r="V3" s="1842"/>
      <c r="W3" s="1842"/>
      <c r="X3" s="1842"/>
      <c r="Y3" s="1842"/>
    </row>
    <row r="4" spans="1:25" s="11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" customFormat="1" ht="25.5" customHeight="1" x14ac:dyDescent="0.25">
      <c r="A5" s="1843"/>
      <c r="B5" s="1843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886" t="s">
        <v>150</v>
      </c>
      <c r="R14" s="1886"/>
      <c r="S14" s="86" t="s">
        <v>171</v>
      </c>
      <c r="T14" s="1849" t="s">
        <v>46</v>
      </c>
      <c r="U14" s="114" t="s">
        <v>176</v>
      </c>
      <c r="V14" s="1874">
        <v>11478</v>
      </c>
      <c r="W14" s="1875"/>
      <c r="X14" s="1876"/>
    </row>
    <row r="15" spans="1:25" ht="22.5" customHeight="1" x14ac:dyDescent="0.25">
      <c r="A15" s="100" t="s">
        <v>38</v>
      </c>
      <c r="B15" s="1874">
        <v>276901</v>
      </c>
      <c r="C15" s="1876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877">
        <v>52</v>
      </c>
      <c r="R15" s="1877"/>
      <c r="S15" s="114">
        <v>296</v>
      </c>
      <c r="T15" s="1849"/>
      <c r="U15" s="114" t="s">
        <v>64</v>
      </c>
      <c r="V15" s="1877">
        <v>10339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855"/>
      <c r="R16" s="1855"/>
      <c r="S16" s="113"/>
      <c r="T16" s="1871" t="s">
        <v>55</v>
      </c>
      <c r="U16" s="1871"/>
      <c r="V16" s="1878">
        <f>Y12</f>
        <v>106151.2925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855"/>
      <c r="R17" s="1855"/>
      <c r="S17" s="113"/>
      <c r="T17" s="1884" t="s">
        <v>87</v>
      </c>
      <c r="U17" s="1885"/>
      <c r="V17" s="1877">
        <v>80000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109153</v>
      </c>
      <c r="C18" s="1876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855"/>
      <c r="R18" s="1855"/>
      <c r="S18" s="114"/>
      <c r="T18" s="1871" t="s">
        <v>57</v>
      </c>
      <c r="U18" s="1871"/>
      <c r="V18" s="1877">
        <v>450</v>
      </c>
      <c r="W18" s="1877"/>
      <c r="X18" s="1877"/>
      <c r="Y18" s="1883" t="s">
        <v>103</v>
      </c>
    </row>
    <row r="19" spans="1:25" ht="25.5" customHeight="1" x14ac:dyDescent="0.25">
      <c r="A19" s="100" t="s">
        <v>41</v>
      </c>
      <c r="B19" s="1874">
        <f>B15+B16+B17-B18</f>
        <v>282033</v>
      </c>
      <c r="C19" s="1876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874">
        <f t="shared" ref="Q19" si="14">Q15+Q16+Q17-Q18</f>
        <v>52</v>
      </c>
      <c r="R19" s="1876"/>
      <c r="S19" s="114">
        <f>S15+S16-S17-S18</f>
        <v>296</v>
      </c>
      <c r="T19" s="1869" t="s">
        <v>48</v>
      </c>
      <c r="U19" s="49" t="s">
        <v>58</v>
      </c>
      <c r="V19" s="1877">
        <v>196500</v>
      </c>
      <c r="W19" s="1877"/>
      <c r="X19" s="1877"/>
      <c r="Y19" s="1883"/>
    </row>
    <row r="20" spans="1:25" ht="23.25" customHeight="1" x14ac:dyDescent="0.25">
      <c r="A20" s="11" t="s">
        <v>168</v>
      </c>
      <c r="B20" s="1887">
        <f>B19*0.9625</f>
        <v>271456.76250000001</v>
      </c>
      <c r="C20" s="1888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887">
        <f>241*Q19</f>
        <v>12532</v>
      </c>
      <c r="R20" s="1888"/>
      <c r="S20" s="113">
        <f>241*S19</f>
        <v>71336</v>
      </c>
      <c r="T20" s="1870"/>
      <c r="U20" s="49" t="s">
        <v>59</v>
      </c>
      <c r="V20" s="1877"/>
      <c r="W20" s="1877"/>
      <c r="X20" s="1877"/>
      <c r="Y20" s="1883"/>
    </row>
    <row r="21" spans="1:25" ht="23.25" customHeight="1" x14ac:dyDescent="0.25">
      <c r="A21" s="15"/>
      <c r="B21" s="10"/>
      <c r="O21" s="10"/>
      <c r="P21" s="10"/>
      <c r="Q21" s="10"/>
      <c r="R21" s="10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474290</v>
      </c>
      <c r="D22" s="1881">
        <v>196500</v>
      </c>
      <c r="E22" s="1881">
        <v>110000</v>
      </c>
      <c r="F22" s="1881">
        <f>C22-D22+E22</f>
        <v>387790</v>
      </c>
      <c r="G22" s="10"/>
      <c r="Q22" s="10"/>
      <c r="R22" s="10"/>
      <c r="T22" s="1863" t="s">
        <v>83</v>
      </c>
      <c r="U22" s="50" t="s">
        <v>60</v>
      </c>
      <c r="V22" s="1877">
        <v>113210</v>
      </c>
      <c r="W22" s="1877"/>
      <c r="X22" s="1877"/>
      <c r="Y22" s="1883"/>
    </row>
    <row r="23" spans="1:25" ht="39.75" customHeight="1" x14ac:dyDescent="0.25">
      <c r="A23" s="10"/>
      <c r="B23" s="1892"/>
      <c r="C23" s="1882"/>
      <c r="D23" s="1882"/>
      <c r="E23" s="1882"/>
      <c r="F23" s="1882"/>
      <c r="G23" s="10"/>
      <c r="Q23" s="10"/>
      <c r="R23" s="10"/>
      <c r="T23" s="1864"/>
      <c r="U23" s="50" t="s">
        <v>61</v>
      </c>
      <c r="V23" s="1877">
        <v>116500</v>
      </c>
      <c r="W23" s="1877"/>
      <c r="X23" s="1877"/>
      <c r="Y23" s="1883"/>
    </row>
    <row r="24" spans="1:25" ht="47.25" customHeight="1" x14ac:dyDescent="0.25">
      <c r="A24" s="10"/>
      <c r="B24" s="1893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849" t="s">
        <v>47</v>
      </c>
      <c r="U24" s="51" t="s">
        <v>62</v>
      </c>
      <c r="V24" s="1879">
        <f>V14+V16+V17-V18-V19-V20-V22+V23-V21</f>
        <v>3969.2924999999814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7049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0"/>
      <c r="J33" s="10"/>
      <c r="K33" s="1894"/>
      <c r="L33" s="1894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842" t="s">
        <v>177</v>
      </c>
      <c r="U3" s="1842"/>
      <c r="V3" s="1842"/>
      <c r="W3" s="1842"/>
      <c r="X3" s="1842"/>
      <c r="Y3" s="1842"/>
    </row>
    <row r="4" spans="1:25" s="1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0" customFormat="1" ht="25.5" customHeight="1" x14ac:dyDescent="0.25">
      <c r="A5" s="1843"/>
      <c r="B5" s="18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886" t="s">
        <v>150</v>
      </c>
      <c r="R14" s="1886"/>
      <c r="S14" s="129" t="s">
        <v>171</v>
      </c>
      <c r="T14" s="1849" t="s">
        <v>46</v>
      </c>
      <c r="U14" s="121" t="s">
        <v>176</v>
      </c>
      <c r="V14" s="1874">
        <v>3969</v>
      </c>
      <c r="W14" s="1875"/>
      <c r="X14" s="1876"/>
    </row>
    <row r="15" spans="1:25" ht="22.5" customHeight="1" x14ac:dyDescent="0.25">
      <c r="A15" s="100" t="s">
        <v>38</v>
      </c>
      <c r="B15" s="1874">
        <v>282033</v>
      </c>
      <c r="C15" s="1876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877">
        <v>52</v>
      </c>
      <c r="R15" s="1877"/>
      <c r="S15" s="121">
        <v>296</v>
      </c>
      <c r="T15" s="1849"/>
      <c r="U15" s="121" t="s">
        <v>64</v>
      </c>
      <c r="V15" s="1877">
        <v>7049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855"/>
      <c r="R16" s="1855"/>
      <c r="S16" s="123"/>
      <c r="T16" s="1871" t="s">
        <v>55</v>
      </c>
      <c r="U16" s="1871"/>
      <c r="V16" s="1878">
        <f>Y12</f>
        <v>153728.73499999999</v>
      </c>
      <c r="W16" s="1878"/>
      <c r="X16" s="1877"/>
    </row>
    <row r="17" spans="1:25" ht="28.5" customHeight="1" x14ac:dyDescent="0.25">
      <c r="A17" s="101" t="s">
        <v>44</v>
      </c>
      <c r="B17" s="1874">
        <v>26470</v>
      </c>
      <c r="C17" s="187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55"/>
      <c r="R17" s="1855"/>
      <c r="S17" s="123"/>
      <c r="T17" s="1884" t="s">
        <v>178</v>
      </c>
      <c r="U17" s="1885"/>
      <c r="V17" s="1877">
        <v>9000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144446</v>
      </c>
      <c r="C18" s="1876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855">
        <v>46</v>
      </c>
      <c r="R18" s="1855"/>
      <c r="S18" s="121">
        <v>9</v>
      </c>
      <c r="T18" s="1871" t="s">
        <v>57</v>
      </c>
      <c r="U18" s="1871"/>
      <c r="V18" s="1877">
        <f>450+25477</f>
        <v>25927</v>
      </c>
      <c r="W18" s="1877"/>
      <c r="X18" s="1877"/>
      <c r="Y18" s="1883" t="s">
        <v>159</v>
      </c>
    </row>
    <row r="19" spans="1:25" ht="25.5" customHeight="1" x14ac:dyDescent="0.25">
      <c r="A19" s="100" t="s">
        <v>41</v>
      </c>
      <c r="B19" s="1874">
        <f>B15+B16+B17-B18</f>
        <v>278342</v>
      </c>
      <c r="C19" s="1876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874">
        <f t="shared" ref="Q19" si="14">Q15+Q16+Q17-Q18</f>
        <v>6</v>
      </c>
      <c r="R19" s="1876"/>
      <c r="S19" s="121">
        <f>S15+S16-S17-S18</f>
        <v>287</v>
      </c>
      <c r="T19" s="1869" t="s">
        <v>48</v>
      </c>
      <c r="U19" s="49" t="s">
        <v>58</v>
      </c>
      <c r="V19" s="1877">
        <v>110000</v>
      </c>
      <c r="W19" s="1877"/>
      <c r="X19" s="1877"/>
      <c r="Y19" s="1883"/>
    </row>
    <row r="20" spans="1:25" ht="23.25" customHeight="1" x14ac:dyDescent="0.25">
      <c r="A20" s="11" t="s">
        <v>168</v>
      </c>
      <c r="B20" s="1887">
        <f>B19*0.9625</f>
        <v>267904.17499999999</v>
      </c>
      <c r="C20" s="1888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887">
        <f>241*Q19</f>
        <v>1446</v>
      </c>
      <c r="R20" s="1888"/>
      <c r="S20" s="123">
        <f>241*S19</f>
        <v>69167</v>
      </c>
      <c r="T20" s="1870"/>
      <c r="U20" s="49" t="s">
        <v>59</v>
      </c>
      <c r="V20" s="1877"/>
      <c r="W20" s="1877"/>
      <c r="X20" s="1877"/>
      <c r="Y20" s="1883"/>
    </row>
    <row r="21" spans="1:25" ht="23.25" customHeight="1" x14ac:dyDescent="0.25">
      <c r="A21" s="15"/>
      <c r="B21" s="130"/>
      <c r="O21" s="130"/>
      <c r="P21" s="130"/>
      <c r="Q21" s="130"/>
      <c r="R21" s="130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387790</v>
      </c>
      <c r="D22" s="1881">
        <v>110000</v>
      </c>
      <c r="E22" s="1881">
        <v>558744</v>
      </c>
      <c r="F22" s="1881">
        <f>C22-D22+E22</f>
        <v>836534</v>
      </c>
      <c r="G22" s="130"/>
      <c r="Q22" s="130"/>
      <c r="R22" s="130"/>
      <c r="T22" s="1863" t="s">
        <v>83</v>
      </c>
      <c r="U22" s="50" t="s">
        <v>60</v>
      </c>
      <c r="V22" s="1877">
        <v>140490</v>
      </c>
      <c r="W22" s="1877"/>
      <c r="X22" s="1877"/>
      <c r="Y22" s="1883"/>
    </row>
    <row r="23" spans="1:25" ht="39.75" customHeight="1" x14ac:dyDescent="0.25">
      <c r="A23" s="130"/>
      <c r="B23" s="1892"/>
      <c r="C23" s="1882"/>
      <c r="D23" s="1882"/>
      <c r="E23" s="1882"/>
      <c r="F23" s="1882"/>
      <c r="G23" s="130"/>
      <c r="Q23" s="130"/>
      <c r="R23" s="130"/>
      <c r="T23" s="1864"/>
      <c r="U23" s="50" t="s">
        <v>61</v>
      </c>
      <c r="V23" s="1877">
        <v>110000</v>
      </c>
      <c r="W23" s="1877"/>
      <c r="X23" s="1877"/>
      <c r="Y23" s="1883"/>
    </row>
    <row r="24" spans="1:25" ht="47.25" customHeight="1" x14ac:dyDescent="0.25">
      <c r="A24" s="130"/>
      <c r="B24" s="18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49" t="s">
        <v>47</v>
      </c>
      <c r="U24" s="51" t="s">
        <v>62</v>
      </c>
      <c r="V24" s="1879">
        <f>V14+V16+V17-V18-V19-V20-V22+V23-V21</f>
        <v>280.73499999998603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37539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30"/>
      <c r="J33" s="130"/>
      <c r="K33" s="1894"/>
      <c r="L33" s="1894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842" t="s">
        <v>179</v>
      </c>
      <c r="U3" s="1842"/>
      <c r="V3" s="1842"/>
      <c r="W3" s="1842"/>
      <c r="X3" s="1842"/>
      <c r="Y3" s="1842"/>
    </row>
    <row r="4" spans="1:25" s="1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0" customFormat="1" ht="25.5" customHeight="1" x14ac:dyDescent="0.25">
      <c r="A5" s="1843"/>
      <c r="B5" s="18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886" t="s">
        <v>150</v>
      </c>
      <c r="R14" s="1886"/>
      <c r="S14" s="129" t="s">
        <v>171</v>
      </c>
      <c r="T14" s="1849" t="s">
        <v>46</v>
      </c>
      <c r="U14" s="121" t="s">
        <v>176</v>
      </c>
      <c r="V14" s="1874">
        <v>281</v>
      </c>
      <c r="W14" s="1875"/>
      <c r="X14" s="1876"/>
    </row>
    <row r="15" spans="1:25" ht="22.5" customHeight="1" x14ac:dyDescent="0.25">
      <c r="A15" s="100" t="s">
        <v>38</v>
      </c>
      <c r="B15" s="1874">
        <v>278342</v>
      </c>
      <c r="C15" s="1876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877">
        <v>6</v>
      </c>
      <c r="R15" s="1877"/>
      <c r="S15" s="121">
        <v>287</v>
      </c>
      <c r="T15" s="1849"/>
      <c r="U15" s="121" t="s">
        <v>64</v>
      </c>
      <c r="V15" s="1877">
        <v>37539</v>
      </c>
      <c r="W15" s="1877"/>
      <c r="X15" s="1877"/>
    </row>
    <row r="16" spans="1:25" ht="24.75" customHeight="1" x14ac:dyDescent="0.25">
      <c r="A16" s="100" t="s">
        <v>39</v>
      </c>
      <c r="B16" s="1874">
        <v>264935</v>
      </c>
      <c r="C16" s="1876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855"/>
      <c r="R16" s="1855"/>
      <c r="S16" s="123"/>
      <c r="T16" s="1871" t="s">
        <v>55</v>
      </c>
      <c r="U16" s="1871"/>
      <c r="V16" s="1878">
        <f>Y12</f>
        <v>396104.92250000004</v>
      </c>
      <c r="W16" s="1878"/>
      <c r="X16" s="1877"/>
    </row>
    <row r="17" spans="1:25" ht="28.5" customHeight="1" x14ac:dyDescent="0.25">
      <c r="A17" s="101" t="s">
        <v>44</v>
      </c>
      <c r="B17" s="1874">
        <v>68116</v>
      </c>
      <c r="C17" s="187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55"/>
      <c r="R17" s="1855"/>
      <c r="S17" s="123"/>
      <c r="T17" s="1884" t="s">
        <v>178</v>
      </c>
      <c r="U17" s="1885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176621</v>
      </c>
      <c r="C18" s="1876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855"/>
      <c r="R18" s="1855"/>
      <c r="S18" s="121"/>
      <c r="T18" s="1871" t="s">
        <v>57</v>
      </c>
      <c r="U18" s="1871"/>
      <c r="V18" s="1877">
        <f>450+270</f>
        <v>720</v>
      </c>
      <c r="W18" s="1877"/>
      <c r="X18" s="1877"/>
      <c r="Y18" s="1883" t="s">
        <v>135</v>
      </c>
    </row>
    <row r="19" spans="1:25" ht="25.5" customHeight="1" x14ac:dyDescent="0.25">
      <c r="A19" s="100" t="s">
        <v>41</v>
      </c>
      <c r="B19" s="1874">
        <f>B15+B16+B17-B18</f>
        <v>434772</v>
      </c>
      <c r="C19" s="1876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874">
        <f t="shared" ref="Q19" si="14">Q15+Q16+Q17-Q18</f>
        <v>6</v>
      </c>
      <c r="R19" s="1876"/>
      <c r="S19" s="121">
        <f>S15+S16-S17-S18</f>
        <v>287</v>
      </c>
      <c r="T19" s="1869" t="s">
        <v>48</v>
      </c>
      <c r="U19" s="49" t="s">
        <v>58</v>
      </c>
      <c r="V19" s="1877">
        <v>255000</v>
      </c>
      <c r="W19" s="1877"/>
      <c r="X19" s="1877"/>
      <c r="Y19" s="1883"/>
    </row>
    <row r="20" spans="1:25" ht="23.25" customHeight="1" x14ac:dyDescent="0.25">
      <c r="A20" s="11" t="s">
        <v>168</v>
      </c>
      <c r="B20" s="1887">
        <f>B19*0.9625</f>
        <v>418468.05</v>
      </c>
      <c r="C20" s="1888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887">
        <f>241*Q19</f>
        <v>1446</v>
      </c>
      <c r="R20" s="1888"/>
      <c r="S20" s="123">
        <f>241*S19</f>
        <v>69167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5"/>
      <c r="B21" s="1895"/>
      <c r="C21" s="1895"/>
      <c r="O21" s="130"/>
      <c r="P21" s="130"/>
      <c r="Q21" s="130"/>
      <c r="R21" s="130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836534</v>
      </c>
      <c r="D22" s="1881">
        <v>255000</v>
      </c>
      <c r="E22" s="1881">
        <v>255000</v>
      </c>
      <c r="F22" s="1881">
        <f>C22-D22+E22</f>
        <v>836534</v>
      </c>
      <c r="G22" s="130"/>
      <c r="Q22" s="130"/>
      <c r="R22" s="130"/>
      <c r="T22" s="1863" t="s">
        <v>83</v>
      </c>
      <c r="U22" s="50" t="s">
        <v>60</v>
      </c>
      <c r="V22" s="1877">
        <v>390130</v>
      </c>
      <c r="W22" s="1877"/>
      <c r="X22" s="1877"/>
      <c r="Y22" s="1883"/>
    </row>
    <row r="23" spans="1:25" ht="39.75" customHeight="1" x14ac:dyDescent="0.25">
      <c r="A23" s="130"/>
      <c r="B23" s="1892"/>
      <c r="C23" s="1882"/>
      <c r="D23" s="1882"/>
      <c r="E23" s="1882"/>
      <c r="F23" s="1882"/>
      <c r="G23" s="130"/>
      <c r="Q23" s="130"/>
      <c r="R23" s="130"/>
      <c r="T23" s="1864"/>
      <c r="U23" s="50" t="s">
        <v>61</v>
      </c>
      <c r="V23" s="1877">
        <v>255000</v>
      </c>
      <c r="W23" s="1877"/>
      <c r="X23" s="1877"/>
      <c r="Y23" s="1883"/>
    </row>
    <row r="24" spans="1:25" ht="47.25" customHeight="1" x14ac:dyDescent="0.25">
      <c r="A24" s="130"/>
      <c r="B24" s="18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49" t="s">
        <v>47</v>
      </c>
      <c r="U24" s="51" t="s">
        <v>62</v>
      </c>
      <c r="V24" s="1879">
        <f>V14+V16+V17-V18-V19-V20-V22+V23-V21</f>
        <v>5535.9225000000442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172669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30"/>
      <c r="J33" s="13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842" t="s">
        <v>180</v>
      </c>
      <c r="U3" s="1842"/>
      <c r="V3" s="1842"/>
      <c r="W3" s="1842"/>
      <c r="X3" s="1842"/>
      <c r="Y3" s="1842"/>
    </row>
    <row r="4" spans="1:25" s="1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0" customFormat="1" ht="25.5" customHeight="1" x14ac:dyDescent="0.25">
      <c r="A5" s="1843"/>
      <c r="B5" s="18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886" t="s">
        <v>150</v>
      </c>
      <c r="R14" s="1886"/>
      <c r="S14" s="129" t="s">
        <v>171</v>
      </c>
      <c r="T14" s="1849" t="s">
        <v>46</v>
      </c>
      <c r="U14" s="121" t="s">
        <v>176</v>
      </c>
      <c r="V14" s="1874">
        <v>5536</v>
      </c>
      <c r="W14" s="1875"/>
      <c r="X14" s="1876"/>
    </row>
    <row r="15" spans="1:25" ht="22.5" customHeight="1" x14ac:dyDescent="0.25">
      <c r="A15" s="100" t="s">
        <v>38</v>
      </c>
      <c r="B15" s="1874">
        <v>434772</v>
      </c>
      <c r="C15" s="1876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877">
        <v>6</v>
      </c>
      <c r="R15" s="1877"/>
      <c r="S15" s="121">
        <v>287</v>
      </c>
      <c r="T15" s="1849"/>
      <c r="U15" s="121" t="s">
        <v>64</v>
      </c>
      <c r="V15" s="1877">
        <v>172669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855"/>
      <c r="R16" s="1855"/>
      <c r="S16" s="123"/>
      <c r="T16" s="1871" t="s">
        <v>55</v>
      </c>
      <c r="U16" s="1871"/>
      <c r="V16" s="1878">
        <f>Y12</f>
        <v>298631.15749999997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55"/>
      <c r="R17" s="1855"/>
      <c r="S17" s="123"/>
      <c r="T17" s="1889" t="s">
        <v>181</v>
      </c>
      <c r="U17" s="1890"/>
      <c r="V17" s="1877">
        <v>13500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133267</v>
      </c>
      <c r="C18" s="1876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855"/>
      <c r="R18" s="1855"/>
      <c r="S18" s="121">
        <v>161</v>
      </c>
      <c r="T18" s="1871" t="s">
        <v>57</v>
      </c>
      <c r="U18" s="1871"/>
      <c r="V18" s="1877">
        <f>450+380+65562</f>
        <v>66392</v>
      </c>
      <c r="W18" s="1877"/>
      <c r="X18" s="1877"/>
      <c r="Y18" s="1883" t="s">
        <v>182</v>
      </c>
    </row>
    <row r="19" spans="1:25" ht="25.5" customHeight="1" x14ac:dyDescent="0.25">
      <c r="A19" s="100" t="s">
        <v>41</v>
      </c>
      <c r="B19" s="1874">
        <f>B15+B16+B17-B18</f>
        <v>301505</v>
      </c>
      <c r="C19" s="1876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874">
        <f t="shared" ref="Q19" si="14">Q15+Q16+Q17-Q18</f>
        <v>6</v>
      </c>
      <c r="R19" s="1876"/>
      <c r="S19" s="121">
        <f>S15+S16-S17-S18</f>
        <v>126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290198.5625</v>
      </c>
      <c r="C20" s="1888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887">
        <f>241*Q19</f>
        <v>1446</v>
      </c>
      <c r="R20" s="1888"/>
      <c r="S20" s="123">
        <f>241*S19</f>
        <v>30366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6">
        <f>SUM(B20:S20)</f>
        <v>583920.5625</v>
      </c>
      <c r="C21" s="1896"/>
      <c r="O21" s="130"/>
      <c r="P21" s="130"/>
      <c r="Q21" s="130"/>
      <c r="R21" s="130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836534</v>
      </c>
      <c r="D22" s="1881"/>
      <c r="E22" s="1881"/>
      <c r="F22" s="1881">
        <f>C22-D22+E22</f>
        <v>836534</v>
      </c>
      <c r="G22" s="130"/>
      <c r="Q22" s="130"/>
      <c r="R22" s="130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30"/>
      <c r="B23" s="1892"/>
      <c r="C23" s="1882"/>
      <c r="D23" s="1882"/>
      <c r="E23" s="1882"/>
      <c r="F23" s="1882"/>
      <c r="G23" s="130"/>
      <c r="Q23" s="130"/>
      <c r="R23" s="130"/>
      <c r="T23" s="1864"/>
      <c r="U23" s="50" t="s">
        <v>61</v>
      </c>
      <c r="V23" s="1877"/>
      <c r="W23" s="1877"/>
      <c r="X23" s="1877"/>
      <c r="Y23" s="1883"/>
    </row>
    <row r="24" spans="1:25" ht="47.25" customHeight="1" x14ac:dyDescent="0.25">
      <c r="A24" s="130"/>
      <c r="B24" s="18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49" t="s">
        <v>47</v>
      </c>
      <c r="U24" s="51" t="s">
        <v>62</v>
      </c>
      <c r="V24" s="1879">
        <f>V14+V16+V17-V18-V19-V20-V22+V23-V21</f>
        <v>251275.15749999997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172669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30"/>
      <c r="J33" s="13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842" t="s">
        <v>183</v>
      </c>
      <c r="U3" s="1842"/>
      <c r="V3" s="1842"/>
      <c r="W3" s="1842"/>
      <c r="X3" s="1842"/>
      <c r="Y3" s="1842"/>
    </row>
    <row r="4" spans="1:25" s="1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0" customFormat="1" ht="25.5" customHeight="1" x14ac:dyDescent="0.25">
      <c r="A5" s="1843"/>
      <c r="B5" s="18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886" t="s">
        <v>150</v>
      </c>
      <c r="R14" s="1886"/>
      <c r="S14" s="129" t="s">
        <v>171</v>
      </c>
      <c r="T14" s="1849" t="s">
        <v>46</v>
      </c>
      <c r="U14" s="121" t="s">
        <v>176</v>
      </c>
      <c r="V14" s="1874">
        <v>251275</v>
      </c>
      <c r="W14" s="1875"/>
      <c r="X14" s="1876"/>
    </row>
    <row r="15" spans="1:25" ht="22.5" customHeight="1" x14ac:dyDescent="0.25">
      <c r="A15" s="100" t="s">
        <v>38</v>
      </c>
      <c r="B15" s="1874">
        <v>301505</v>
      </c>
      <c r="C15" s="1876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877">
        <v>6</v>
      </c>
      <c r="R15" s="1877"/>
      <c r="S15" s="121">
        <v>126</v>
      </c>
      <c r="T15" s="1849"/>
      <c r="U15" s="121" t="s">
        <v>64</v>
      </c>
      <c r="V15" s="1877">
        <v>172669</v>
      </c>
      <c r="W15" s="1877"/>
      <c r="X15" s="1877"/>
    </row>
    <row r="16" spans="1:25" ht="24.75" customHeight="1" x14ac:dyDescent="0.25">
      <c r="A16" s="100" t="s">
        <v>39</v>
      </c>
      <c r="B16" s="1874">
        <v>75636</v>
      </c>
      <c r="C16" s="1876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855"/>
      <c r="R16" s="1855"/>
      <c r="S16" s="123"/>
      <c r="T16" s="1871" t="s">
        <v>55</v>
      </c>
      <c r="U16" s="1871"/>
      <c r="V16" s="1878">
        <f>Y12</f>
        <v>141881.89000000001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55"/>
      <c r="R17" s="1855"/>
      <c r="S17" s="123"/>
      <c r="T17" s="1889" t="s">
        <v>181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102404</v>
      </c>
      <c r="C18" s="1876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55"/>
      <c r="R18" s="1855"/>
      <c r="S18" s="121"/>
      <c r="T18" s="1871" t="s">
        <v>57</v>
      </c>
      <c r="U18" s="1871"/>
      <c r="V18" s="1877">
        <v>450</v>
      </c>
      <c r="W18" s="1877"/>
      <c r="X18" s="1877"/>
      <c r="Y18" s="1883" t="s">
        <v>103</v>
      </c>
    </row>
    <row r="19" spans="1:25" ht="25.5" customHeight="1" x14ac:dyDescent="0.25">
      <c r="A19" s="100" t="s">
        <v>41</v>
      </c>
      <c r="B19" s="1874">
        <f>B15+B16+B17-B18</f>
        <v>274737</v>
      </c>
      <c r="C19" s="1876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874">
        <f t="shared" ref="Q19" si="14">Q15+Q16+Q17-Q18</f>
        <v>6</v>
      </c>
      <c r="R19" s="1876"/>
      <c r="S19" s="121">
        <f>S15+S16-S17-S18</f>
        <v>126</v>
      </c>
      <c r="T19" s="1869" t="s">
        <v>48</v>
      </c>
      <c r="U19" s="49" t="s">
        <v>58</v>
      </c>
      <c r="V19" s="1877">
        <v>280000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264434.36249999999</v>
      </c>
      <c r="C20" s="1888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887">
        <f>241*Q19</f>
        <v>1446</v>
      </c>
      <c r="R20" s="1888"/>
      <c r="S20" s="123">
        <f>241*S19</f>
        <v>30366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6">
        <f>SUM(B20:S20)</f>
        <v>723427.86250000005</v>
      </c>
      <c r="C21" s="1896"/>
      <c r="O21" s="130"/>
      <c r="P21" s="130"/>
      <c r="Q21" s="130"/>
      <c r="R21" s="130"/>
      <c r="T21" s="1889" t="s">
        <v>167</v>
      </c>
      <c r="U21" s="1890"/>
      <c r="V21" s="1874">
        <v>80000</v>
      </c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836534</v>
      </c>
      <c r="D22" s="1881">
        <v>280000</v>
      </c>
      <c r="E22" s="1881">
        <v>280000</v>
      </c>
      <c r="F22" s="1881">
        <f>C22-D22+E22</f>
        <v>836534</v>
      </c>
      <c r="G22" s="130"/>
      <c r="Q22" s="130"/>
      <c r="R22" s="130"/>
      <c r="T22" s="1863" t="s">
        <v>83</v>
      </c>
      <c r="U22" s="50" t="s">
        <v>60</v>
      </c>
      <c r="V22" s="1877">
        <v>306510</v>
      </c>
      <c r="W22" s="1877"/>
      <c r="X22" s="1877"/>
      <c r="Y22" s="1883"/>
    </row>
    <row r="23" spans="1:25" ht="39.75" customHeight="1" x14ac:dyDescent="0.25">
      <c r="A23" s="130"/>
      <c r="B23" s="1892"/>
      <c r="C23" s="1882"/>
      <c r="D23" s="1882"/>
      <c r="E23" s="1882"/>
      <c r="F23" s="1882"/>
      <c r="G23" s="130"/>
      <c r="Q23" s="130"/>
      <c r="R23" s="130"/>
      <c r="T23" s="1864"/>
      <c r="U23" s="50" t="s">
        <v>61</v>
      </c>
      <c r="V23" s="1877">
        <v>280000</v>
      </c>
      <c r="W23" s="1877"/>
      <c r="X23" s="1877"/>
      <c r="Y23" s="1883"/>
    </row>
    <row r="24" spans="1:25" ht="47.25" customHeight="1" x14ac:dyDescent="0.25">
      <c r="A24" s="130"/>
      <c r="B24" s="18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49" t="s">
        <v>47</v>
      </c>
      <c r="U24" s="51" t="s">
        <v>62</v>
      </c>
      <c r="V24" s="1879">
        <f>V14+V16+V17-V18-V19-V20-V22+V23-V21</f>
        <v>6196.890000000014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199179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30"/>
      <c r="J33" s="13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842" t="s">
        <v>184</v>
      </c>
      <c r="U3" s="1842"/>
      <c r="V3" s="1842"/>
      <c r="W3" s="1842"/>
      <c r="X3" s="1842"/>
      <c r="Y3" s="1842"/>
    </row>
    <row r="4" spans="1:25" s="1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0" customFormat="1" ht="25.5" customHeight="1" x14ac:dyDescent="0.25">
      <c r="A5" s="1843"/>
      <c r="B5" s="18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886" t="s">
        <v>150</v>
      </c>
      <c r="R14" s="1886"/>
      <c r="S14" s="129" t="s">
        <v>171</v>
      </c>
      <c r="T14" s="1849" t="s">
        <v>46</v>
      </c>
      <c r="U14" s="121" t="s">
        <v>176</v>
      </c>
      <c r="V14" s="1874">
        <v>6197</v>
      </c>
      <c r="W14" s="1875"/>
      <c r="X14" s="1876"/>
    </row>
    <row r="15" spans="1:25" ht="22.5" customHeight="1" x14ac:dyDescent="0.25">
      <c r="A15" s="100" t="s">
        <v>38</v>
      </c>
      <c r="B15" s="1874">
        <v>274737</v>
      </c>
      <c r="C15" s="1876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877">
        <v>6</v>
      </c>
      <c r="R15" s="1877"/>
      <c r="S15" s="121">
        <v>126</v>
      </c>
      <c r="T15" s="1849"/>
      <c r="U15" s="121" t="s">
        <v>64</v>
      </c>
      <c r="V15" s="1877">
        <v>199179</v>
      </c>
      <c r="W15" s="1877"/>
      <c r="X15" s="1877"/>
    </row>
    <row r="16" spans="1:25" ht="24.75" customHeight="1" x14ac:dyDescent="0.25">
      <c r="A16" s="100" t="s">
        <v>39</v>
      </c>
      <c r="B16" s="1874">
        <v>136104</v>
      </c>
      <c r="C16" s="187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855"/>
      <c r="R16" s="1855"/>
      <c r="S16" s="123"/>
      <c r="T16" s="1871" t="s">
        <v>55</v>
      </c>
      <c r="U16" s="1871"/>
      <c r="V16" s="1878">
        <f>Y12</f>
        <v>137565.625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55"/>
      <c r="R17" s="1855"/>
      <c r="S17" s="123"/>
      <c r="T17" s="1889" t="s">
        <v>181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135250</v>
      </c>
      <c r="C18" s="1876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55"/>
      <c r="R18" s="1855"/>
      <c r="S18" s="121"/>
      <c r="T18" s="1871" t="s">
        <v>57</v>
      </c>
      <c r="U18" s="1871"/>
      <c r="V18" s="1877">
        <f>450+100</f>
        <v>550</v>
      </c>
      <c r="W18" s="1877"/>
      <c r="X18" s="1877"/>
      <c r="Y18" s="1883" t="s">
        <v>185</v>
      </c>
    </row>
    <row r="19" spans="1:25" ht="25.5" customHeight="1" x14ac:dyDescent="0.25">
      <c r="A19" s="100" t="s">
        <v>41</v>
      </c>
      <c r="B19" s="1874">
        <f>B15+B16+B17-B18</f>
        <v>275591</v>
      </c>
      <c r="C19" s="1876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874">
        <f t="shared" ref="Q19" si="14">Q15+Q16+Q17-Q18</f>
        <v>6</v>
      </c>
      <c r="R19" s="1876"/>
      <c r="S19" s="121">
        <f>S15+S16-S17-S18</f>
        <v>126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265256.33750000002</v>
      </c>
      <c r="C20" s="1888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887">
        <f>241*Q19</f>
        <v>1446</v>
      </c>
      <c r="R20" s="1888"/>
      <c r="S20" s="123">
        <f>241*S19</f>
        <v>30366</v>
      </c>
      <c r="T20" s="1870"/>
      <c r="U20" s="49" t="s">
        <v>59</v>
      </c>
      <c r="V20" s="1877">
        <v>131000</v>
      </c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718262.33750000002</v>
      </c>
      <c r="C21" s="1897"/>
      <c r="O21" s="130"/>
      <c r="P21" s="130"/>
      <c r="Q21" s="130"/>
      <c r="R21" s="130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836534</v>
      </c>
      <c r="D22" s="1881"/>
      <c r="E22" s="1881"/>
      <c r="F22" s="1881">
        <f>C22-D22+E22</f>
        <v>836534</v>
      </c>
      <c r="G22" s="130"/>
      <c r="Q22" s="130"/>
      <c r="R22" s="130"/>
      <c r="T22" s="1863" t="s">
        <v>83</v>
      </c>
      <c r="U22" s="50" t="s">
        <v>60</v>
      </c>
      <c r="V22" s="1877">
        <v>137030</v>
      </c>
      <c r="W22" s="1877"/>
      <c r="X22" s="1877"/>
      <c r="Y22" s="1883"/>
    </row>
    <row r="23" spans="1:25" ht="39.75" customHeight="1" x14ac:dyDescent="0.25">
      <c r="A23" s="130"/>
      <c r="B23" s="1892"/>
      <c r="C23" s="1882"/>
      <c r="D23" s="1882"/>
      <c r="E23" s="1882"/>
      <c r="F23" s="1882"/>
      <c r="G23" s="130"/>
      <c r="Q23" s="130"/>
      <c r="R23" s="130"/>
      <c r="T23" s="1864"/>
      <c r="U23" s="50" t="s">
        <v>61</v>
      </c>
      <c r="V23" s="1877">
        <v>131000</v>
      </c>
      <c r="W23" s="1877"/>
      <c r="X23" s="1877"/>
      <c r="Y23" s="1883"/>
    </row>
    <row r="24" spans="1:25" ht="47.25" customHeight="1" x14ac:dyDescent="0.25">
      <c r="A24" s="130"/>
      <c r="B24" s="18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49" t="s">
        <v>47</v>
      </c>
      <c r="U24" s="51" t="s">
        <v>62</v>
      </c>
      <c r="V24" s="1879">
        <f>V14+V16+V17-V18-V19-V20-V22+V23-V21</f>
        <v>6182.625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205209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30"/>
      <c r="J33" s="13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842" t="s">
        <v>188</v>
      </c>
      <c r="U3" s="1842"/>
      <c r="V3" s="1842"/>
      <c r="W3" s="1842"/>
      <c r="X3" s="1842"/>
      <c r="Y3" s="1842"/>
    </row>
    <row r="4" spans="1:25" s="1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0" customFormat="1" ht="25.5" customHeight="1" x14ac:dyDescent="0.25">
      <c r="A5" s="1843"/>
      <c r="B5" s="18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886" t="s">
        <v>150</v>
      </c>
      <c r="R14" s="1886"/>
      <c r="S14" s="129" t="s">
        <v>171</v>
      </c>
      <c r="T14" s="1849" t="s">
        <v>46</v>
      </c>
      <c r="U14" s="121" t="s">
        <v>176</v>
      </c>
      <c r="V14" s="1874">
        <v>6183</v>
      </c>
      <c r="W14" s="1875"/>
      <c r="X14" s="1876"/>
    </row>
    <row r="15" spans="1:25" ht="22.5" customHeight="1" x14ac:dyDescent="0.25">
      <c r="A15" s="100" t="s">
        <v>38</v>
      </c>
      <c r="B15" s="1874">
        <v>275591</v>
      </c>
      <c r="C15" s="1876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877">
        <v>6</v>
      </c>
      <c r="R15" s="1877"/>
      <c r="S15" s="121">
        <v>126</v>
      </c>
      <c r="T15" s="1849"/>
      <c r="U15" s="121" t="s">
        <v>64</v>
      </c>
      <c r="V15" s="1877">
        <v>205209</v>
      </c>
      <c r="W15" s="1877"/>
      <c r="X15" s="1877"/>
    </row>
    <row r="16" spans="1:25" ht="24.75" customHeight="1" x14ac:dyDescent="0.25">
      <c r="A16" s="100" t="s">
        <v>39</v>
      </c>
      <c r="B16" s="1874">
        <v>278232</v>
      </c>
      <c r="C16" s="187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855"/>
      <c r="R16" s="1855"/>
      <c r="S16" s="123"/>
      <c r="T16" s="1871" t="s">
        <v>55</v>
      </c>
      <c r="U16" s="1871"/>
      <c r="V16" s="1878">
        <f>Y12</f>
        <v>149217.1925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55"/>
      <c r="R17" s="1855"/>
      <c r="S17" s="123"/>
      <c r="T17" s="1889" t="s">
        <v>181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147193</v>
      </c>
      <c r="C18" s="1876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55"/>
      <c r="R18" s="1855"/>
      <c r="S18" s="121"/>
      <c r="T18" s="1871" t="s">
        <v>57</v>
      </c>
      <c r="U18" s="1871"/>
      <c r="V18" s="1877">
        <v>450</v>
      </c>
      <c r="W18" s="1877"/>
      <c r="X18" s="1877"/>
      <c r="Y18" s="1883" t="s">
        <v>189</v>
      </c>
    </row>
    <row r="19" spans="1:25" ht="25.5" customHeight="1" x14ac:dyDescent="0.25">
      <c r="A19" s="100" t="s">
        <v>41</v>
      </c>
      <c r="B19" s="1874">
        <f>B15+B16+B17-B18</f>
        <v>406630</v>
      </c>
      <c r="C19" s="1876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874">
        <f t="shared" ref="Q19" si="14">Q15+Q16+Q17-Q18</f>
        <v>6</v>
      </c>
      <c r="R19" s="1876"/>
      <c r="S19" s="121">
        <f>S15+S16-S17-S18</f>
        <v>126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391381.375</v>
      </c>
      <c r="C20" s="1888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887">
        <f>241*Q19</f>
        <v>1446</v>
      </c>
      <c r="R20" s="1888"/>
      <c r="S20" s="123">
        <f>241*S19</f>
        <v>30366</v>
      </c>
      <c r="T20" s="1870"/>
      <c r="U20" s="49" t="s">
        <v>59</v>
      </c>
      <c r="V20" s="1877">
        <v>147800</v>
      </c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838396.375</v>
      </c>
      <c r="C21" s="1897"/>
      <c r="O21" s="130"/>
      <c r="P21" s="130"/>
      <c r="Q21" s="130"/>
      <c r="R21" s="130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836534</v>
      </c>
      <c r="D22" s="1881"/>
      <c r="E22" s="1881">
        <v>120000</v>
      </c>
      <c r="F22" s="1881">
        <f>C22-D22+E22</f>
        <v>956534</v>
      </c>
      <c r="G22" s="130"/>
      <c r="Q22" s="130"/>
      <c r="R22" s="130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30"/>
      <c r="B23" s="1892"/>
      <c r="C23" s="1882"/>
      <c r="D23" s="1882"/>
      <c r="E23" s="1882"/>
      <c r="F23" s="1882"/>
      <c r="G23" s="130"/>
      <c r="Q23" s="130"/>
      <c r="R23" s="130"/>
      <c r="T23" s="1864"/>
      <c r="U23" s="50" t="s">
        <v>61</v>
      </c>
      <c r="V23" s="1877"/>
      <c r="W23" s="1877"/>
      <c r="X23" s="1877"/>
      <c r="Y23" s="1883"/>
    </row>
    <row r="24" spans="1:25" ht="47.25" customHeight="1" x14ac:dyDescent="0.25">
      <c r="A24" s="130"/>
      <c r="B24" s="18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49" t="s">
        <v>47</v>
      </c>
      <c r="U24" s="51" t="s">
        <v>62</v>
      </c>
      <c r="V24" s="1879">
        <f>V14+V16+V17-V18-V19-V20-V22+V23-V21</f>
        <v>7150.1925000000047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205209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30"/>
      <c r="J33" s="13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842" t="s">
        <v>190</v>
      </c>
      <c r="U3" s="1842"/>
      <c r="V3" s="1842"/>
      <c r="W3" s="1842"/>
      <c r="X3" s="1842"/>
      <c r="Y3" s="1842"/>
    </row>
    <row r="4" spans="1:25" s="1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0" customFormat="1" ht="25.5" customHeight="1" x14ac:dyDescent="0.25">
      <c r="A5" s="1843"/>
      <c r="B5" s="18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886" t="s">
        <v>150</v>
      </c>
      <c r="R14" s="1886"/>
      <c r="S14" s="129" t="s">
        <v>171</v>
      </c>
      <c r="T14" s="1849" t="s">
        <v>46</v>
      </c>
      <c r="U14" s="121" t="s">
        <v>176</v>
      </c>
      <c r="V14" s="1874">
        <v>7150</v>
      </c>
      <c r="W14" s="1875"/>
      <c r="X14" s="1876"/>
    </row>
    <row r="15" spans="1:25" ht="22.5" customHeight="1" x14ac:dyDescent="0.25">
      <c r="A15" s="100" t="s">
        <v>38</v>
      </c>
      <c r="B15" s="1874">
        <v>406630</v>
      </c>
      <c r="C15" s="1876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877">
        <v>6</v>
      </c>
      <c r="R15" s="1877"/>
      <c r="S15" s="121">
        <v>126</v>
      </c>
      <c r="T15" s="1849"/>
      <c r="U15" s="121" t="s">
        <v>64</v>
      </c>
      <c r="V15" s="1877">
        <v>205209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855"/>
      <c r="R16" s="1855"/>
      <c r="S16" s="123"/>
      <c r="T16" s="1871" t="s">
        <v>55</v>
      </c>
      <c r="U16" s="1871"/>
      <c r="V16" s="1878">
        <f>Y12</f>
        <v>85917.805000000008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55"/>
      <c r="R17" s="1855"/>
      <c r="S17" s="123"/>
      <c r="T17" s="1889" t="s">
        <v>181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81098</v>
      </c>
      <c r="C18" s="1876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55"/>
      <c r="R18" s="1855"/>
      <c r="S18" s="121"/>
      <c r="T18" s="1871" t="s">
        <v>57</v>
      </c>
      <c r="U18" s="1871"/>
      <c r="V18" s="1877">
        <v>450</v>
      </c>
      <c r="W18" s="1877"/>
      <c r="X18" s="1877"/>
      <c r="Y18" s="1883" t="s">
        <v>189</v>
      </c>
    </row>
    <row r="19" spans="1:25" ht="25.5" customHeight="1" x14ac:dyDescent="0.25">
      <c r="A19" s="100" t="s">
        <v>41</v>
      </c>
      <c r="B19" s="1874">
        <f>B15+B16+B17-B18</f>
        <v>325532</v>
      </c>
      <c r="C19" s="1876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874">
        <f t="shared" ref="Q19" si="14">Q15+Q16+Q17-Q18</f>
        <v>6</v>
      </c>
      <c r="R19" s="1876"/>
      <c r="S19" s="121">
        <f>S15+S16-S17-S18</f>
        <v>126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313324.55</v>
      </c>
      <c r="C20" s="1888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887">
        <f>241*Q19</f>
        <v>1446</v>
      </c>
      <c r="R20" s="1888"/>
      <c r="S20" s="123">
        <f>241*S19</f>
        <v>30366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753289.55</v>
      </c>
      <c r="C21" s="1897"/>
      <c r="O21" s="130"/>
      <c r="P21" s="130"/>
      <c r="Q21" s="130"/>
      <c r="R21" s="130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956534</v>
      </c>
      <c r="D22" s="1881"/>
      <c r="E22" s="1881"/>
      <c r="F22" s="1881">
        <f>C22-D22+E22</f>
        <v>956534</v>
      </c>
      <c r="G22" s="130"/>
      <c r="Q22" s="130"/>
      <c r="R22" s="130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30"/>
      <c r="B23" s="1892"/>
      <c r="C23" s="1882"/>
      <c r="D23" s="1882"/>
      <c r="E23" s="1882"/>
      <c r="F23" s="1882"/>
      <c r="G23" s="130"/>
      <c r="Q23" s="130"/>
      <c r="R23" s="130"/>
      <c r="T23" s="1864"/>
      <c r="U23" s="50" t="s">
        <v>61</v>
      </c>
      <c r="V23" s="1877"/>
      <c r="W23" s="1877"/>
      <c r="X23" s="1877"/>
      <c r="Y23" s="1883"/>
    </row>
    <row r="24" spans="1:25" ht="47.25" customHeight="1" x14ac:dyDescent="0.25">
      <c r="A24" s="130"/>
      <c r="B24" s="18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49" t="s">
        <v>47</v>
      </c>
      <c r="U24" s="51" t="s">
        <v>62</v>
      </c>
      <c r="V24" s="1879">
        <f>V14+V16+V17-V18-V19-V20-V22+V23-V21</f>
        <v>92617.805000000008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205209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30"/>
      <c r="J33" s="13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842" t="s">
        <v>191</v>
      </c>
      <c r="U3" s="1842"/>
      <c r="V3" s="1842"/>
      <c r="W3" s="1842"/>
      <c r="X3" s="1842"/>
      <c r="Y3" s="1842"/>
    </row>
    <row r="4" spans="1:25" s="1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0" customFormat="1" ht="25.5" customHeight="1" x14ac:dyDescent="0.25">
      <c r="A5" s="1843"/>
      <c r="B5" s="1843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886" t="s">
        <v>150</v>
      </c>
      <c r="R14" s="1886"/>
      <c r="S14" s="129" t="s">
        <v>171</v>
      </c>
      <c r="T14" s="1849" t="s">
        <v>46</v>
      </c>
      <c r="U14" s="121" t="s">
        <v>176</v>
      </c>
      <c r="V14" s="1874">
        <v>92618</v>
      </c>
      <c r="W14" s="1875"/>
      <c r="X14" s="1876"/>
    </row>
    <row r="15" spans="1:25" ht="22.5" customHeight="1" x14ac:dyDescent="0.25">
      <c r="A15" s="100" t="s">
        <v>38</v>
      </c>
      <c r="B15" s="1874">
        <v>325532</v>
      </c>
      <c r="C15" s="1876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877">
        <v>6</v>
      </c>
      <c r="R15" s="1877"/>
      <c r="S15" s="121">
        <v>126</v>
      </c>
      <c r="T15" s="1849"/>
      <c r="U15" s="121" t="s">
        <v>64</v>
      </c>
      <c r="V15" s="1877">
        <v>205209</v>
      </c>
      <c r="W15" s="1877"/>
      <c r="X15" s="1877"/>
    </row>
    <row r="16" spans="1:25" ht="24.75" customHeight="1" x14ac:dyDescent="0.25">
      <c r="A16" s="100" t="s">
        <v>39</v>
      </c>
      <c r="B16" s="1874">
        <v>234701</v>
      </c>
      <c r="C16" s="1876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855"/>
      <c r="R16" s="1855"/>
      <c r="S16" s="123"/>
      <c r="T16" s="1871" t="s">
        <v>55</v>
      </c>
      <c r="U16" s="1871"/>
      <c r="V16" s="1878">
        <f>Y12</f>
        <v>240922.41250000003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855"/>
      <c r="R17" s="1855"/>
      <c r="S17" s="123"/>
      <c r="T17" s="1889" t="s">
        <v>205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167585</v>
      </c>
      <c r="C18" s="1876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855"/>
      <c r="R18" s="1855"/>
      <c r="S18" s="121"/>
      <c r="T18" s="1871" t="s">
        <v>57</v>
      </c>
      <c r="U18" s="1871"/>
      <c r="V18" s="1877">
        <f>450+120+160+150</f>
        <v>880</v>
      </c>
      <c r="W18" s="1877"/>
      <c r="X18" s="1877"/>
      <c r="Y18" s="1883" t="s">
        <v>192</v>
      </c>
    </row>
    <row r="19" spans="1:25" ht="25.5" customHeight="1" x14ac:dyDescent="0.25">
      <c r="A19" s="100" t="s">
        <v>41</v>
      </c>
      <c r="B19" s="1874">
        <f>B15+B16+B17-B18</f>
        <v>392648</v>
      </c>
      <c r="C19" s="1876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874">
        <f t="shared" ref="Q19" si="14">Q15+Q16+Q17-Q18</f>
        <v>6</v>
      </c>
      <c r="R19" s="1876"/>
      <c r="S19" s="121">
        <f>S15+S16-S17-S18</f>
        <v>126</v>
      </c>
      <c r="T19" s="1869" t="s">
        <v>48</v>
      </c>
      <c r="U19" s="49" t="s">
        <v>58</v>
      </c>
      <c r="V19" s="1877">
        <v>370000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377923.7</v>
      </c>
      <c r="C20" s="1888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887">
        <f>241*Q19</f>
        <v>1446</v>
      </c>
      <c r="R20" s="1888"/>
      <c r="S20" s="123">
        <f>241*S19</f>
        <v>30366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764793.2</v>
      </c>
      <c r="C21" s="1897"/>
      <c r="O21" s="130"/>
      <c r="P21" s="130"/>
      <c r="Q21" s="130"/>
      <c r="R21" s="130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956534</v>
      </c>
      <c r="D22" s="1881">
        <v>370000</v>
      </c>
      <c r="E22" s="1881">
        <v>250000</v>
      </c>
      <c r="F22" s="1881">
        <f>C22-D22+E22</f>
        <v>836534</v>
      </c>
      <c r="G22" s="130"/>
      <c r="Q22" s="130"/>
      <c r="R22" s="130"/>
      <c r="T22" s="1863" t="s">
        <v>83</v>
      </c>
      <c r="U22" s="50" t="s">
        <v>60</v>
      </c>
      <c r="V22" s="1877">
        <v>324840</v>
      </c>
      <c r="W22" s="1877"/>
      <c r="X22" s="1877"/>
      <c r="Y22" s="1883"/>
    </row>
    <row r="23" spans="1:25" ht="39.75" customHeight="1" x14ac:dyDescent="0.25">
      <c r="A23" s="130"/>
      <c r="B23" s="1892"/>
      <c r="C23" s="1882"/>
      <c r="D23" s="1882"/>
      <c r="E23" s="1882"/>
      <c r="F23" s="1882"/>
      <c r="G23" s="130"/>
      <c r="Q23" s="130"/>
      <c r="R23" s="130"/>
      <c r="T23" s="1864"/>
      <c r="U23" s="50" t="s">
        <v>61</v>
      </c>
      <c r="V23" s="1877">
        <v>370000</v>
      </c>
      <c r="W23" s="1877"/>
      <c r="X23" s="1877"/>
      <c r="Y23" s="1883"/>
    </row>
    <row r="24" spans="1:25" ht="47.25" customHeight="1" x14ac:dyDescent="0.25">
      <c r="A24" s="130"/>
      <c r="B24" s="1893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849" t="s">
        <v>47</v>
      </c>
      <c r="U24" s="51" t="s">
        <v>62</v>
      </c>
      <c r="V24" s="1879">
        <f>V14+V16+V17-V18-V19-V20-V22+V23-V21</f>
        <v>7820.4125000000349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160049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30"/>
      <c r="J33" s="13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842" t="s">
        <v>194</v>
      </c>
      <c r="U3" s="1842"/>
      <c r="V3" s="1842"/>
      <c r="W3" s="1842"/>
      <c r="X3" s="1842"/>
      <c r="Y3" s="1842"/>
    </row>
    <row r="4" spans="1:25" s="13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6" customFormat="1" ht="25.5" customHeight="1" x14ac:dyDescent="0.25">
      <c r="A5" s="1843"/>
      <c r="B5" s="184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886" t="s">
        <v>150</v>
      </c>
      <c r="R14" s="1886"/>
      <c r="S14" s="140" t="s">
        <v>171</v>
      </c>
      <c r="T14" s="1849" t="s">
        <v>46</v>
      </c>
      <c r="U14" s="134" t="s">
        <v>176</v>
      </c>
      <c r="V14" s="1874">
        <v>7820</v>
      </c>
      <c r="W14" s="1875"/>
      <c r="X14" s="1876"/>
    </row>
    <row r="15" spans="1:25" ht="22.5" customHeight="1" x14ac:dyDescent="0.25">
      <c r="A15" s="100" t="s">
        <v>38</v>
      </c>
      <c r="B15" s="1874">
        <v>392648</v>
      </c>
      <c r="C15" s="1876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877">
        <v>6</v>
      </c>
      <c r="R15" s="1877"/>
      <c r="S15" s="134">
        <v>126</v>
      </c>
      <c r="T15" s="1849"/>
      <c r="U15" s="134" t="s">
        <v>64</v>
      </c>
      <c r="V15" s="1877">
        <v>160049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855"/>
      <c r="R16" s="1855"/>
      <c r="S16" s="133"/>
      <c r="T16" s="1871" t="s">
        <v>55</v>
      </c>
      <c r="U16" s="1871"/>
      <c r="V16" s="1878">
        <f>Y12</f>
        <v>217455.60250000001</v>
      </c>
      <c r="W16" s="1878"/>
      <c r="X16" s="1877"/>
    </row>
    <row r="17" spans="1:25" ht="28.5" customHeight="1" x14ac:dyDescent="0.25">
      <c r="A17" s="101" t="s">
        <v>44</v>
      </c>
      <c r="B17" s="1874">
        <v>34668</v>
      </c>
      <c r="C17" s="1876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855"/>
      <c r="R17" s="1855"/>
      <c r="S17" s="133"/>
      <c r="T17" s="1889" t="s">
        <v>205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152269</v>
      </c>
      <c r="C18" s="1876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855"/>
      <c r="R18" s="1855"/>
      <c r="S18" s="134"/>
      <c r="T18" s="1871" t="s">
        <v>57</v>
      </c>
      <c r="U18" s="1871"/>
      <c r="V18" s="1877">
        <v>450</v>
      </c>
      <c r="W18" s="1877"/>
      <c r="X18" s="1877"/>
      <c r="Y18" s="1883" t="s">
        <v>193</v>
      </c>
    </row>
    <row r="19" spans="1:25" ht="25.5" customHeight="1" x14ac:dyDescent="0.25">
      <c r="A19" s="100" t="s">
        <v>41</v>
      </c>
      <c r="B19" s="1874">
        <f>B15+B16+B17-B18</f>
        <v>275047</v>
      </c>
      <c r="C19" s="1876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874">
        <f t="shared" ref="Q19" si="14">Q15+Q16+Q17-Q18</f>
        <v>6</v>
      </c>
      <c r="R19" s="1876"/>
      <c r="S19" s="134">
        <f>S15+S16-S17-S18</f>
        <v>126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264732.73749999999</v>
      </c>
      <c r="C20" s="1888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887">
        <f>241*Q19</f>
        <v>1446</v>
      </c>
      <c r="R20" s="1888"/>
      <c r="S20" s="133">
        <f>241*S19</f>
        <v>30366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582917.5575</v>
      </c>
      <c r="C21" s="1897"/>
      <c r="O21" s="141"/>
      <c r="P21" s="141"/>
      <c r="Q21" s="141"/>
      <c r="R21" s="141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836534</v>
      </c>
      <c r="D22" s="1881"/>
      <c r="E22" s="1881"/>
      <c r="F22" s="1881">
        <f>C22-D22+E22</f>
        <v>836534</v>
      </c>
      <c r="G22" s="141"/>
      <c r="Q22" s="141"/>
      <c r="R22" s="141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41"/>
      <c r="B23" s="1892"/>
      <c r="C23" s="1882"/>
      <c r="D23" s="1882"/>
      <c r="E23" s="1882"/>
      <c r="F23" s="1882"/>
      <c r="G23" s="141"/>
      <c r="Q23" s="141"/>
      <c r="R23" s="141"/>
      <c r="T23" s="1864"/>
      <c r="U23" s="50" t="s">
        <v>61</v>
      </c>
      <c r="V23" s="1877"/>
      <c r="W23" s="1877"/>
      <c r="X23" s="1877"/>
      <c r="Y23" s="1883"/>
    </row>
    <row r="24" spans="1:25" ht="47.25" customHeight="1" x14ac:dyDescent="0.25">
      <c r="A24" s="141"/>
      <c r="B24" s="1893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849" t="s">
        <v>47</v>
      </c>
      <c r="U24" s="51" t="s">
        <v>62</v>
      </c>
      <c r="V24" s="1879">
        <f>V14+V16+V17-V18-V19-V20-V22+V23-V21</f>
        <v>224825.60250000001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160049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41"/>
      <c r="J33" s="14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842" t="s">
        <v>195</v>
      </c>
      <c r="U3" s="1842"/>
      <c r="V3" s="1842"/>
      <c r="W3" s="1842"/>
      <c r="X3" s="1842"/>
      <c r="Y3" s="1842"/>
    </row>
    <row r="4" spans="1:25" s="13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6" customFormat="1" ht="25.5" customHeight="1" x14ac:dyDescent="0.25">
      <c r="A5" s="1843"/>
      <c r="B5" s="184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886" t="s">
        <v>150</v>
      </c>
      <c r="R14" s="1886"/>
      <c r="S14" s="140" t="s">
        <v>171</v>
      </c>
      <c r="T14" s="1849" t="s">
        <v>46</v>
      </c>
      <c r="U14" s="134" t="s">
        <v>176</v>
      </c>
      <c r="V14" s="1874">
        <v>224826</v>
      </c>
      <c r="W14" s="1875"/>
      <c r="X14" s="1876"/>
    </row>
    <row r="15" spans="1:25" ht="22.5" customHeight="1" x14ac:dyDescent="0.25">
      <c r="A15" s="100" t="s">
        <v>38</v>
      </c>
      <c r="B15" s="1874">
        <v>275047</v>
      </c>
      <c r="C15" s="1876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877">
        <v>6</v>
      </c>
      <c r="R15" s="1877"/>
      <c r="S15" s="134">
        <v>126</v>
      </c>
      <c r="T15" s="1849"/>
      <c r="U15" s="134" t="s">
        <v>64</v>
      </c>
      <c r="V15" s="1877">
        <v>160049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855"/>
      <c r="R16" s="1855"/>
      <c r="S16" s="133"/>
      <c r="T16" s="1871" t="s">
        <v>55</v>
      </c>
      <c r="U16" s="1871"/>
      <c r="V16" s="1878">
        <f>Y12</f>
        <v>140846.33749999999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855"/>
      <c r="R17" s="1855"/>
      <c r="S17" s="133"/>
      <c r="T17" s="1889" t="s">
        <v>181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107115</v>
      </c>
      <c r="C18" s="1876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855"/>
      <c r="R18" s="1855"/>
      <c r="S18" s="134"/>
      <c r="T18" s="1871" t="s">
        <v>57</v>
      </c>
      <c r="U18" s="1871"/>
      <c r="V18" s="1877">
        <f>450+260</f>
        <v>710</v>
      </c>
      <c r="W18" s="1877"/>
      <c r="X18" s="1877"/>
      <c r="Y18" s="1883" t="s">
        <v>196</v>
      </c>
    </row>
    <row r="19" spans="1:25" ht="25.5" customHeight="1" x14ac:dyDescent="0.25">
      <c r="A19" s="100" t="s">
        <v>41</v>
      </c>
      <c r="B19" s="1874">
        <f>B15+B16+B17-B18</f>
        <v>282217</v>
      </c>
      <c r="C19" s="1876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874">
        <f t="shared" ref="Q19" si="14">Q15+Q16+Q17-Q18</f>
        <v>6</v>
      </c>
      <c r="R19" s="1876"/>
      <c r="S19" s="134">
        <f>S15+S16-S17-S18</f>
        <v>126</v>
      </c>
      <c r="T19" s="1869" t="s">
        <v>48</v>
      </c>
      <c r="U19" s="49" t="s">
        <v>58</v>
      </c>
      <c r="V19" s="1877">
        <v>507500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271633.86249999999</v>
      </c>
      <c r="C20" s="1888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887">
        <f>241*Q19</f>
        <v>1446</v>
      </c>
      <c r="R20" s="1888"/>
      <c r="S20" s="133">
        <f>241*S19</f>
        <v>30366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736568.86250000005</v>
      </c>
      <c r="C21" s="1897"/>
      <c r="O21" s="141"/>
      <c r="P21" s="141"/>
      <c r="Q21" s="141"/>
      <c r="R21" s="141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836534</v>
      </c>
      <c r="D22" s="1881">
        <v>507500</v>
      </c>
      <c r="E22" s="1881">
        <v>293099</v>
      </c>
      <c r="F22" s="1881">
        <f>C22-D22+E22</f>
        <v>622133</v>
      </c>
      <c r="G22" s="141"/>
      <c r="Q22" s="141"/>
      <c r="R22" s="141"/>
      <c r="T22" s="1863" t="s">
        <v>83</v>
      </c>
      <c r="U22" s="50" t="s">
        <v>60</v>
      </c>
      <c r="V22" s="1877">
        <v>357520</v>
      </c>
      <c r="W22" s="1877"/>
      <c r="X22" s="1877"/>
      <c r="Y22" s="1883"/>
    </row>
    <row r="23" spans="1:25" ht="39.75" customHeight="1" x14ac:dyDescent="0.25">
      <c r="A23" s="141"/>
      <c r="B23" s="1892"/>
      <c r="C23" s="1882"/>
      <c r="D23" s="1882"/>
      <c r="E23" s="1882"/>
      <c r="F23" s="1882"/>
      <c r="G23" s="141"/>
      <c r="Q23" s="141"/>
      <c r="R23" s="141"/>
      <c r="T23" s="1864"/>
      <c r="U23" s="50" t="s">
        <v>61</v>
      </c>
      <c r="V23" s="1877">
        <v>507500</v>
      </c>
      <c r="W23" s="1877"/>
      <c r="X23" s="1877"/>
      <c r="Y23" s="1883"/>
    </row>
    <row r="24" spans="1:25" ht="47.25" customHeight="1" x14ac:dyDescent="0.25">
      <c r="A24" s="141"/>
      <c r="B24" s="1893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849" t="s">
        <v>47</v>
      </c>
      <c r="U24" s="51" t="s">
        <v>62</v>
      </c>
      <c r="V24" s="1879">
        <f>V14+V16+V17-V18-V19-V20-V22+V23-V21</f>
        <v>7442.3375000000233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10069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41"/>
      <c r="J33" s="14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842" t="s">
        <v>197</v>
      </c>
      <c r="U3" s="1842"/>
      <c r="V3" s="1842"/>
      <c r="W3" s="1842"/>
      <c r="X3" s="1842"/>
      <c r="Y3" s="1842"/>
    </row>
    <row r="4" spans="1:25" s="13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6" customFormat="1" ht="25.5" customHeight="1" x14ac:dyDescent="0.25">
      <c r="A5" s="1843"/>
      <c r="B5" s="1843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886" t="s">
        <v>150</v>
      </c>
      <c r="R14" s="1886"/>
      <c r="S14" s="140" t="s">
        <v>171</v>
      </c>
      <c r="T14" s="1849" t="s">
        <v>46</v>
      </c>
      <c r="U14" s="134" t="s">
        <v>176</v>
      </c>
      <c r="V14" s="1874">
        <v>7442</v>
      </c>
      <c r="W14" s="1875"/>
      <c r="X14" s="1876"/>
    </row>
    <row r="15" spans="1:25" ht="22.5" customHeight="1" x14ac:dyDescent="0.25">
      <c r="A15" s="100" t="s">
        <v>38</v>
      </c>
      <c r="B15" s="1874">
        <v>282217</v>
      </c>
      <c r="C15" s="1876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877">
        <v>6</v>
      </c>
      <c r="R15" s="1877"/>
      <c r="S15" s="134">
        <v>126</v>
      </c>
      <c r="T15" s="1849"/>
      <c r="U15" s="134" t="s">
        <v>64</v>
      </c>
      <c r="V15" s="1877">
        <v>10069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855"/>
      <c r="R16" s="1855"/>
      <c r="S16" s="133"/>
      <c r="T16" s="1871" t="s">
        <v>55</v>
      </c>
      <c r="U16" s="1871"/>
      <c r="V16" s="1878">
        <f>Y12</f>
        <v>137582.78750000001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855"/>
      <c r="R17" s="1855"/>
      <c r="S17" s="133"/>
      <c r="T17" s="1889" t="s">
        <v>181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121935</v>
      </c>
      <c r="C18" s="1876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855"/>
      <c r="R18" s="1855"/>
      <c r="S18" s="134"/>
      <c r="T18" s="1871" t="s">
        <v>57</v>
      </c>
      <c r="U18" s="1871"/>
      <c r="V18" s="1877">
        <f>450+100</f>
        <v>550</v>
      </c>
      <c r="W18" s="1877"/>
      <c r="X18" s="1877"/>
      <c r="Y18" s="1883" t="s">
        <v>198</v>
      </c>
    </row>
    <row r="19" spans="1:25" ht="25.5" customHeight="1" x14ac:dyDescent="0.25">
      <c r="A19" s="100" t="s">
        <v>41</v>
      </c>
      <c r="B19" s="1874">
        <f>B15+B16+B17-B18</f>
        <v>160282</v>
      </c>
      <c r="C19" s="1876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874">
        <f t="shared" ref="Q19" si="14">Q15+Q16+Q17-Q18</f>
        <v>6</v>
      </c>
      <c r="R19" s="1876"/>
      <c r="S19" s="134">
        <f>S15+S16-S17-S18</f>
        <v>126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154271.42500000002</v>
      </c>
      <c r="C20" s="1888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887">
        <f>241*Q19</f>
        <v>1446</v>
      </c>
      <c r="R20" s="1888"/>
      <c r="S20" s="133">
        <f>241*S19</f>
        <v>30366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600268.125</v>
      </c>
      <c r="C21" s="1897"/>
      <c r="O21" s="141"/>
      <c r="P21" s="141"/>
      <c r="Q21" s="141"/>
      <c r="R21" s="141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622133</v>
      </c>
      <c r="D22" s="1881"/>
      <c r="E22" s="1881"/>
      <c r="F22" s="1881">
        <f>C22-D22+E22</f>
        <v>622133</v>
      </c>
      <c r="G22" s="141"/>
      <c r="Q22" s="141"/>
      <c r="R22" s="141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41"/>
      <c r="B23" s="1892"/>
      <c r="C23" s="1882"/>
      <c r="D23" s="1882"/>
      <c r="E23" s="1882"/>
      <c r="F23" s="1882"/>
      <c r="G23" s="141"/>
      <c r="Q23" s="141"/>
      <c r="R23" s="141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41"/>
      <c r="B24" s="1893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849" t="s">
        <v>47</v>
      </c>
      <c r="U24" s="51" t="s">
        <v>62</v>
      </c>
      <c r="V24" s="1879">
        <f>V14+V16+V17-V18-V19-V20-V22+V23-V21</f>
        <v>144474.78750000001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10069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41"/>
      <c r="J33" s="14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842" t="s">
        <v>199</v>
      </c>
      <c r="U3" s="1842"/>
      <c r="V3" s="1842"/>
      <c r="W3" s="1842"/>
      <c r="X3" s="1842"/>
      <c r="Y3" s="1842"/>
    </row>
    <row r="4" spans="1:25" s="14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4" customFormat="1" ht="25.5" customHeight="1" x14ac:dyDescent="0.25">
      <c r="A5" s="1843"/>
      <c r="B5" s="184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886" t="s">
        <v>150</v>
      </c>
      <c r="R14" s="1886"/>
      <c r="S14" s="153" t="s">
        <v>171</v>
      </c>
      <c r="T14" s="1849" t="s">
        <v>46</v>
      </c>
      <c r="U14" s="145" t="s">
        <v>176</v>
      </c>
      <c r="V14" s="1874">
        <v>144475</v>
      </c>
      <c r="W14" s="1875"/>
      <c r="X14" s="1876"/>
    </row>
    <row r="15" spans="1:25" ht="22.5" customHeight="1" x14ac:dyDescent="0.25">
      <c r="A15" s="100" t="s">
        <v>38</v>
      </c>
      <c r="B15" s="1874">
        <v>160282</v>
      </c>
      <c r="C15" s="1876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877">
        <v>6</v>
      </c>
      <c r="R15" s="1877"/>
      <c r="S15" s="145">
        <v>126</v>
      </c>
      <c r="T15" s="1849"/>
      <c r="U15" s="145" t="s">
        <v>64</v>
      </c>
      <c r="V15" s="1877">
        <v>10069</v>
      </c>
      <c r="W15" s="1877"/>
      <c r="X15" s="1877"/>
    </row>
    <row r="16" spans="1:25" ht="24.75" customHeight="1" x14ac:dyDescent="0.25">
      <c r="A16" s="100" t="s">
        <v>39</v>
      </c>
      <c r="B16" s="1874">
        <v>202597</v>
      </c>
      <c r="C16" s="1876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855"/>
      <c r="R16" s="1855"/>
      <c r="S16" s="147"/>
      <c r="T16" s="1871" t="s">
        <v>55</v>
      </c>
      <c r="U16" s="1871"/>
      <c r="V16" s="1878">
        <f>Y12</f>
        <v>263294.24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855"/>
      <c r="R17" s="1855"/>
      <c r="S17" s="147"/>
      <c r="T17" s="1889" t="s">
        <v>87</v>
      </c>
      <c r="U17" s="1890"/>
      <c r="V17" s="1877">
        <v>100000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79264</v>
      </c>
      <c r="C18" s="1876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855"/>
      <c r="R18" s="1855"/>
      <c r="S18" s="145"/>
      <c r="T18" s="1871" t="s">
        <v>57</v>
      </c>
      <c r="U18" s="1871"/>
      <c r="V18" s="1877">
        <f>450+2000</f>
        <v>2450</v>
      </c>
      <c r="W18" s="1877"/>
      <c r="X18" s="1877"/>
      <c r="Y18" s="1883" t="s">
        <v>200</v>
      </c>
    </row>
    <row r="19" spans="1:25" ht="25.5" customHeight="1" x14ac:dyDescent="0.25">
      <c r="A19" s="100" t="s">
        <v>41</v>
      </c>
      <c r="B19" s="1874">
        <f>B15+B16+B17-B18</f>
        <v>283615</v>
      </c>
      <c r="C19" s="1876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874">
        <f t="shared" ref="Q19" si="14">Q15+Q16+Q17-Q18</f>
        <v>6</v>
      </c>
      <c r="R19" s="1876"/>
      <c r="S19" s="145">
        <f>S15+S16-S17-S18</f>
        <v>126</v>
      </c>
      <c r="T19" s="1869" t="s">
        <v>48</v>
      </c>
      <c r="U19" s="49" t="s">
        <v>58</v>
      </c>
      <c r="V19" s="1877">
        <v>394131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272979.4375</v>
      </c>
      <c r="C20" s="1888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887">
        <f>241*Q19</f>
        <v>1446</v>
      </c>
      <c r="R20" s="1888"/>
      <c r="S20" s="147">
        <f>241*S19</f>
        <v>30366</v>
      </c>
      <c r="T20" s="1870"/>
      <c r="U20" s="49" t="s">
        <v>59</v>
      </c>
      <c r="V20" s="1877">
        <v>100000</v>
      </c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534677.53749999998</v>
      </c>
      <c r="C21" s="1897"/>
      <c r="O21" s="154"/>
      <c r="P21" s="154"/>
      <c r="Q21" s="154"/>
      <c r="R21" s="154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622133</v>
      </c>
      <c r="D22" s="1881">
        <v>494131</v>
      </c>
      <c r="E22" s="1881">
        <v>195000</v>
      </c>
      <c r="F22" s="1881">
        <f>C22-D22+E22</f>
        <v>323002</v>
      </c>
      <c r="G22" s="154"/>
      <c r="Q22" s="154"/>
      <c r="R22" s="154"/>
      <c r="T22" s="1863" t="s">
        <v>83</v>
      </c>
      <c r="U22" s="50" t="s">
        <v>60</v>
      </c>
      <c r="V22" s="1877">
        <v>393510</v>
      </c>
      <c r="W22" s="1877"/>
      <c r="X22" s="1877"/>
      <c r="Y22" s="1883"/>
    </row>
    <row r="23" spans="1:25" ht="39.75" customHeight="1" x14ac:dyDescent="0.25">
      <c r="A23" s="154"/>
      <c r="B23" s="1892"/>
      <c r="C23" s="1882"/>
      <c r="D23" s="1882"/>
      <c r="E23" s="1882"/>
      <c r="F23" s="1882"/>
      <c r="G23" s="154"/>
      <c r="Q23" s="154"/>
      <c r="R23" s="154"/>
      <c r="T23" s="1864"/>
      <c r="U23" s="50" t="s">
        <v>61</v>
      </c>
      <c r="V23" s="1877">
        <v>394131</v>
      </c>
      <c r="W23" s="1877"/>
      <c r="X23" s="1877"/>
      <c r="Y23" s="1883"/>
    </row>
    <row r="24" spans="1:25" ht="48" customHeight="1" x14ac:dyDescent="0.25">
      <c r="A24" s="154"/>
      <c r="B24" s="1893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849" t="s">
        <v>47</v>
      </c>
      <c r="U24" s="51" t="s">
        <v>62</v>
      </c>
      <c r="V24" s="1879">
        <f>V14+V16+V17-V18-V19-V20-V22+V23-V21</f>
        <v>11809.239999999991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9448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54"/>
      <c r="J33" s="154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842" t="s">
        <v>201</v>
      </c>
      <c r="U3" s="1842"/>
      <c r="V3" s="1842"/>
      <c r="W3" s="1842"/>
      <c r="X3" s="1842"/>
      <c r="Y3" s="1842"/>
    </row>
    <row r="4" spans="1:25" s="14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4" customFormat="1" ht="25.5" customHeight="1" x14ac:dyDescent="0.25">
      <c r="A5" s="1843"/>
      <c r="B5" s="1843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886" t="s">
        <v>150</v>
      </c>
      <c r="R14" s="1886"/>
      <c r="S14" s="153" t="s">
        <v>171</v>
      </c>
      <c r="T14" s="1849" t="s">
        <v>46</v>
      </c>
      <c r="U14" s="145" t="s">
        <v>176</v>
      </c>
      <c r="V14" s="1874">
        <v>11809</v>
      </c>
      <c r="W14" s="1875"/>
      <c r="X14" s="1876"/>
    </row>
    <row r="15" spans="1:25" ht="22.5" customHeight="1" x14ac:dyDescent="0.25">
      <c r="A15" s="100" t="s">
        <v>38</v>
      </c>
      <c r="B15" s="1874">
        <v>283615</v>
      </c>
      <c r="C15" s="1876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877">
        <v>6</v>
      </c>
      <c r="R15" s="1877"/>
      <c r="S15" s="145">
        <v>126</v>
      </c>
      <c r="T15" s="1849"/>
      <c r="U15" s="145" t="s">
        <v>64</v>
      </c>
      <c r="V15" s="1877">
        <v>9448</v>
      </c>
      <c r="W15" s="1877"/>
      <c r="X15" s="1877"/>
    </row>
    <row r="16" spans="1:25" ht="24.75" customHeight="1" x14ac:dyDescent="0.25">
      <c r="A16" s="100" t="s">
        <v>39</v>
      </c>
      <c r="B16" s="1874">
        <v>119480</v>
      </c>
      <c r="C16" s="1876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855"/>
      <c r="R16" s="1855"/>
      <c r="S16" s="147"/>
      <c r="T16" s="1871" t="s">
        <v>55</v>
      </c>
      <c r="U16" s="1871"/>
      <c r="V16" s="1878">
        <f>Y12</f>
        <v>157186.1225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855"/>
      <c r="R17" s="1855"/>
      <c r="S17" s="147"/>
      <c r="T17" s="1889" t="s">
        <v>205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126141</v>
      </c>
      <c r="C18" s="1876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855"/>
      <c r="R18" s="1855"/>
      <c r="S18" s="145">
        <v>15</v>
      </c>
      <c r="T18" s="1871" t="s">
        <v>57</v>
      </c>
      <c r="U18" s="1871"/>
      <c r="V18" s="1877">
        <f>450+28778</f>
        <v>29228</v>
      </c>
      <c r="W18" s="1877"/>
      <c r="X18" s="1877"/>
      <c r="Y18" s="1883" t="s">
        <v>203</v>
      </c>
    </row>
    <row r="19" spans="1:25" ht="25.5" customHeight="1" x14ac:dyDescent="0.25">
      <c r="A19" s="100" t="s">
        <v>41</v>
      </c>
      <c r="B19" s="1874">
        <f>B15+B16+B17-B18</f>
        <v>276954</v>
      </c>
      <c r="C19" s="1876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874">
        <f t="shared" ref="Q19" si="14">Q15+Q16+Q17-Q18</f>
        <v>6</v>
      </c>
      <c r="R19" s="1876"/>
      <c r="S19" s="145">
        <f>S15+S16-S17-S18</f>
        <v>111</v>
      </c>
      <c r="T19" s="1869" t="s">
        <v>48</v>
      </c>
      <c r="U19" s="49" t="s">
        <v>58</v>
      </c>
      <c r="V19" s="1877">
        <v>126000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266568.22500000003</v>
      </c>
      <c r="C20" s="1888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887">
        <f>241*Q19</f>
        <v>1446</v>
      </c>
      <c r="R20" s="1888"/>
      <c r="S20" s="147">
        <f>241*S19</f>
        <v>26751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517911.22500000003</v>
      </c>
      <c r="C21" s="1897"/>
      <c r="O21" s="154"/>
      <c r="P21" s="154"/>
      <c r="Q21" s="154"/>
      <c r="R21" s="154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323002</v>
      </c>
      <c r="D22" s="1881">
        <v>126000</v>
      </c>
      <c r="E22" s="1881">
        <v>139100</v>
      </c>
      <c r="F22" s="1881">
        <f>C22-D22+E22</f>
        <v>336102</v>
      </c>
      <c r="G22" s="154"/>
      <c r="Q22" s="154"/>
      <c r="R22" s="154"/>
      <c r="T22" s="1863" t="s">
        <v>83</v>
      </c>
      <c r="U22" s="50" t="s">
        <v>60</v>
      </c>
      <c r="V22" s="1877">
        <v>126440</v>
      </c>
      <c r="W22" s="1877"/>
      <c r="X22" s="1877"/>
      <c r="Y22" s="1883"/>
    </row>
    <row r="23" spans="1:25" ht="39.75" customHeight="1" x14ac:dyDescent="0.25">
      <c r="A23" s="154"/>
      <c r="B23" s="1892"/>
      <c r="C23" s="1882"/>
      <c r="D23" s="1882"/>
      <c r="E23" s="1882"/>
      <c r="F23" s="1882"/>
      <c r="G23" s="154"/>
      <c r="Q23" s="154"/>
      <c r="R23" s="154"/>
      <c r="T23" s="1864"/>
      <c r="U23" s="50" t="s">
        <v>61</v>
      </c>
      <c r="V23" s="1877">
        <v>126000</v>
      </c>
      <c r="W23" s="1877"/>
      <c r="X23" s="1877"/>
      <c r="Y23" s="1883"/>
    </row>
    <row r="24" spans="1:25" ht="48" customHeight="1" x14ac:dyDescent="0.25">
      <c r="A24" s="154"/>
      <c r="B24" s="1893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849" t="s">
        <v>47</v>
      </c>
      <c r="U24" s="51" t="s">
        <v>62</v>
      </c>
      <c r="V24" s="1879">
        <f>V14+V16+V17-V18-V19-V20-V22+V23-V21</f>
        <v>13327.122499999998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9888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54"/>
      <c r="J33" s="154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842" t="s">
        <v>204</v>
      </c>
      <c r="U3" s="1842"/>
      <c r="V3" s="1842"/>
      <c r="W3" s="1842"/>
      <c r="X3" s="1842"/>
      <c r="Y3" s="1842"/>
    </row>
    <row r="4" spans="1:25" s="16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0" customFormat="1" ht="25.5" customHeight="1" x14ac:dyDescent="0.25">
      <c r="A5" s="1843"/>
      <c r="B5" s="1843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886" t="s">
        <v>150</v>
      </c>
      <c r="R14" s="1886"/>
      <c r="S14" s="164" t="s">
        <v>171</v>
      </c>
      <c r="T14" s="1849" t="s">
        <v>46</v>
      </c>
      <c r="U14" s="158" t="s">
        <v>176</v>
      </c>
      <c r="V14" s="1874">
        <v>13327</v>
      </c>
      <c r="W14" s="1875"/>
      <c r="X14" s="1876"/>
    </row>
    <row r="15" spans="1:25" ht="22.5" customHeight="1" x14ac:dyDescent="0.25">
      <c r="A15" s="100" t="s">
        <v>38</v>
      </c>
      <c r="B15" s="1874">
        <v>276954</v>
      </c>
      <c r="C15" s="1876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877">
        <v>6</v>
      </c>
      <c r="R15" s="1877"/>
      <c r="S15" s="158">
        <v>111</v>
      </c>
      <c r="T15" s="1849"/>
      <c r="U15" s="158" t="s">
        <v>64</v>
      </c>
      <c r="V15" s="1877">
        <v>9888</v>
      </c>
      <c r="W15" s="1877"/>
      <c r="X15" s="1877"/>
    </row>
    <row r="16" spans="1:25" ht="24.75" customHeight="1" x14ac:dyDescent="0.25">
      <c r="A16" s="100" t="s">
        <v>39</v>
      </c>
      <c r="B16" s="1874">
        <v>214959</v>
      </c>
      <c r="C16" s="1876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855"/>
      <c r="R16" s="1855"/>
      <c r="S16" s="157"/>
      <c r="T16" s="1871" t="s">
        <v>55</v>
      </c>
      <c r="U16" s="1871"/>
      <c r="V16" s="1878">
        <f>Y12</f>
        <v>144866.8425</v>
      </c>
      <c r="W16" s="1878"/>
      <c r="X16" s="1877"/>
    </row>
    <row r="17" spans="1:25" ht="28.5" customHeight="1" x14ac:dyDescent="0.25">
      <c r="A17" s="101" t="s">
        <v>44</v>
      </c>
      <c r="B17" s="1874">
        <v>1696</v>
      </c>
      <c r="C17" s="1876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855"/>
      <c r="R17" s="1855"/>
      <c r="S17" s="157"/>
      <c r="T17" s="1889" t="s">
        <v>202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146733</v>
      </c>
      <c r="C18" s="1876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855"/>
      <c r="R18" s="1855"/>
      <c r="S18" s="158"/>
      <c r="T18" s="1871" t="s">
        <v>57</v>
      </c>
      <c r="U18" s="1871"/>
      <c r="V18" s="1877">
        <f>450+90+1632</f>
        <v>2172</v>
      </c>
      <c r="W18" s="1877"/>
      <c r="X18" s="1877"/>
      <c r="Y18" s="1883" t="s">
        <v>206</v>
      </c>
    </row>
    <row r="19" spans="1:25" ht="25.5" customHeight="1" x14ac:dyDescent="0.25">
      <c r="A19" s="100" t="s">
        <v>41</v>
      </c>
      <c r="B19" s="1874">
        <f>B15+B16+B17-B18</f>
        <v>346876</v>
      </c>
      <c r="C19" s="1876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874">
        <f t="shared" ref="Q19" si="14">Q15+Q16+Q17-Q18</f>
        <v>6</v>
      </c>
      <c r="R19" s="1876"/>
      <c r="S19" s="158">
        <f>S15+S16-S17-S18</f>
        <v>111</v>
      </c>
      <c r="T19" s="1869" t="s">
        <v>48</v>
      </c>
      <c r="U19" s="49" t="s">
        <v>58</v>
      </c>
      <c r="V19" s="1877">
        <v>143000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333868.15000000002</v>
      </c>
      <c r="C20" s="1888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887">
        <f>241*Q19</f>
        <v>1446</v>
      </c>
      <c r="R20" s="1888"/>
      <c r="S20" s="157">
        <f>241*S19</f>
        <v>26751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583042.15</v>
      </c>
      <c r="C21" s="1897"/>
      <c r="O21" s="165"/>
      <c r="P21" s="165"/>
      <c r="Q21" s="165"/>
      <c r="R21" s="165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336102</v>
      </c>
      <c r="D22" s="1881">
        <v>143000</v>
      </c>
      <c r="E22" s="1881">
        <v>206898</v>
      </c>
      <c r="F22" s="1881">
        <f>C22-D22+E22</f>
        <v>400000</v>
      </c>
      <c r="G22" s="165"/>
      <c r="Q22" s="165"/>
      <c r="R22" s="165"/>
      <c r="T22" s="1863" t="s">
        <v>83</v>
      </c>
      <c r="U22" s="50" t="s">
        <v>60</v>
      </c>
      <c r="V22" s="1877">
        <v>142990</v>
      </c>
      <c r="W22" s="1877"/>
      <c r="X22" s="1877"/>
      <c r="Y22" s="1883"/>
    </row>
    <row r="23" spans="1:25" ht="39.75" customHeight="1" x14ac:dyDescent="0.25">
      <c r="A23" s="165"/>
      <c r="B23" s="1892"/>
      <c r="C23" s="1882"/>
      <c r="D23" s="1882"/>
      <c r="E23" s="1882"/>
      <c r="F23" s="1882"/>
      <c r="G23" s="165"/>
      <c r="Q23" s="165"/>
      <c r="R23" s="165"/>
      <c r="T23" s="1864"/>
      <c r="U23" s="50" t="s">
        <v>61</v>
      </c>
      <c r="V23" s="1877">
        <v>143000</v>
      </c>
      <c r="W23" s="1877"/>
      <c r="X23" s="1877"/>
      <c r="Y23" s="1883"/>
    </row>
    <row r="24" spans="1:25" ht="48" customHeight="1" x14ac:dyDescent="0.25">
      <c r="A24" s="165"/>
      <c r="B24" s="1893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849" t="s">
        <v>47</v>
      </c>
      <c r="U24" s="51" t="s">
        <v>62</v>
      </c>
      <c r="V24" s="1879">
        <f>V14+V16+V17-V18-V19-V20-V22+V23-V21</f>
        <v>13031.842499999999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9878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65"/>
      <c r="J33" s="165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842" t="s">
        <v>207</v>
      </c>
      <c r="U3" s="1842"/>
      <c r="V3" s="1842"/>
      <c r="W3" s="1842"/>
      <c r="X3" s="1842"/>
      <c r="Y3" s="1842"/>
    </row>
    <row r="4" spans="1:25" s="16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6" customFormat="1" ht="25.5" customHeight="1" x14ac:dyDescent="0.25">
      <c r="A5" s="1843"/>
      <c r="B5" s="18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886" t="s">
        <v>150</v>
      </c>
      <c r="R14" s="1886"/>
      <c r="S14" s="175" t="s">
        <v>171</v>
      </c>
      <c r="T14" s="1849" t="s">
        <v>46</v>
      </c>
      <c r="U14" s="167" t="s">
        <v>176</v>
      </c>
      <c r="V14" s="1874">
        <v>13032</v>
      </c>
      <c r="W14" s="1875"/>
      <c r="X14" s="1876"/>
    </row>
    <row r="15" spans="1:25" ht="22.5" customHeight="1" x14ac:dyDescent="0.25">
      <c r="A15" s="100" t="s">
        <v>38</v>
      </c>
      <c r="B15" s="1874">
        <v>346876</v>
      </c>
      <c r="C15" s="1876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877">
        <v>6</v>
      </c>
      <c r="R15" s="1877"/>
      <c r="S15" s="167">
        <v>111</v>
      </c>
      <c r="T15" s="1849"/>
      <c r="U15" s="167" t="s">
        <v>64</v>
      </c>
      <c r="V15" s="1877">
        <v>9878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855"/>
      <c r="R16" s="1855"/>
      <c r="S16" s="172">
        <v>6</v>
      </c>
      <c r="T16" s="1871" t="s">
        <v>55</v>
      </c>
      <c r="U16" s="1871"/>
      <c r="V16" s="1878">
        <f>Y12</f>
        <v>295400.6925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55"/>
      <c r="R17" s="1855"/>
      <c r="S17" s="169"/>
      <c r="T17" s="1889" t="s">
        <v>209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197393</v>
      </c>
      <c r="C18" s="1876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877">
        <v>6</v>
      </c>
      <c r="R18" s="1877"/>
      <c r="S18" s="167"/>
      <c r="T18" s="1871" t="s">
        <v>57</v>
      </c>
      <c r="U18" s="1871"/>
      <c r="V18" s="1877">
        <f>450</f>
        <v>450</v>
      </c>
      <c r="W18" s="1877"/>
      <c r="X18" s="1877"/>
      <c r="Y18" s="1883" t="s">
        <v>208</v>
      </c>
    </row>
    <row r="19" spans="1:25" ht="25.5" customHeight="1" x14ac:dyDescent="0.25">
      <c r="A19" s="100" t="s">
        <v>41</v>
      </c>
      <c r="B19" s="1874">
        <f>B15+B16+B17-B18</f>
        <v>149483</v>
      </c>
      <c r="C19" s="1876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874">
        <f t="shared" ref="Q19" si="14">Q15+Q16+Q17-Q18</f>
        <v>0</v>
      </c>
      <c r="R19" s="1876"/>
      <c r="S19" s="167">
        <f>S15+S16-S17-S18</f>
        <v>117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143877.38750000001</v>
      </c>
      <c r="C20" s="1888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887">
        <f>241*Q19</f>
        <v>0</v>
      </c>
      <c r="R20" s="1888"/>
      <c r="S20" s="169">
        <f>241*S19</f>
        <v>28197</v>
      </c>
      <c r="T20" s="1870"/>
      <c r="U20" s="49" t="s">
        <v>59</v>
      </c>
      <c r="V20" s="1877">
        <v>7471</v>
      </c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849814.08749999991</v>
      </c>
      <c r="C21" s="1897"/>
      <c r="O21" s="176"/>
      <c r="P21" s="176"/>
      <c r="Q21" s="176"/>
      <c r="R21" s="176"/>
      <c r="T21" s="1889" t="s">
        <v>167</v>
      </c>
      <c r="U21" s="1890"/>
      <c r="V21" s="1874">
        <v>100000</v>
      </c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400000</v>
      </c>
      <c r="D22" s="1881"/>
      <c r="E22" s="1881">
        <v>551046</v>
      </c>
      <c r="F22" s="1881">
        <f>C22-D22+E22</f>
        <v>951046</v>
      </c>
      <c r="G22" s="176"/>
      <c r="Q22" s="176"/>
      <c r="R22" s="176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76"/>
      <c r="B23" s="1892"/>
      <c r="C23" s="1882"/>
      <c r="D23" s="1882"/>
      <c r="E23" s="1882"/>
      <c r="F23" s="1882"/>
      <c r="G23" s="176"/>
      <c r="Q23" s="176"/>
      <c r="R23" s="176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76"/>
      <c r="B24" s="18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49" t="s">
        <v>47</v>
      </c>
      <c r="U24" s="51" t="s">
        <v>62</v>
      </c>
      <c r="V24" s="1879">
        <f>V14+V16+V17-V18-V19-V20-V22+V23-V21</f>
        <v>200511.6925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9878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76"/>
      <c r="J33" s="17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842" t="s">
        <v>210</v>
      </c>
      <c r="U3" s="1842"/>
      <c r="V3" s="1842"/>
      <c r="W3" s="1842"/>
      <c r="X3" s="1842"/>
      <c r="Y3" s="1842"/>
    </row>
    <row r="4" spans="1:25" s="16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6" customFormat="1" ht="25.5" customHeight="1" x14ac:dyDescent="0.25">
      <c r="A5" s="1843"/>
      <c r="B5" s="18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886" t="s">
        <v>212</v>
      </c>
      <c r="R14" s="1886"/>
      <c r="S14" s="175" t="s">
        <v>171</v>
      </c>
      <c r="T14" s="1849" t="s">
        <v>46</v>
      </c>
      <c r="U14" s="167" t="s">
        <v>176</v>
      </c>
      <c r="V14" s="1874">
        <v>200512</v>
      </c>
      <c r="W14" s="1875"/>
      <c r="X14" s="1876"/>
    </row>
    <row r="15" spans="1:25" ht="22.5" customHeight="1" x14ac:dyDescent="0.25">
      <c r="A15" s="100" t="s">
        <v>38</v>
      </c>
      <c r="B15" s="1874">
        <v>149483</v>
      </c>
      <c r="C15" s="1876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877">
        <v>178</v>
      </c>
      <c r="R15" s="1877"/>
      <c r="S15" s="167">
        <v>117</v>
      </c>
      <c r="T15" s="1849"/>
      <c r="U15" s="167" t="s">
        <v>64</v>
      </c>
      <c r="V15" s="1877">
        <v>9878</v>
      </c>
      <c r="W15" s="1877"/>
      <c r="X15" s="1877"/>
    </row>
    <row r="16" spans="1:25" ht="24.75" customHeight="1" x14ac:dyDescent="0.25">
      <c r="A16" s="100" t="s">
        <v>39</v>
      </c>
      <c r="B16" s="1874">
        <v>291948</v>
      </c>
      <c r="C16" s="1876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855"/>
      <c r="R16" s="1855"/>
      <c r="S16" s="172"/>
      <c r="T16" s="1871" t="s">
        <v>55</v>
      </c>
      <c r="U16" s="1871"/>
      <c r="V16" s="1878">
        <f>Y12</f>
        <v>209494.82500000001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55"/>
      <c r="R17" s="1855"/>
      <c r="S17" s="169"/>
      <c r="T17" s="1889" t="s">
        <v>211</v>
      </c>
      <c r="U17" s="1890"/>
      <c r="V17" s="1877">
        <v>100000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157970</v>
      </c>
      <c r="C18" s="1876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877"/>
      <c r="R18" s="1877"/>
      <c r="S18" s="167"/>
      <c r="T18" s="1871" t="s">
        <v>57</v>
      </c>
      <c r="U18" s="1871"/>
      <c r="V18" s="1877">
        <v>450</v>
      </c>
      <c r="W18" s="1877"/>
      <c r="X18" s="1877"/>
      <c r="Y18" s="1883" t="s">
        <v>208</v>
      </c>
    </row>
    <row r="19" spans="1:25" ht="25.5" customHeight="1" x14ac:dyDescent="0.25">
      <c r="A19" s="100" t="s">
        <v>41</v>
      </c>
      <c r="B19" s="1874">
        <f>B15+B16+B17-B18</f>
        <v>283461</v>
      </c>
      <c r="C19" s="1876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874">
        <f t="shared" ref="Q19" si="14">Q15+Q16+Q17-Q18</f>
        <v>178</v>
      </c>
      <c r="R19" s="1876"/>
      <c r="S19" s="167">
        <f>S15+S16-S17-S18</f>
        <v>117</v>
      </c>
      <c r="T19" s="1869" t="s">
        <v>48</v>
      </c>
      <c r="U19" s="49" t="s">
        <v>58</v>
      </c>
      <c r="V19" s="1877">
        <v>281000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272831.21250000002</v>
      </c>
      <c r="C20" s="1888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887">
        <f>241*Q19</f>
        <v>42898</v>
      </c>
      <c r="R20" s="1888"/>
      <c r="S20" s="169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923555.8125</v>
      </c>
      <c r="C21" s="1897"/>
      <c r="O21" s="176"/>
      <c r="P21" s="176"/>
      <c r="Q21" s="176"/>
      <c r="R21" s="176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951046</v>
      </c>
      <c r="D22" s="1881">
        <v>281000</v>
      </c>
      <c r="E22" s="1881">
        <v>281000</v>
      </c>
      <c r="F22" s="1881">
        <f>C22-D22+E22</f>
        <v>951046</v>
      </c>
      <c r="G22" s="176"/>
      <c r="Q22" s="176"/>
      <c r="R22" s="176"/>
      <c r="T22" s="1863" t="s">
        <v>83</v>
      </c>
      <c r="U22" s="50" t="s">
        <v>60</v>
      </c>
      <c r="V22" s="1877">
        <v>494360</v>
      </c>
      <c r="W22" s="1877"/>
      <c r="X22" s="1877"/>
      <c r="Y22" s="1883"/>
    </row>
    <row r="23" spans="1:25" ht="39.75" customHeight="1" x14ac:dyDescent="0.25">
      <c r="A23" s="176"/>
      <c r="B23" s="1892"/>
      <c r="C23" s="1882"/>
      <c r="D23" s="1882"/>
      <c r="E23" s="1882"/>
      <c r="F23" s="1882"/>
      <c r="G23" s="176"/>
      <c r="Q23" s="176"/>
      <c r="R23" s="176"/>
      <c r="T23" s="1864"/>
      <c r="U23" s="50" t="s">
        <v>61</v>
      </c>
      <c r="V23" s="1877">
        <v>281000</v>
      </c>
      <c r="W23" s="1877"/>
      <c r="X23" s="1877"/>
      <c r="Y23" s="1883"/>
    </row>
    <row r="24" spans="1:25" ht="48" customHeight="1" x14ac:dyDescent="0.25">
      <c r="A24" s="176"/>
      <c r="B24" s="18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49" t="s">
        <v>47</v>
      </c>
      <c r="U24" s="51" t="s">
        <v>62</v>
      </c>
      <c r="V24" s="1879">
        <f>V14+V16+V17-V18-V19-V20-V22+V23-V21</f>
        <v>15196.825000000012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223238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76"/>
      <c r="J33" s="17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842" t="s">
        <v>213</v>
      </c>
      <c r="U3" s="1842"/>
      <c r="V3" s="1842"/>
      <c r="W3" s="1842"/>
      <c r="X3" s="1842"/>
      <c r="Y3" s="1842"/>
    </row>
    <row r="4" spans="1:25" s="16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6" customFormat="1" ht="25.5" customHeight="1" x14ac:dyDescent="0.25">
      <c r="A5" s="1843"/>
      <c r="B5" s="18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886" t="s">
        <v>215</v>
      </c>
      <c r="R14" s="1886"/>
      <c r="S14" s="175" t="s">
        <v>171</v>
      </c>
      <c r="T14" s="1849" t="s">
        <v>46</v>
      </c>
      <c r="U14" s="167" t="s">
        <v>176</v>
      </c>
      <c r="V14" s="1874">
        <v>15197</v>
      </c>
      <c r="W14" s="1875"/>
      <c r="X14" s="1876"/>
    </row>
    <row r="15" spans="1:25" ht="22.5" customHeight="1" x14ac:dyDescent="0.25">
      <c r="A15" s="100" t="s">
        <v>38</v>
      </c>
      <c r="B15" s="1874">
        <v>283461</v>
      </c>
      <c r="C15" s="1876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877">
        <v>178</v>
      </c>
      <c r="R15" s="1877"/>
      <c r="S15" s="167">
        <v>117</v>
      </c>
      <c r="T15" s="1849"/>
      <c r="U15" s="167" t="s">
        <v>64</v>
      </c>
      <c r="V15" s="1877">
        <v>223238</v>
      </c>
      <c r="W15" s="1877"/>
      <c r="X15" s="1877"/>
    </row>
    <row r="16" spans="1:25" ht="24.75" customHeight="1" x14ac:dyDescent="0.25">
      <c r="A16" s="100" t="s">
        <v>39</v>
      </c>
      <c r="B16" s="1874">
        <v>150649</v>
      </c>
      <c r="C16" s="1876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855"/>
      <c r="R16" s="1855"/>
      <c r="S16" s="172"/>
      <c r="T16" s="1871" t="s">
        <v>55</v>
      </c>
      <c r="U16" s="1871"/>
      <c r="V16" s="1878">
        <f>Y12</f>
        <v>236349.49250000002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55"/>
      <c r="R17" s="1855"/>
      <c r="S17" s="169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202273</v>
      </c>
      <c r="C18" s="1876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877"/>
      <c r="R18" s="1877"/>
      <c r="S18" s="167"/>
      <c r="T18" s="1871" t="s">
        <v>57</v>
      </c>
      <c r="U18" s="1871"/>
      <c r="V18" s="1877">
        <f>500+180+23500</f>
        <v>24180</v>
      </c>
      <c r="W18" s="1877"/>
      <c r="X18" s="1877"/>
      <c r="Y18" s="1883" t="s">
        <v>214</v>
      </c>
    </row>
    <row r="19" spans="1:25" ht="25.5" customHeight="1" x14ac:dyDescent="0.25">
      <c r="A19" s="100" t="s">
        <v>41</v>
      </c>
      <c r="B19" s="1874">
        <f>B15+B16+B17-B18</f>
        <v>231837</v>
      </c>
      <c r="C19" s="1876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874">
        <f t="shared" ref="Q19" si="14">Q15+Q16+Q17-Q18</f>
        <v>178</v>
      </c>
      <c r="R19" s="1876"/>
      <c r="S19" s="167">
        <f>S15+S16-S17-S18</f>
        <v>117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223143.11250000002</v>
      </c>
      <c r="C20" s="1888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887">
        <f>241*Q19</f>
        <v>42898</v>
      </c>
      <c r="R20" s="1888"/>
      <c r="S20" s="169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931056.91249999998</v>
      </c>
      <c r="C21" s="1897"/>
      <c r="O21" s="176"/>
      <c r="P21" s="176"/>
      <c r="Q21" s="176"/>
      <c r="R21" s="176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951046</v>
      </c>
      <c r="D22" s="1881">
        <v>400000</v>
      </c>
      <c r="E22" s="1881">
        <v>241400</v>
      </c>
      <c r="F22" s="1881">
        <f>C22-D22+E22</f>
        <v>792446</v>
      </c>
      <c r="G22" s="176"/>
      <c r="Q22" s="176"/>
      <c r="R22" s="176"/>
      <c r="T22" s="1863" t="s">
        <v>83</v>
      </c>
      <c r="U22" s="50" t="s">
        <v>60</v>
      </c>
      <c r="V22" s="1877">
        <v>226060</v>
      </c>
      <c r="W22" s="1877"/>
      <c r="X22" s="1877"/>
      <c r="Y22" s="1883"/>
    </row>
    <row r="23" spans="1:25" ht="39.75" customHeight="1" x14ac:dyDescent="0.25">
      <c r="A23" s="176"/>
      <c r="B23" s="1892"/>
      <c r="C23" s="1882"/>
      <c r="D23" s="1882"/>
      <c r="E23" s="1882"/>
      <c r="F23" s="1882"/>
      <c r="G23" s="176"/>
      <c r="Q23" s="176"/>
      <c r="R23" s="176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176"/>
      <c r="B24" s="18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49" t="s">
        <v>47</v>
      </c>
      <c r="U24" s="51" t="s">
        <v>62</v>
      </c>
      <c r="V24" s="1879">
        <f>V14+V16+V17-V18-V19-V20-V22+V23-V21</f>
        <v>1306.4925000000512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49298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76"/>
      <c r="J33" s="17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842" t="s">
        <v>216</v>
      </c>
      <c r="U3" s="1842"/>
      <c r="V3" s="1842"/>
      <c r="W3" s="1842"/>
      <c r="X3" s="1842"/>
      <c r="Y3" s="1842"/>
    </row>
    <row r="4" spans="1:25" s="16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6" customFormat="1" ht="25.5" customHeight="1" x14ac:dyDescent="0.25">
      <c r="A5" s="1843"/>
      <c r="B5" s="18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886" t="s">
        <v>215</v>
      </c>
      <c r="R14" s="1886"/>
      <c r="S14" s="175" t="s">
        <v>171</v>
      </c>
      <c r="T14" s="1849" t="s">
        <v>46</v>
      </c>
      <c r="U14" s="167" t="s">
        <v>176</v>
      </c>
      <c r="V14" s="1874">
        <v>1306</v>
      </c>
      <c r="W14" s="1875"/>
      <c r="X14" s="1876"/>
    </row>
    <row r="15" spans="1:25" ht="22.5" customHeight="1" x14ac:dyDescent="0.25">
      <c r="A15" s="100" t="s">
        <v>38</v>
      </c>
      <c r="B15" s="1874">
        <v>231837</v>
      </c>
      <c r="C15" s="1876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877">
        <v>178</v>
      </c>
      <c r="R15" s="1877"/>
      <c r="S15" s="167">
        <v>117</v>
      </c>
      <c r="T15" s="1849"/>
      <c r="U15" s="167" t="s">
        <v>64</v>
      </c>
      <c r="V15" s="1877">
        <v>49298</v>
      </c>
      <c r="W15" s="1877"/>
      <c r="X15" s="1877"/>
    </row>
    <row r="16" spans="1:25" ht="24.75" customHeight="1" x14ac:dyDescent="0.25">
      <c r="A16" s="100" t="s">
        <v>39</v>
      </c>
      <c r="B16" s="1874">
        <v>135064</v>
      </c>
      <c r="C16" s="1876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855"/>
      <c r="R16" s="1855"/>
      <c r="S16" s="172"/>
      <c r="T16" s="1871" t="s">
        <v>55</v>
      </c>
      <c r="U16" s="1871"/>
      <c r="V16" s="1878">
        <f>Y12</f>
        <v>156524.44750000001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55"/>
      <c r="R17" s="1855"/>
      <c r="S17" s="169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131911</v>
      </c>
      <c r="C18" s="1876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877"/>
      <c r="R18" s="1877"/>
      <c r="S18" s="167"/>
      <c r="T18" s="1871" t="s">
        <v>57</v>
      </c>
      <c r="U18" s="1871"/>
      <c r="V18" s="1877">
        <v>450</v>
      </c>
      <c r="W18" s="1877"/>
      <c r="X18" s="1877"/>
      <c r="Y18" s="1883" t="s">
        <v>217</v>
      </c>
    </row>
    <row r="19" spans="1:25" ht="25.5" customHeight="1" x14ac:dyDescent="0.25">
      <c r="A19" s="100" t="s">
        <v>41</v>
      </c>
      <c r="B19" s="1874">
        <f>B15+B16+B17-B18</f>
        <v>234990</v>
      </c>
      <c r="C19" s="1876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874">
        <f t="shared" ref="Q19" si="14">Q15+Q16+Q17-Q18</f>
        <v>178</v>
      </c>
      <c r="R19" s="1876"/>
      <c r="S19" s="167">
        <f>S15+S16-S17-S18</f>
        <v>117</v>
      </c>
      <c r="T19" s="1869" t="s">
        <v>48</v>
      </c>
      <c r="U19" s="49" t="s">
        <v>58</v>
      </c>
      <c r="V19" s="1877">
        <v>130000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226177.875</v>
      </c>
      <c r="C20" s="1888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887">
        <f>241*Q19</f>
        <v>42898</v>
      </c>
      <c r="R20" s="1888"/>
      <c r="S20" s="169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906136.57499999995</v>
      </c>
      <c r="C21" s="1897"/>
      <c r="O21" s="176"/>
      <c r="P21" s="176"/>
      <c r="Q21" s="176"/>
      <c r="R21" s="176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792446</v>
      </c>
      <c r="D22" s="1881">
        <v>130000</v>
      </c>
      <c r="E22" s="1881">
        <v>130000</v>
      </c>
      <c r="F22" s="1881">
        <f>C22-D22+E22</f>
        <v>792446</v>
      </c>
      <c r="G22" s="176"/>
      <c r="Q22" s="176"/>
      <c r="R22" s="176"/>
      <c r="T22" s="1863" t="s">
        <v>83</v>
      </c>
      <c r="U22" s="50" t="s">
        <v>60</v>
      </c>
      <c r="V22" s="1877">
        <v>152930</v>
      </c>
      <c r="W22" s="1877"/>
      <c r="X22" s="1877"/>
      <c r="Y22" s="1883"/>
    </row>
    <row r="23" spans="1:25" ht="39.75" customHeight="1" x14ac:dyDescent="0.25">
      <c r="A23" s="176"/>
      <c r="B23" s="1892"/>
      <c r="C23" s="1882"/>
      <c r="D23" s="1882"/>
      <c r="E23" s="1882"/>
      <c r="F23" s="1882"/>
      <c r="G23" s="176"/>
      <c r="Q23" s="176"/>
      <c r="R23" s="176"/>
      <c r="T23" s="1864"/>
      <c r="U23" s="50" t="s">
        <v>61</v>
      </c>
      <c r="V23" s="1877">
        <v>130000</v>
      </c>
      <c r="W23" s="1877"/>
      <c r="X23" s="1877"/>
      <c r="Y23" s="1883"/>
    </row>
    <row r="24" spans="1:25" ht="48" customHeight="1" x14ac:dyDescent="0.25">
      <c r="A24" s="176"/>
      <c r="B24" s="18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49" t="s">
        <v>47</v>
      </c>
      <c r="U24" s="51" t="s">
        <v>62</v>
      </c>
      <c r="V24" s="1879">
        <f>V14+V16+V17-V18-V19-V20-V22+V23-V21</f>
        <v>4450.4475000000093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72228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76"/>
      <c r="J33" s="17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842" t="s">
        <v>218</v>
      </c>
      <c r="U3" s="1842"/>
      <c r="V3" s="1842"/>
      <c r="W3" s="1842"/>
      <c r="X3" s="1842"/>
      <c r="Y3" s="1842"/>
    </row>
    <row r="4" spans="1:25" s="16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6" customFormat="1" ht="25.5" customHeight="1" x14ac:dyDescent="0.25">
      <c r="A5" s="1843"/>
      <c r="B5" s="1843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886" t="s">
        <v>215</v>
      </c>
      <c r="R14" s="1886"/>
      <c r="S14" s="175" t="s">
        <v>171</v>
      </c>
      <c r="T14" s="1849" t="s">
        <v>46</v>
      </c>
      <c r="U14" s="167" t="s">
        <v>176</v>
      </c>
      <c r="V14" s="1874">
        <v>4450</v>
      </c>
      <c r="W14" s="1875"/>
      <c r="X14" s="1876"/>
    </row>
    <row r="15" spans="1:25" ht="22.5" customHeight="1" x14ac:dyDescent="0.25">
      <c r="A15" s="100" t="s">
        <v>38</v>
      </c>
      <c r="B15" s="1874">
        <v>234990</v>
      </c>
      <c r="C15" s="1876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877">
        <v>178</v>
      </c>
      <c r="R15" s="1877"/>
      <c r="S15" s="167">
        <v>117</v>
      </c>
      <c r="T15" s="1849"/>
      <c r="U15" s="167" t="s">
        <v>64</v>
      </c>
      <c r="V15" s="1877">
        <v>72228</v>
      </c>
      <c r="W15" s="1877"/>
      <c r="X15" s="1877"/>
    </row>
    <row r="16" spans="1:25" ht="24.75" customHeight="1" x14ac:dyDescent="0.25">
      <c r="A16" s="100" t="s">
        <v>39</v>
      </c>
      <c r="B16" s="1874">
        <v>187012</v>
      </c>
      <c r="C16" s="1876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855"/>
      <c r="R16" s="1855"/>
      <c r="S16" s="172"/>
      <c r="T16" s="1871" t="s">
        <v>55</v>
      </c>
      <c r="U16" s="1871"/>
      <c r="V16" s="1878">
        <f>Y12</f>
        <v>186765.66500000001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855"/>
      <c r="R17" s="1855"/>
      <c r="S17" s="169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155394</v>
      </c>
      <c r="C18" s="1876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877"/>
      <c r="R18" s="1877"/>
      <c r="S18" s="167"/>
      <c r="T18" s="1871" t="s">
        <v>57</v>
      </c>
      <c r="U18" s="1871"/>
      <c r="V18" s="1877">
        <v>500</v>
      </c>
      <c r="W18" s="1877"/>
      <c r="X18" s="1877"/>
      <c r="Y18" s="1883" t="s">
        <v>217</v>
      </c>
    </row>
    <row r="19" spans="1:25" ht="25.5" customHeight="1" x14ac:dyDescent="0.25">
      <c r="A19" s="100" t="s">
        <v>41</v>
      </c>
      <c r="B19" s="1874">
        <f>B15+B16+B17-B18</f>
        <v>266608</v>
      </c>
      <c r="C19" s="1876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874">
        <f t="shared" ref="Q19" si="14">Q15+Q16+Q17-Q18</f>
        <v>178</v>
      </c>
      <c r="R19" s="1876"/>
      <c r="S19" s="167">
        <f>S15+S16-S17-S18</f>
        <v>117</v>
      </c>
      <c r="T19" s="1869" t="s">
        <v>48</v>
      </c>
      <c r="U19" s="49" t="s">
        <v>58</v>
      </c>
      <c r="V19" s="1877">
        <v>180000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256610.2</v>
      </c>
      <c r="C20" s="1888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887">
        <f>241*Q19</f>
        <v>42898</v>
      </c>
      <c r="R20" s="1888"/>
      <c r="S20" s="169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901276.8</v>
      </c>
      <c r="C21" s="1897"/>
      <c r="O21" s="176"/>
      <c r="P21" s="176"/>
      <c r="Q21" s="176"/>
      <c r="R21" s="176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792446</v>
      </c>
      <c r="D22" s="1881">
        <v>180000</v>
      </c>
      <c r="E22" s="1881">
        <v>180000</v>
      </c>
      <c r="F22" s="1881">
        <f>C22-D22+E22</f>
        <v>792446</v>
      </c>
      <c r="G22" s="176"/>
      <c r="Q22" s="176"/>
      <c r="R22" s="176"/>
      <c r="T22" s="1863" t="s">
        <v>83</v>
      </c>
      <c r="U22" s="50" t="s">
        <v>60</v>
      </c>
      <c r="V22" s="1877">
        <v>181320</v>
      </c>
      <c r="W22" s="1877"/>
      <c r="X22" s="1877"/>
      <c r="Y22" s="1883"/>
    </row>
    <row r="23" spans="1:25" ht="39.75" customHeight="1" x14ac:dyDescent="0.25">
      <c r="A23" s="176"/>
      <c r="B23" s="1892"/>
      <c r="C23" s="1882"/>
      <c r="D23" s="1882"/>
      <c r="E23" s="1882"/>
      <c r="F23" s="1882"/>
      <c r="G23" s="176"/>
      <c r="Q23" s="176"/>
      <c r="R23" s="176"/>
      <c r="T23" s="1864"/>
      <c r="U23" s="50" t="s">
        <v>61</v>
      </c>
      <c r="V23" s="1877">
        <v>180000</v>
      </c>
      <c r="W23" s="1877"/>
      <c r="X23" s="1877"/>
      <c r="Y23" s="1883"/>
    </row>
    <row r="24" spans="1:25" ht="48" customHeight="1" x14ac:dyDescent="0.25">
      <c r="A24" s="176"/>
      <c r="B24" s="1893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849" t="s">
        <v>47</v>
      </c>
      <c r="U24" s="51" t="s">
        <v>62</v>
      </c>
      <c r="V24" s="1879">
        <f>V14+V16+V17-V18-V19-V20-V22+V23-V21</f>
        <v>9395.6650000000081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73548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76"/>
      <c r="J33" s="17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42" t="s">
        <v>219</v>
      </c>
      <c r="U3" s="1842"/>
      <c r="V3" s="1842"/>
      <c r="W3" s="1842"/>
      <c r="X3" s="1842"/>
      <c r="Y3" s="1842"/>
    </row>
    <row r="4" spans="1:25" s="18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2" customFormat="1" ht="25.5" customHeight="1" x14ac:dyDescent="0.25">
      <c r="A5" s="1843"/>
      <c r="B5" s="184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886" t="s">
        <v>215</v>
      </c>
      <c r="R14" s="1886"/>
      <c r="S14" s="186" t="s">
        <v>171</v>
      </c>
      <c r="T14" s="1849" t="s">
        <v>46</v>
      </c>
      <c r="U14" s="180" t="s">
        <v>176</v>
      </c>
      <c r="V14" s="1874">
        <v>9396</v>
      </c>
      <c r="W14" s="1875"/>
      <c r="X14" s="1876"/>
    </row>
    <row r="15" spans="1:25" ht="22.5" customHeight="1" x14ac:dyDescent="0.25">
      <c r="A15" s="100" t="s">
        <v>38</v>
      </c>
      <c r="B15" s="1874">
        <v>266608</v>
      </c>
      <c r="C15" s="1876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877">
        <v>178</v>
      </c>
      <c r="R15" s="1877"/>
      <c r="S15" s="180">
        <v>117</v>
      </c>
      <c r="T15" s="1849"/>
      <c r="U15" s="180" t="s">
        <v>64</v>
      </c>
      <c r="V15" s="1877">
        <v>73548</v>
      </c>
      <c r="W15" s="1877"/>
      <c r="X15" s="1877"/>
    </row>
    <row r="16" spans="1:25" ht="24.75" customHeight="1" x14ac:dyDescent="0.25">
      <c r="A16" s="100" t="s">
        <v>39</v>
      </c>
      <c r="B16" s="1874">
        <v>311688</v>
      </c>
      <c r="C16" s="1876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855"/>
      <c r="R16" s="1855"/>
      <c r="S16" s="183"/>
      <c r="T16" s="1871" t="s">
        <v>55</v>
      </c>
      <c r="U16" s="1871"/>
      <c r="V16" s="1878">
        <f>Y12</f>
        <v>243162.86750000002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55"/>
      <c r="R17" s="1855"/>
      <c r="S17" s="179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218623</v>
      </c>
      <c r="C18" s="1876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877"/>
      <c r="R18" s="1877"/>
      <c r="S18" s="180"/>
      <c r="T18" s="1871" t="s">
        <v>57</v>
      </c>
      <c r="U18" s="1871"/>
      <c r="V18" s="1877">
        <v>450</v>
      </c>
      <c r="W18" s="1877"/>
      <c r="X18" s="1877"/>
      <c r="Y18" s="1883" t="s">
        <v>217</v>
      </c>
    </row>
    <row r="19" spans="1:25" ht="25.5" customHeight="1" x14ac:dyDescent="0.25">
      <c r="A19" s="100" t="s">
        <v>41</v>
      </c>
      <c r="B19" s="1874">
        <f>B15+B16+B17-B18</f>
        <v>359673</v>
      </c>
      <c r="C19" s="1876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874">
        <f t="shared" ref="Q19" si="14">Q15+Q16+Q17-Q18</f>
        <v>178</v>
      </c>
      <c r="R19" s="1876"/>
      <c r="S19" s="180">
        <f>S15+S16-S17-S18</f>
        <v>117</v>
      </c>
      <c r="T19" s="1869" t="s">
        <v>48</v>
      </c>
      <c r="U19" s="49" t="s">
        <v>58</v>
      </c>
      <c r="V19" s="1877">
        <v>300000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346185.26250000001</v>
      </c>
      <c r="C20" s="1888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887">
        <f>241*Q19</f>
        <v>42898</v>
      </c>
      <c r="R20" s="1888"/>
      <c r="S20" s="179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960674.86250000005</v>
      </c>
      <c r="C21" s="1897"/>
      <c r="O21" s="187"/>
      <c r="P21" s="187"/>
      <c r="Q21" s="187"/>
      <c r="R21" s="187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792446</v>
      </c>
      <c r="D22" s="1881">
        <v>300000</v>
      </c>
      <c r="E22" s="1881">
        <v>300000</v>
      </c>
      <c r="F22" s="1881">
        <f>C22-D22+E22</f>
        <v>792446</v>
      </c>
      <c r="G22" s="187"/>
      <c r="Q22" s="187"/>
      <c r="R22" s="187"/>
      <c r="T22" s="1863" t="s">
        <v>83</v>
      </c>
      <c r="U22" s="50" t="s">
        <v>60</v>
      </c>
      <c r="V22" s="1877">
        <v>242760</v>
      </c>
      <c r="W22" s="1877"/>
      <c r="X22" s="1877"/>
      <c r="Y22" s="1883"/>
    </row>
    <row r="23" spans="1:25" ht="39.75" customHeight="1" x14ac:dyDescent="0.25">
      <c r="A23" s="187"/>
      <c r="B23" s="1892"/>
      <c r="C23" s="1882"/>
      <c r="D23" s="1882"/>
      <c r="E23" s="1882"/>
      <c r="F23" s="1882"/>
      <c r="G23" s="187"/>
      <c r="Q23" s="187"/>
      <c r="R23" s="187"/>
      <c r="T23" s="1864"/>
      <c r="U23" s="50" t="s">
        <v>61</v>
      </c>
      <c r="V23" s="1877">
        <v>300000</v>
      </c>
      <c r="W23" s="1877"/>
      <c r="X23" s="1877"/>
      <c r="Y23" s="1883"/>
    </row>
    <row r="24" spans="1:25" ht="48" customHeight="1" x14ac:dyDescent="0.25">
      <c r="A24" s="187"/>
      <c r="B24" s="1893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849" t="s">
        <v>47</v>
      </c>
      <c r="U24" s="51" t="s">
        <v>62</v>
      </c>
      <c r="V24" s="1879">
        <f>V14+V16+V17-V18-V19-V20-V22+V23-V21</f>
        <v>9348.8675000000512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16308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87"/>
      <c r="J33" s="18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42" t="s">
        <v>220</v>
      </c>
      <c r="U3" s="1842"/>
      <c r="V3" s="1842"/>
      <c r="W3" s="1842"/>
      <c r="X3" s="1842"/>
      <c r="Y3" s="1842"/>
    </row>
    <row r="4" spans="1:25" s="18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2" customFormat="1" ht="25.5" customHeight="1" x14ac:dyDescent="0.25">
      <c r="A5" s="1843"/>
      <c r="B5" s="1843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886" t="s">
        <v>215</v>
      </c>
      <c r="R14" s="1886"/>
      <c r="S14" s="186" t="s">
        <v>171</v>
      </c>
      <c r="T14" s="1849" t="s">
        <v>46</v>
      </c>
      <c r="U14" s="180" t="s">
        <v>176</v>
      </c>
      <c r="V14" s="1874">
        <v>9349</v>
      </c>
      <c r="W14" s="1875"/>
      <c r="X14" s="1876"/>
    </row>
    <row r="15" spans="1:25" ht="22.5" customHeight="1" x14ac:dyDescent="0.25">
      <c r="A15" s="100" t="s">
        <v>38</v>
      </c>
      <c r="B15" s="1874">
        <v>359673</v>
      </c>
      <c r="C15" s="1876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877">
        <v>178</v>
      </c>
      <c r="R15" s="1877"/>
      <c r="S15" s="180">
        <v>117</v>
      </c>
      <c r="T15" s="1849"/>
      <c r="U15" s="180" t="s">
        <v>64</v>
      </c>
      <c r="V15" s="1877">
        <v>16308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855"/>
      <c r="R16" s="1855"/>
      <c r="S16" s="183"/>
      <c r="T16" s="1871" t="s">
        <v>55</v>
      </c>
      <c r="U16" s="1871"/>
      <c r="V16" s="1878">
        <f>Y12</f>
        <v>151326.9725</v>
      </c>
      <c r="W16" s="1878"/>
      <c r="X16" s="1877"/>
    </row>
    <row r="17" spans="1:25" ht="28.5" customHeight="1" x14ac:dyDescent="0.25">
      <c r="A17" s="101" t="s">
        <v>44</v>
      </c>
      <c r="B17" s="1874">
        <v>40854</v>
      </c>
      <c r="C17" s="1876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855"/>
      <c r="R17" s="1855"/>
      <c r="S17" s="179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109601</v>
      </c>
      <c r="C18" s="1876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877"/>
      <c r="R18" s="1877"/>
      <c r="S18" s="180"/>
      <c r="T18" s="1871" t="s">
        <v>57</v>
      </c>
      <c r="U18" s="1871"/>
      <c r="V18" s="1877">
        <v>500</v>
      </c>
      <c r="W18" s="1877"/>
      <c r="X18" s="1877"/>
      <c r="Y18" s="1883" t="s">
        <v>217</v>
      </c>
    </row>
    <row r="19" spans="1:25" ht="25.5" customHeight="1" x14ac:dyDescent="0.25">
      <c r="A19" s="100" t="s">
        <v>41</v>
      </c>
      <c r="B19" s="1874">
        <f>B15+B16+B17-B18</f>
        <v>290926</v>
      </c>
      <c r="C19" s="1876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874">
        <f t="shared" ref="Q19" si="14">Q15+Q16+Q17-Q18</f>
        <v>178</v>
      </c>
      <c r="R19" s="1876"/>
      <c r="S19" s="180">
        <f>S15+S16-S17-S18</f>
        <v>117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280016.27500000002</v>
      </c>
      <c r="C20" s="1888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887">
        <f>241*Q19</f>
        <v>42898</v>
      </c>
      <c r="R20" s="1888"/>
      <c r="S20" s="179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850299.875</v>
      </c>
      <c r="C21" s="1897"/>
      <c r="O21" s="187"/>
      <c r="P21" s="187"/>
      <c r="Q21" s="187"/>
      <c r="R21" s="187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792446</v>
      </c>
      <c r="D22" s="1881"/>
      <c r="E22" s="1881"/>
      <c r="F22" s="1881">
        <f>C22-D22+E22</f>
        <v>792446</v>
      </c>
      <c r="G22" s="187"/>
      <c r="Q22" s="187"/>
      <c r="R22" s="187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87"/>
      <c r="B23" s="1892"/>
      <c r="C23" s="1882"/>
      <c r="D23" s="1882"/>
      <c r="E23" s="1882"/>
      <c r="F23" s="1882"/>
      <c r="G23" s="187"/>
      <c r="Q23" s="187"/>
      <c r="R23" s="187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87"/>
      <c r="B24" s="1893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849" t="s">
        <v>47</v>
      </c>
      <c r="U24" s="51" t="s">
        <v>62</v>
      </c>
      <c r="V24" s="1879">
        <f>V14+V16+V17-V18-V19-V20-V22+V23-V21</f>
        <v>160175.9725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16308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87"/>
      <c r="J33" s="18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42" t="s">
        <v>221</v>
      </c>
      <c r="U3" s="1842"/>
      <c r="V3" s="1842"/>
      <c r="W3" s="1842"/>
      <c r="X3" s="1842"/>
      <c r="Y3" s="1842"/>
    </row>
    <row r="4" spans="1:25" s="18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8" customFormat="1" ht="25.5" customHeight="1" x14ac:dyDescent="0.25">
      <c r="A5" s="1843"/>
      <c r="B5" s="18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886" t="s">
        <v>215</v>
      </c>
      <c r="R14" s="1886"/>
      <c r="S14" s="197" t="s">
        <v>171</v>
      </c>
      <c r="T14" s="1849" t="s">
        <v>46</v>
      </c>
      <c r="U14" s="189" t="s">
        <v>176</v>
      </c>
      <c r="V14" s="1874">
        <v>160176</v>
      </c>
      <c r="W14" s="1875"/>
      <c r="X14" s="1876"/>
    </row>
    <row r="15" spans="1:25" ht="22.5" customHeight="1" x14ac:dyDescent="0.25">
      <c r="A15" s="100" t="s">
        <v>38</v>
      </c>
      <c r="B15" s="1874">
        <v>290926</v>
      </c>
      <c r="C15" s="1876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877">
        <v>178</v>
      </c>
      <c r="R15" s="1877"/>
      <c r="S15" s="189">
        <v>117</v>
      </c>
      <c r="T15" s="1849"/>
      <c r="U15" s="189" t="s">
        <v>64</v>
      </c>
      <c r="V15" s="1877">
        <v>16308</v>
      </c>
      <c r="W15" s="1877"/>
      <c r="X15" s="1877"/>
    </row>
    <row r="16" spans="1:25" ht="24.75" customHeight="1" x14ac:dyDescent="0.25">
      <c r="A16" s="100" t="s">
        <v>39</v>
      </c>
      <c r="B16" s="1874">
        <v>51948</v>
      </c>
      <c r="C16" s="1876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855"/>
      <c r="R16" s="1855"/>
      <c r="S16" s="194"/>
      <c r="T16" s="1871" t="s">
        <v>55</v>
      </c>
      <c r="U16" s="1871"/>
      <c r="V16" s="1878">
        <f>Y12</f>
        <v>151310.72249999997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55"/>
      <c r="R17" s="1855"/>
      <c r="S17" s="191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101101</v>
      </c>
      <c r="C18" s="1876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877">
        <v>92</v>
      </c>
      <c r="R18" s="1877"/>
      <c r="S18" s="189"/>
      <c r="T18" s="1871" t="s">
        <v>57</v>
      </c>
      <c r="U18" s="1871"/>
      <c r="V18" s="1877">
        <f>450+130+39322</f>
        <v>39902</v>
      </c>
      <c r="W18" s="1877"/>
      <c r="X18" s="1877"/>
      <c r="Y18" s="1883" t="s">
        <v>222</v>
      </c>
    </row>
    <row r="19" spans="1:25" ht="25.5" customHeight="1" x14ac:dyDescent="0.25">
      <c r="A19" s="100" t="s">
        <v>41</v>
      </c>
      <c r="B19" s="1874">
        <f>B15+B16+B17-B18</f>
        <v>241773</v>
      </c>
      <c r="C19" s="1876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874">
        <f t="shared" ref="Q19" si="14">Q15+Q16+Q17-Q18</f>
        <v>86</v>
      </c>
      <c r="R19" s="1876"/>
      <c r="S19" s="189">
        <f>S15+S16-S17-S18</f>
        <v>117</v>
      </c>
      <c r="T19" s="1869" t="s">
        <v>48</v>
      </c>
      <c r="U19" s="49" t="s">
        <v>58</v>
      </c>
      <c r="V19" s="1877">
        <v>50000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232706.51250000001</v>
      </c>
      <c r="C20" s="1888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887">
        <f>241*Q19</f>
        <v>20726</v>
      </c>
      <c r="R20" s="1888"/>
      <c r="S20" s="191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750148.3125</v>
      </c>
      <c r="C21" s="1897"/>
      <c r="O21" s="198"/>
      <c r="P21" s="198"/>
      <c r="Q21" s="198"/>
      <c r="R21" s="198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792446</v>
      </c>
      <c r="D22" s="1881">
        <v>50000</v>
      </c>
      <c r="E22" s="1881">
        <v>50000</v>
      </c>
      <c r="F22" s="1881">
        <f>C22-D22+E22</f>
        <v>792446</v>
      </c>
      <c r="G22" s="198"/>
      <c r="Q22" s="198"/>
      <c r="R22" s="198"/>
      <c r="T22" s="1863" t="s">
        <v>83</v>
      </c>
      <c r="U22" s="50" t="s">
        <v>60</v>
      </c>
      <c r="V22" s="1877">
        <v>261780</v>
      </c>
      <c r="W22" s="1877"/>
      <c r="X22" s="1877"/>
      <c r="Y22" s="1883"/>
    </row>
    <row r="23" spans="1:25" ht="39.75" customHeight="1" x14ac:dyDescent="0.25">
      <c r="A23" s="198"/>
      <c r="B23" s="1892"/>
      <c r="C23" s="1882"/>
      <c r="D23" s="1882"/>
      <c r="E23" s="1882"/>
      <c r="F23" s="1882"/>
      <c r="G23" s="198"/>
      <c r="Q23" s="198"/>
      <c r="R23" s="198"/>
      <c r="T23" s="1864"/>
      <c r="U23" s="50" t="s">
        <v>61</v>
      </c>
      <c r="V23" s="1877">
        <v>50000</v>
      </c>
      <c r="W23" s="1877"/>
      <c r="X23" s="1877"/>
      <c r="Y23" s="1883"/>
    </row>
    <row r="24" spans="1:25" ht="48" customHeight="1" x14ac:dyDescent="0.25">
      <c r="A24" s="198"/>
      <c r="B24" s="18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49" t="s">
        <v>47</v>
      </c>
      <c r="U24" s="51" t="s">
        <v>62</v>
      </c>
      <c r="V24" s="1879">
        <f>V14+V16+V17-V18-V19-V20-V22+V23-V21</f>
        <v>9804.7224999999744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228088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98"/>
      <c r="J33" s="19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42" t="s">
        <v>223</v>
      </c>
      <c r="U3" s="1842"/>
      <c r="V3" s="1842"/>
      <c r="W3" s="1842"/>
      <c r="X3" s="1842"/>
      <c r="Y3" s="1842"/>
    </row>
    <row r="4" spans="1:25" s="18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8" customFormat="1" ht="25.5" customHeight="1" x14ac:dyDescent="0.25">
      <c r="A5" s="1843"/>
      <c r="B5" s="18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886" t="s">
        <v>215</v>
      </c>
      <c r="R14" s="1886"/>
      <c r="S14" s="197" t="s">
        <v>171</v>
      </c>
      <c r="T14" s="1849" t="s">
        <v>46</v>
      </c>
      <c r="U14" s="189" t="s">
        <v>176</v>
      </c>
      <c r="V14" s="1874">
        <v>9805</v>
      </c>
      <c r="W14" s="1875"/>
      <c r="X14" s="1876"/>
    </row>
    <row r="15" spans="1:25" ht="22.5" customHeight="1" x14ac:dyDescent="0.25">
      <c r="A15" s="100" t="s">
        <v>38</v>
      </c>
      <c r="B15" s="1874">
        <v>241773</v>
      </c>
      <c r="C15" s="1876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877">
        <v>86</v>
      </c>
      <c r="R15" s="1877"/>
      <c r="S15" s="189">
        <v>117</v>
      </c>
      <c r="T15" s="1849"/>
      <c r="U15" s="189" t="s">
        <v>64</v>
      </c>
      <c r="V15" s="1877">
        <v>228088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855"/>
      <c r="R16" s="1855"/>
      <c r="S16" s="194"/>
      <c r="T16" s="1871" t="s">
        <v>55</v>
      </c>
      <c r="U16" s="1871"/>
      <c r="V16" s="1878">
        <f>Y12</f>
        <v>172428.82750000001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55"/>
      <c r="R17" s="1855"/>
      <c r="S17" s="191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123279</v>
      </c>
      <c r="C18" s="1876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877"/>
      <c r="R18" s="1877"/>
      <c r="S18" s="189"/>
      <c r="T18" s="1871" t="s">
        <v>57</v>
      </c>
      <c r="U18" s="1871"/>
      <c r="V18" s="1877">
        <f>500+700+440</f>
        <v>1640</v>
      </c>
      <c r="W18" s="1877"/>
      <c r="X18" s="1877"/>
      <c r="Y18" s="1883" t="s">
        <v>224</v>
      </c>
    </row>
    <row r="19" spans="1:25" ht="25.5" customHeight="1" x14ac:dyDescent="0.25">
      <c r="A19" s="100" t="s">
        <v>41</v>
      </c>
      <c r="B19" s="1874">
        <f>B15+B16+B17-B18</f>
        <v>232779</v>
      </c>
      <c r="C19" s="1876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874">
        <f t="shared" ref="Q19" si="14">Q15+Q16+Q17-Q18</f>
        <v>86</v>
      </c>
      <c r="R19" s="1876"/>
      <c r="S19" s="189">
        <f>S15+S16-S17-S18</f>
        <v>117</v>
      </c>
      <c r="T19" s="1869" t="s">
        <v>48</v>
      </c>
      <c r="U19" s="49" t="s">
        <v>58</v>
      </c>
      <c r="V19" s="1877">
        <v>110000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224049.78750000001</v>
      </c>
      <c r="C20" s="1888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887">
        <f>241*Q19</f>
        <v>20726</v>
      </c>
      <c r="R20" s="1888"/>
      <c r="S20" s="191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689491.1875</v>
      </c>
      <c r="C21" s="1897"/>
      <c r="O21" s="198"/>
      <c r="P21" s="198"/>
      <c r="Q21" s="198"/>
      <c r="R21" s="198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792446</v>
      </c>
      <c r="D22" s="1881">
        <v>110000</v>
      </c>
      <c r="E22" s="1881">
        <v>110000</v>
      </c>
      <c r="F22" s="1881">
        <f>C22-D22+E22</f>
        <v>792446</v>
      </c>
      <c r="G22" s="198"/>
      <c r="Q22" s="198"/>
      <c r="R22" s="198"/>
      <c r="T22" s="1863" t="s">
        <v>83</v>
      </c>
      <c r="U22" s="50" t="s">
        <v>60</v>
      </c>
      <c r="V22" s="1877">
        <v>169130</v>
      </c>
      <c r="W22" s="1877"/>
      <c r="X22" s="1877"/>
      <c r="Y22" s="1883"/>
    </row>
    <row r="23" spans="1:25" ht="39.75" customHeight="1" x14ac:dyDescent="0.25">
      <c r="A23" s="198"/>
      <c r="B23" s="1892"/>
      <c r="C23" s="1882"/>
      <c r="D23" s="1882"/>
      <c r="E23" s="1882"/>
      <c r="F23" s="1882"/>
      <c r="G23" s="198"/>
      <c r="Q23" s="198"/>
      <c r="R23" s="198"/>
      <c r="T23" s="1864"/>
      <c r="U23" s="50" t="s">
        <v>61</v>
      </c>
      <c r="V23" s="1877">
        <v>110000</v>
      </c>
      <c r="W23" s="1877"/>
      <c r="X23" s="1877"/>
      <c r="Y23" s="1883"/>
    </row>
    <row r="24" spans="1:25" ht="48" customHeight="1" x14ac:dyDescent="0.25">
      <c r="A24" s="198"/>
      <c r="B24" s="18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49" t="s">
        <v>47</v>
      </c>
      <c r="U24" s="51" t="s">
        <v>62</v>
      </c>
      <c r="V24" s="1879">
        <f>V14+V16+V17-V18-V19-V20-V22+V23-V21</f>
        <v>11463.827500000014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287218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98"/>
      <c r="J33" s="19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42" t="s">
        <v>225</v>
      </c>
      <c r="U3" s="1842"/>
      <c r="V3" s="1842"/>
      <c r="W3" s="1842"/>
      <c r="X3" s="1842"/>
      <c r="Y3" s="1842"/>
    </row>
    <row r="4" spans="1:25" s="18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8" customFormat="1" ht="25.5" customHeight="1" x14ac:dyDescent="0.25">
      <c r="A5" s="1843"/>
      <c r="B5" s="18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886" t="s">
        <v>215</v>
      </c>
      <c r="R14" s="1886"/>
      <c r="S14" s="197" t="s">
        <v>171</v>
      </c>
      <c r="T14" s="1849" t="s">
        <v>46</v>
      </c>
      <c r="U14" s="189" t="s">
        <v>176</v>
      </c>
      <c r="V14" s="1874">
        <v>11464</v>
      </c>
      <c r="W14" s="1875"/>
      <c r="X14" s="1876"/>
    </row>
    <row r="15" spans="1:25" ht="22.5" customHeight="1" x14ac:dyDescent="0.25">
      <c r="A15" s="100" t="s">
        <v>38</v>
      </c>
      <c r="B15" s="1874">
        <v>232779</v>
      </c>
      <c r="C15" s="1876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877">
        <v>86</v>
      </c>
      <c r="R15" s="1877"/>
      <c r="S15" s="189">
        <v>117</v>
      </c>
      <c r="T15" s="1849"/>
      <c r="U15" s="189" t="s">
        <v>64</v>
      </c>
      <c r="V15" s="1877">
        <v>287218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855"/>
      <c r="R16" s="1855"/>
      <c r="S16" s="194"/>
      <c r="T16" s="1871" t="s">
        <v>55</v>
      </c>
      <c r="U16" s="1871"/>
      <c r="V16" s="1878">
        <f>Y12</f>
        <v>130957.86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55"/>
      <c r="R17" s="1855"/>
      <c r="S17" s="191"/>
      <c r="T17" s="1889" t="s">
        <v>211</v>
      </c>
      <c r="U17" s="1890"/>
      <c r="V17" s="1877">
        <v>150000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111496</v>
      </c>
      <c r="C18" s="1876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877"/>
      <c r="R18" s="1877"/>
      <c r="S18" s="189"/>
      <c r="T18" s="1871" t="s">
        <v>57</v>
      </c>
      <c r="U18" s="1871"/>
      <c r="V18" s="1877">
        <f>450+1275</f>
        <v>1725</v>
      </c>
      <c r="W18" s="1877"/>
      <c r="X18" s="1877"/>
      <c r="Y18" s="1883" t="s">
        <v>226</v>
      </c>
    </row>
    <row r="19" spans="1:25" ht="25.5" customHeight="1" x14ac:dyDescent="0.25">
      <c r="A19" s="100" t="s">
        <v>41</v>
      </c>
      <c r="B19" s="1874">
        <f>B15+B16+B17-B18</f>
        <v>235568</v>
      </c>
      <c r="C19" s="1876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874">
        <f t="shared" ref="Q19" si="14">Q15+Q16+Q17-Q18</f>
        <v>86</v>
      </c>
      <c r="R19" s="1876"/>
      <c r="S19" s="189">
        <f>S15+S16-S17-S18</f>
        <v>117</v>
      </c>
      <c r="T19" s="1869" t="s">
        <v>48</v>
      </c>
      <c r="U19" s="49" t="s">
        <v>58</v>
      </c>
      <c r="V19" s="1877">
        <v>554000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226734.2</v>
      </c>
      <c r="C20" s="1888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887">
        <f>241*Q19</f>
        <v>20726</v>
      </c>
      <c r="R20" s="1888"/>
      <c r="S20" s="191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669803.19999999995</v>
      </c>
      <c r="C21" s="1897"/>
      <c r="O21" s="198"/>
      <c r="P21" s="198"/>
      <c r="Q21" s="198"/>
      <c r="R21" s="198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792446</v>
      </c>
      <c r="D22" s="1881">
        <v>554000</v>
      </c>
      <c r="E22" s="1881">
        <v>110000</v>
      </c>
      <c r="F22" s="1881">
        <f>C22-D22+E22</f>
        <v>348446</v>
      </c>
      <c r="G22" s="198"/>
      <c r="Q22" s="198"/>
      <c r="R22" s="198"/>
      <c r="T22" s="1863" t="s">
        <v>83</v>
      </c>
      <c r="U22" s="50" t="s">
        <v>60</v>
      </c>
      <c r="V22" s="1877">
        <v>127990</v>
      </c>
      <c r="W22" s="1877"/>
      <c r="X22" s="1877"/>
      <c r="Y22" s="1883"/>
    </row>
    <row r="23" spans="1:25" ht="39.75" customHeight="1" x14ac:dyDescent="0.25">
      <c r="A23" s="198"/>
      <c r="B23" s="1892"/>
      <c r="C23" s="1882"/>
      <c r="D23" s="1882"/>
      <c r="E23" s="1882"/>
      <c r="F23" s="1882"/>
      <c r="G23" s="198"/>
      <c r="Q23" s="198"/>
      <c r="R23" s="198"/>
      <c r="T23" s="1864"/>
      <c r="U23" s="50" t="s">
        <v>61</v>
      </c>
      <c r="V23" s="1877">
        <v>404000</v>
      </c>
      <c r="W23" s="1877"/>
      <c r="X23" s="1877"/>
      <c r="Y23" s="1883"/>
    </row>
    <row r="24" spans="1:25" ht="48" customHeight="1" x14ac:dyDescent="0.25">
      <c r="A24" s="198"/>
      <c r="B24" s="18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49" t="s">
        <v>47</v>
      </c>
      <c r="U24" s="51" t="s">
        <v>62</v>
      </c>
      <c r="V24" s="1879">
        <f>V14+V16+V17-V18-V19-V20-V22+V23-V21</f>
        <v>12706.859999999986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11208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98"/>
      <c r="J33" s="19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42" t="s">
        <v>229</v>
      </c>
      <c r="U3" s="1842"/>
      <c r="V3" s="1842"/>
      <c r="W3" s="1842"/>
      <c r="X3" s="1842"/>
      <c r="Y3" s="1842"/>
    </row>
    <row r="4" spans="1:25" s="18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8" customFormat="1" ht="25.5" customHeight="1" x14ac:dyDescent="0.25">
      <c r="A5" s="1843"/>
      <c r="B5" s="18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886" t="s">
        <v>215</v>
      </c>
      <c r="R14" s="1886"/>
      <c r="S14" s="197" t="s">
        <v>228</v>
      </c>
      <c r="T14" s="1849" t="s">
        <v>46</v>
      </c>
      <c r="U14" s="189" t="s">
        <v>176</v>
      </c>
      <c r="V14" s="1874">
        <v>12707</v>
      </c>
      <c r="W14" s="1875"/>
      <c r="X14" s="1876"/>
    </row>
    <row r="15" spans="1:25" ht="22.5" customHeight="1" x14ac:dyDescent="0.25">
      <c r="A15" s="100" t="s">
        <v>38</v>
      </c>
      <c r="B15" s="1874">
        <v>235568</v>
      </c>
      <c r="C15" s="1876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877">
        <v>86</v>
      </c>
      <c r="R15" s="1877"/>
      <c r="S15" s="189">
        <v>117</v>
      </c>
      <c r="T15" s="1849"/>
      <c r="U15" s="189" t="s">
        <v>64</v>
      </c>
      <c r="V15" s="1877">
        <v>11208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855"/>
      <c r="R16" s="1855"/>
      <c r="S16" s="194"/>
      <c r="T16" s="1871" t="s">
        <v>55</v>
      </c>
      <c r="U16" s="1871"/>
      <c r="V16" s="1878">
        <f>Y12</f>
        <v>227430.28250000003</v>
      </c>
      <c r="W16" s="1878"/>
      <c r="X16" s="1877"/>
    </row>
    <row r="17" spans="1:25" ht="28.5" customHeight="1" x14ac:dyDescent="0.25">
      <c r="A17" s="101" t="s">
        <v>44</v>
      </c>
      <c r="B17" s="1874">
        <v>136907</v>
      </c>
      <c r="C17" s="1876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55"/>
      <c r="R17" s="1855"/>
      <c r="S17" s="191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221517</v>
      </c>
      <c r="C18" s="1876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877">
        <v>45</v>
      </c>
      <c r="R18" s="1877"/>
      <c r="S18" s="189"/>
      <c r="T18" s="1871" t="s">
        <v>57</v>
      </c>
      <c r="U18" s="1871"/>
      <c r="V18" s="1877">
        <f>500+1590+420</f>
        <v>2510</v>
      </c>
      <c r="W18" s="1877"/>
      <c r="X18" s="1877"/>
      <c r="Y18" s="1883" t="s">
        <v>227</v>
      </c>
    </row>
    <row r="19" spans="1:25" ht="25.5" customHeight="1" x14ac:dyDescent="0.25">
      <c r="A19" s="100" t="s">
        <v>41</v>
      </c>
      <c r="B19" s="1874">
        <f>B15+B16+B17-B18</f>
        <v>254854</v>
      </c>
      <c r="C19" s="1876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874">
        <f t="shared" ref="Q19" si="14">Q15+Q16+Q17-Q18</f>
        <v>41</v>
      </c>
      <c r="R19" s="1876"/>
      <c r="S19" s="189">
        <f>S15+S16-S17-S18</f>
        <v>117</v>
      </c>
      <c r="T19" s="1869" t="s">
        <v>48</v>
      </c>
      <c r="U19" s="49" t="s">
        <v>58</v>
      </c>
      <c r="V19" s="1877">
        <v>203846</v>
      </c>
      <c r="W19" s="1877"/>
      <c r="X19" s="1877"/>
      <c r="Y19" s="1883"/>
    </row>
    <row r="20" spans="1:25" ht="23.25" customHeight="1" x14ac:dyDescent="0.25">
      <c r="A20" s="11" t="s">
        <v>187</v>
      </c>
      <c r="B20" s="1887">
        <f>B19*0.9625</f>
        <v>245296.97500000001</v>
      </c>
      <c r="C20" s="1888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887">
        <f>241*Q19</f>
        <v>9881</v>
      </c>
      <c r="R20" s="1888"/>
      <c r="S20" s="191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676405.97499999998</v>
      </c>
      <c r="C21" s="1897"/>
      <c r="O21" s="198"/>
      <c r="P21" s="198"/>
      <c r="Q21" s="198"/>
      <c r="R21" s="198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348446</v>
      </c>
      <c r="D22" s="1881">
        <v>203846</v>
      </c>
      <c r="E22" s="1881">
        <v>100000</v>
      </c>
      <c r="F22" s="1881">
        <f>C22-D22+E22</f>
        <v>244600</v>
      </c>
      <c r="G22" s="198"/>
      <c r="Q22" s="198"/>
      <c r="R22" s="198"/>
      <c r="T22" s="1863" t="s">
        <v>83</v>
      </c>
      <c r="U22" s="50" t="s">
        <v>60</v>
      </c>
      <c r="V22" s="1877">
        <v>215300</v>
      </c>
      <c r="W22" s="1877"/>
      <c r="X22" s="1877"/>
      <c r="Y22" s="1883"/>
    </row>
    <row r="23" spans="1:25" ht="39.75" customHeight="1" x14ac:dyDescent="0.25">
      <c r="A23" s="198"/>
      <c r="B23" s="1892"/>
      <c r="C23" s="1882"/>
      <c r="D23" s="1882"/>
      <c r="E23" s="1882"/>
      <c r="F23" s="1882"/>
      <c r="G23" s="198"/>
      <c r="Q23" s="198"/>
      <c r="R23" s="198"/>
      <c r="T23" s="1864"/>
      <c r="U23" s="50" t="s">
        <v>61</v>
      </c>
      <c r="V23" s="1877">
        <v>203846</v>
      </c>
      <c r="W23" s="1877"/>
      <c r="X23" s="1877"/>
      <c r="Y23" s="1883"/>
    </row>
    <row r="24" spans="1:25" ht="48" customHeight="1" x14ac:dyDescent="0.25">
      <c r="A24" s="198"/>
      <c r="B24" s="18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49" t="s">
        <v>47</v>
      </c>
      <c r="U24" s="51" t="s">
        <v>62</v>
      </c>
      <c r="V24" s="1879">
        <f>V14+V16+V17-V18-V19-V20-V22+V23-V21</f>
        <v>22327.28250000003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22662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98"/>
      <c r="J33" s="19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42" t="s">
        <v>230</v>
      </c>
      <c r="U3" s="1842"/>
      <c r="V3" s="1842"/>
      <c r="W3" s="1842"/>
      <c r="X3" s="1842"/>
      <c r="Y3" s="1842"/>
    </row>
    <row r="4" spans="1:25" s="18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8" customFormat="1" ht="25.5" customHeight="1" x14ac:dyDescent="0.25">
      <c r="A5" s="1843"/>
      <c r="B5" s="1843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886" t="s">
        <v>215</v>
      </c>
      <c r="R14" s="1886"/>
      <c r="S14" s="197" t="s">
        <v>228</v>
      </c>
      <c r="T14" s="1849" t="s">
        <v>46</v>
      </c>
      <c r="U14" s="189" t="s">
        <v>176</v>
      </c>
      <c r="V14" s="1874">
        <v>22327</v>
      </c>
      <c r="W14" s="1875"/>
      <c r="X14" s="1876"/>
    </row>
    <row r="15" spans="1:25" ht="22.5" customHeight="1" x14ac:dyDescent="0.25">
      <c r="A15" s="100" t="s">
        <v>38</v>
      </c>
      <c r="B15" s="1874">
        <v>254854</v>
      </c>
      <c r="C15" s="1876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877">
        <v>41</v>
      </c>
      <c r="R15" s="1877"/>
      <c r="S15" s="189">
        <v>117</v>
      </c>
      <c r="T15" s="1849"/>
      <c r="U15" s="189" t="s">
        <v>64</v>
      </c>
      <c r="V15" s="1877">
        <v>22662</v>
      </c>
      <c r="W15" s="1877"/>
      <c r="X15" s="1877"/>
    </row>
    <row r="16" spans="1:25" ht="24.75" customHeight="1" x14ac:dyDescent="0.25">
      <c r="A16" s="100" t="s">
        <v>39</v>
      </c>
      <c r="B16" s="1874">
        <v>353247</v>
      </c>
      <c r="C16" s="1876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855"/>
      <c r="R16" s="1855"/>
      <c r="S16" s="194"/>
      <c r="T16" s="1871" t="s">
        <v>55</v>
      </c>
      <c r="U16" s="1871"/>
      <c r="V16" s="1878">
        <f>Y12</f>
        <v>122078.1275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855"/>
      <c r="R17" s="1855"/>
      <c r="S17" s="191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120759</v>
      </c>
      <c r="C18" s="1876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877"/>
      <c r="R18" s="1877"/>
      <c r="S18" s="189"/>
      <c r="T18" s="1871" t="s">
        <v>57</v>
      </c>
      <c r="U18" s="1871"/>
      <c r="V18" s="1877">
        <v>450</v>
      </c>
      <c r="W18" s="1877"/>
      <c r="X18" s="1877"/>
      <c r="Y18" s="1883" t="s">
        <v>231</v>
      </c>
    </row>
    <row r="19" spans="1:25" ht="25.5" customHeight="1" x14ac:dyDescent="0.25">
      <c r="A19" s="100" t="s">
        <v>41</v>
      </c>
      <c r="B19" s="1874">
        <f>B15+B16+B17-B18</f>
        <v>487342</v>
      </c>
      <c r="C19" s="1876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874">
        <f t="shared" ref="Q19" si="14">Q15+Q16+Q17-Q18</f>
        <v>41</v>
      </c>
      <c r="R19" s="1876"/>
      <c r="S19" s="189">
        <f>S15+S16-S17-S18</f>
        <v>117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469066.67499999999</v>
      </c>
      <c r="C20" s="1899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9881</v>
      </c>
      <c r="R20" s="1899"/>
      <c r="S20" s="211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1377250.675</v>
      </c>
      <c r="C21" s="1897"/>
      <c r="O21" s="198"/>
      <c r="P21" s="198"/>
      <c r="Q21" s="198"/>
      <c r="R21" s="198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244600</v>
      </c>
      <c r="D22" s="1881">
        <v>100000</v>
      </c>
      <c r="E22" s="1881">
        <v>820816</v>
      </c>
      <c r="F22" s="1881">
        <f>C22-D22+E22</f>
        <v>965416</v>
      </c>
      <c r="G22" s="198"/>
      <c r="Q22" s="198"/>
      <c r="R22" s="198"/>
      <c r="T22" s="1863" t="s">
        <v>83</v>
      </c>
      <c r="U22" s="50" t="s">
        <v>60</v>
      </c>
      <c r="V22" s="1877">
        <v>122770</v>
      </c>
      <c r="W22" s="1877"/>
      <c r="X22" s="1877"/>
      <c r="Y22" s="1883"/>
    </row>
    <row r="23" spans="1:25" ht="39.75" customHeight="1" x14ac:dyDescent="0.25">
      <c r="A23" s="198"/>
      <c r="B23" s="1892"/>
      <c r="C23" s="1882"/>
      <c r="D23" s="1882"/>
      <c r="E23" s="1882"/>
      <c r="F23" s="1882"/>
      <c r="G23" s="198"/>
      <c r="Q23" s="198"/>
      <c r="R23" s="198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198"/>
      <c r="B24" s="1893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849" t="s">
        <v>47</v>
      </c>
      <c r="U24" s="51" t="s">
        <v>62</v>
      </c>
      <c r="V24" s="1879">
        <f>V14+V16+V17-V18-V19-V20-V22+V23-V21</f>
        <v>21185.127500000002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45432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198"/>
      <c r="J33" s="19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842" t="s">
        <v>232</v>
      </c>
      <c r="U3" s="1842"/>
      <c r="V3" s="1842"/>
      <c r="W3" s="1842"/>
      <c r="X3" s="1842"/>
      <c r="Y3" s="1842"/>
    </row>
    <row r="4" spans="1:25" s="20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04" customFormat="1" ht="25.5" customHeight="1" x14ac:dyDescent="0.25">
      <c r="A5" s="1843"/>
      <c r="B5" s="184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886" t="s">
        <v>215</v>
      </c>
      <c r="R14" s="1886"/>
      <c r="S14" s="208" t="s">
        <v>228</v>
      </c>
      <c r="T14" s="1849" t="s">
        <v>46</v>
      </c>
      <c r="U14" s="202" t="s">
        <v>176</v>
      </c>
      <c r="V14" s="1874">
        <v>21185</v>
      </c>
      <c r="W14" s="1875"/>
      <c r="X14" s="1876"/>
    </row>
    <row r="15" spans="1:25" ht="22.5" customHeight="1" x14ac:dyDescent="0.25">
      <c r="A15" s="100" t="s">
        <v>38</v>
      </c>
      <c r="B15" s="1874">
        <v>487342</v>
      </c>
      <c r="C15" s="1876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877">
        <v>41</v>
      </c>
      <c r="R15" s="1877"/>
      <c r="S15" s="202">
        <v>117</v>
      </c>
      <c r="T15" s="1849"/>
      <c r="U15" s="202" t="s">
        <v>64</v>
      </c>
      <c r="V15" s="1877">
        <v>45432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855"/>
      <c r="R16" s="1855"/>
      <c r="S16" s="205"/>
      <c r="T16" s="1871" t="s">
        <v>55</v>
      </c>
      <c r="U16" s="1871"/>
      <c r="V16" s="1878">
        <f>Y12</f>
        <v>233654.59000000003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855"/>
      <c r="R17" s="1855"/>
      <c r="S17" s="201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104924</v>
      </c>
      <c r="C18" s="1876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877"/>
      <c r="R18" s="1877"/>
      <c r="S18" s="202"/>
      <c r="T18" s="1871" t="s">
        <v>57</v>
      </c>
      <c r="U18" s="1871"/>
      <c r="V18" s="1877">
        <v>500</v>
      </c>
      <c r="W18" s="1877"/>
      <c r="X18" s="1877"/>
      <c r="Y18" s="1883" t="s">
        <v>231</v>
      </c>
    </row>
    <row r="19" spans="1:25" ht="25.5" customHeight="1" x14ac:dyDescent="0.25">
      <c r="A19" s="100" t="s">
        <v>41</v>
      </c>
      <c r="B19" s="1874">
        <f>B15+B16+B17-B18</f>
        <v>382418</v>
      </c>
      <c r="C19" s="1876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874">
        <f t="shared" ref="Q19" si="14">Q15+Q16+Q17-Q18</f>
        <v>41</v>
      </c>
      <c r="R19" s="1876"/>
      <c r="S19" s="202">
        <f>S15+S16-S17-S18</f>
        <v>117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368077.32500000001</v>
      </c>
      <c r="C20" s="1899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9881</v>
      </c>
      <c r="R20" s="1899"/>
      <c r="S20" s="211">
        <f>241*S19</f>
        <v>28197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1145734.0249999999</v>
      </c>
      <c r="C21" s="1897"/>
      <c r="O21" s="209"/>
      <c r="P21" s="209"/>
      <c r="Q21" s="209"/>
      <c r="R21" s="209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965416</v>
      </c>
      <c r="D22" s="1881"/>
      <c r="E22" s="1881"/>
      <c r="F22" s="1881">
        <f>C22-D22+E22</f>
        <v>965416</v>
      </c>
      <c r="G22" s="209"/>
      <c r="Q22" s="209"/>
      <c r="R22" s="209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209"/>
      <c r="B23" s="1892"/>
      <c r="C23" s="1882"/>
      <c r="D23" s="1882"/>
      <c r="E23" s="1882"/>
      <c r="F23" s="1882"/>
      <c r="G23" s="209"/>
      <c r="Q23" s="209"/>
      <c r="R23" s="209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209"/>
      <c r="B24" s="1893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849" t="s">
        <v>47</v>
      </c>
      <c r="U24" s="51" t="s">
        <v>62</v>
      </c>
      <c r="V24" s="1879">
        <f>V14+V16+V17-V18-V19-V20-V22+V23-V21</f>
        <v>254339.59000000003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45432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09"/>
      <c r="J33" s="209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842" t="s">
        <v>233</v>
      </c>
      <c r="U3" s="1842"/>
      <c r="V3" s="1842"/>
      <c r="W3" s="1842"/>
      <c r="X3" s="1842"/>
      <c r="Y3" s="1842"/>
    </row>
    <row r="4" spans="1:25" s="20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04" customFormat="1" ht="25.5" customHeight="1" x14ac:dyDescent="0.25">
      <c r="A5" s="1843"/>
      <c r="B5" s="1843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886" t="s">
        <v>215</v>
      </c>
      <c r="R14" s="1886"/>
      <c r="S14" s="208" t="s">
        <v>228</v>
      </c>
      <c r="T14" s="1849" t="s">
        <v>46</v>
      </c>
      <c r="U14" s="202" t="s">
        <v>176</v>
      </c>
      <c r="V14" s="1874">
        <v>254340</v>
      </c>
      <c r="W14" s="1875"/>
      <c r="X14" s="1876"/>
    </row>
    <row r="15" spans="1:25" ht="22.5" customHeight="1" x14ac:dyDescent="0.25">
      <c r="A15" s="100" t="s">
        <v>38</v>
      </c>
      <c r="B15" s="1874">
        <v>382418</v>
      </c>
      <c r="C15" s="1876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877">
        <v>41</v>
      </c>
      <c r="R15" s="1877"/>
      <c r="S15" s="202">
        <v>117</v>
      </c>
      <c r="T15" s="1849"/>
      <c r="U15" s="202" t="s">
        <v>64</v>
      </c>
      <c r="V15" s="1877">
        <v>45432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855"/>
      <c r="R16" s="1855"/>
      <c r="S16" s="205"/>
      <c r="T16" s="1871" t="s">
        <v>55</v>
      </c>
      <c r="U16" s="1871"/>
      <c r="V16" s="1878">
        <f>Y12</f>
        <v>296094.65500000003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855"/>
      <c r="R17" s="1855"/>
      <c r="S17" s="201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114158</v>
      </c>
      <c r="C18" s="1876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877">
        <v>41</v>
      </c>
      <c r="R18" s="1877"/>
      <c r="S18" s="202">
        <v>98</v>
      </c>
      <c r="T18" s="1871" t="s">
        <v>57</v>
      </c>
      <c r="U18" s="1871"/>
      <c r="V18" s="1877">
        <f>450+131772</f>
        <v>132222</v>
      </c>
      <c r="W18" s="1877"/>
      <c r="X18" s="1877"/>
      <c r="Y18" s="1883" t="s">
        <v>139</v>
      </c>
    </row>
    <row r="19" spans="1:25" ht="25.5" customHeight="1" x14ac:dyDescent="0.25">
      <c r="A19" s="100" t="s">
        <v>41</v>
      </c>
      <c r="B19" s="1874">
        <f>B15+B16+B17-B18</f>
        <v>268260</v>
      </c>
      <c r="C19" s="1876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874">
        <f t="shared" ref="Q19" si="14">Q15+Q16+Q17-Q18</f>
        <v>0</v>
      </c>
      <c r="R19" s="1876"/>
      <c r="S19" s="202">
        <f>S15+S16-S17-S18</f>
        <v>19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258200.25</v>
      </c>
      <c r="C20" s="1899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4579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851307.25</v>
      </c>
      <c r="C21" s="1897"/>
      <c r="O21" s="209"/>
      <c r="P21" s="209"/>
      <c r="Q21" s="209"/>
      <c r="R21" s="209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965416</v>
      </c>
      <c r="D22" s="1881"/>
      <c r="E22" s="1881"/>
      <c r="F22" s="1881">
        <f>C22-D22+E22</f>
        <v>965416</v>
      </c>
      <c r="G22" s="209"/>
      <c r="Q22" s="209"/>
      <c r="R22" s="209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209"/>
      <c r="B23" s="1892"/>
      <c r="C23" s="1882"/>
      <c r="D23" s="1882"/>
      <c r="E23" s="1882"/>
      <c r="F23" s="1882"/>
      <c r="G23" s="209"/>
      <c r="Q23" s="209"/>
      <c r="R23" s="209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209"/>
      <c r="B24" s="1893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849" t="s">
        <v>47</v>
      </c>
      <c r="U24" s="51" t="s">
        <v>62</v>
      </c>
      <c r="V24" s="1879">
        <f>V14+V16+V17-V18-V19-V20-V22+V23-V21</f>
        <v>418212.65500000003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45432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09"/>
      <c r="J33" s="209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234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228</v>
      </c>
      <c r="R14" s="1886"/>
      <c r="S14" s="221"/>
      <c r="T14" s="1849" t="s">
        <v>46</v>
      </c>
      <c r="U14" s="213" t="s">
        <v>176</v>
      </c>
      <c r="V14" s="1874">
        <v>418213</v>
      </c>
      <c r="W14" s="1875"/>
      <c r="X14" s="1876"/>
    </row>
    <row r="15" spans="1:25" ht="22.5" customHeight="1" x14ac:dyDescent="0.25">
      <c r="A15" s="100" t="s">
        <v>38</v>
      </c>
      <c r="B15" s="1874">
        <v>268260</v>
      </c>
      <c r="C15" s="1876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877">
        <v>19</v>
      </c>
      <c r="R15" s="1877"/>
      <c r="S15" s="213">
        <v>0</v>
      </c>
      <c r="T15" s="1849"/>
      <c r="U15" s="213" t="s">
        <v>64</v>
      </c>
      <c r="V15" s="1877">
        <v>45432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173088.57250000001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126561</v>
      </c>
      <c r="C18" s="1876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v>500</v>
      </c>
      <c r="W18" s="1877"/>
      <c r="X18" s="1877"/>
      <c r="Y18" s="1883" t="s">
        <v>231</v>
      </c>
    </row>
    <row r="19" spans="1:25" ht="25.5" customHeight="1" x14ac:dyDescent="0.25">
      <c r="A19" s="100" t="s">
        <v>41</v>
      </c>
      <c r="B19" s="1874">
        <f>B15+B16+B17-B18</f>
        <v>255984</v>
      </c>
      <c r="C19" s="1876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19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412300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246384.6</v>
      </c>
      <c r="C20" s="1899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4579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838179.79999999993</v>
      </c>
      <c r="C21" s="1897"/>
      <c r="O21" s="222"/>
      <c r="P21" s="222"/>
      <c r="Q21" s="222"/>
      <c r="R21" s="222"/>
      <c r="T21" s="1889" t="s">
        <v>167</v>
      </c>
      <c r="U21" s="1890"/>
      <c r="V21" s="1874">
        <v>150000</v>
      </c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965416</v>
      </c>
      <c r="D22" s="1881">
        <v>412300</v>
      </c>
      <c r="E22" s="1881">
        <v>158200</v>
      </c>
      <c r="F22" s="1881">
        <f>C22-D22+E22</f>
        <v>711316</v>
      </c>
      <c r="G22" s="222"/>
      <c r="Q22" s="222"/>
      <c r="R22" s="222"/>
      <c r="T22" s="1863" t="s">
        <v>83</v>
      </c>
      <c r="U22" s="50" t="s">
        <v>60</v>
      </c>
      <c r="V22" s="1877">
        <v>414840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412300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25961.572500000009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47972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235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228</v>
      </c>
      <c r="R14" s="1886"/>
      <c r="S14" s="221"/>
      <c r="T14" s="1849" t="s">
        <v>46</v>
      </c>
      <c r="U14" s="213" t="s">
        <v>176</v>
      </c>
      <c r="V14" s="1874">
        <v>25962</v>
      </c>
      <c r="W14" s="1875"/>
      <c r="X14" s="1876"/>
    </row>
    <row r="15" spans="1:25" ht="22.5" customHeight="1" x14ac:dyDescent="0.25">
      <c r="A15" s="100" t="s">
        <v>38</v>
      </c>
      <c r="B15" s="1874">
        <v>255984</v>
      </c>
      <c r="C15" s="1876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877">
        <v>19</v>
      </c>
      <c r="R15" s="1877"/>
      <c r="S15" s="213">
        <v>0</v>
      </c>
      <c r="T15" s="1849"/>
      <c r="U15" s="213" t="s">
        <v>64</v>
      </c>
      <c r="V15" s="1877">
        <v>47972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137812.46249999999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120965</v>
      </c>
      <c r="C18" s="1876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f>450+6250</f>
        <v>6700</v>
      </c>
      <c r="W18" s="1877"/>
      <c r="X18" s="1877"/>
      <c r="Y18" s="1883" t="s">
        <v>231</v>
      </c>
    </row>
    <row r="19" spans="1:25" ht="25.5" customHeight="1" x14ac:dyDescent="0.25">
      <c r="A19" s="100" t="s">
        <v>41</v>
      </c>
      <c r="B19" s="1874">
        <f>B15+B16+B17-B18</f>
        <v>238915</v>
      </c>
      <c r="C19" s="1876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19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229955.6875</v>
      </c>
      <c r="C20" s="1899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4579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801778.28749999998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711316</v>
      </c>
      <c r="D22" s="1881">
        <v>100000</v>
      </c>
      <c r="E22" s="1881">
        <v>100000</v>
      </c>
      <c r="F22" s="1881">
        <f>C22-D22+E22</f>
        <v>711316</v>
      </c>
      <c r="G22" s="222"/>
      <c r="Q22" s="222"/>
      <c r="R22" s="222"/>
      <c r="T22" s="1863" t="s">
        <v>83</v>
      </c>
      <c r="U22" s="50" t="s">
        <v>60</v>
      </c>
      <c r="V22" s="1877">
        <v>135970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21104.462499999994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83942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236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228</v>
      </c>
      <c r="R14" s="1886"/>
      <c r="S14" s="221"/>
      <c r="T14" s="1849" t="s">
        <v>46</v>
      </c>
      <c r="U14" s="213" t="s">
        <v>176</v>
      </c>
      <c r="V14" s="1874">
        <v>21104</v>
      </c>
      <c r="W14" s="1875"/>
      <c r="X14" s="1876"/>
    </row>
    <row r="15" spans="1:25" ht="22.5" customHeight="1" x14ac:dyDescent="0.25">
      <c r="A15" s="100" t="s">
        <v>38</v>
      </c>
      <c r="B15" s="1874">
        <v>238915</v>
      </c>
      <c r="C15" s="1876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877">
        <v>19</v>
      </c>
      <c r="R15" s="1877"/>
      <c r="S15" s="213">
        <v>0</v>
      </c>
      <c r="T15" s="1849"/>
      <c r="U15" s="213" t="s">
        <v>64</v>
      </c>
      <c r="V15" s="1877">
        <v>83942</v>
      </c>
      <c r="W15" s="1877"/>
      <c r="X15" s="1877"/>
    </row>
    <row r="16" spans="1:25" ht="24.75" customHeight="1" x14ac:dyDescent="0.25">
      <c r="A16" s="100" t="s">
        <v>39</v>
      </c>
      <c r="B16" s="1874">
        <v>135065</v>
      </c>
      <c r="C16" s="1876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177826.8775</v>
      </c>
      <c r="W16" s="1878"/>
      <c r="X16" s="1877"/>
    </row>
    <row r="17" spans="1:25" ht="28.5" customHeight="1" x14ac:dyDescent="0.25">
      <c r="A17" s="101" t="s">
        <v>44</v>
      </c>
      <c r="B17" s="1874">
        <v>51547</v>
      </c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133459</v>
      </c>
      <c r="C18" s="1876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v>500</v>
      </c>
      <c r="W18" s="1877"/>
      <c r="X18" s="1877"/>
      <c r="Y18" s="1883" t="s">
        <v>231</v>
      </c>
    </row>
    <row r="19" spans="1:25" ht="25.5" customHeight="1" x14ac:dyDescent="0.25">
      <c r="A19" s="100" t="s">
        <v>41</v>
      </c>
      <c r="B19" s="1874">
        <f>B15+B16+B17-B18</f>
        <v>292068</v>
      </c>
      <c r="C19" s="1876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19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130000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281115.45</v>
      </c>
      <c r="C20" s="1899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4579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805321.85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711316</v>
      </c>
      <c r="D22" s="1881">
        <v>130000</v>
      </c>
      <c r="E22" s="1881">
        <v>130000</v>
      </c>
      <c r="F22" s="1881">
        <f>C22-D22+E22</f>
        <v>711316</v>
      </c>
      <c r="G22" s="222"/>
      <c r="Q22" s="222"/>
      <c r="R22" s="222"/>
      <c r="T22" s="1863" t="s">
        <v>83</v>
      </c>
      <c r="U22" s="50" t="s">
        <v>60</v>
      </c>
      <c r="V22" s="1877">
        <v>177280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130000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21150.877500000002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131222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237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228</v>
      </c>
      <c r="R14" s="1886"/>
      <c r="S14" s="221"/>
      <c r="T14" s="1849" t="s">
        <v>46</v>
      </c>
      <c r="U14" s="213" t="s">
        <v>176</v>
      </c>
      <c r="V14" s="1874">
        <v>21151</v>
      </c>
      <c r="W14" s="1875"/>
      <c r="X14" s="1876"/>
    </row>
    <row r="15" spans="1:25" ht="22.5" customHeight="1" x14ac:dyDescent="0.25">
      <c r="A15" s="100" t="s">
        <v>38</v>
      </c>
      <c r="B15" s="1874">
        <v>292068</v>
      </c>
      <c r="C15" s="1876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877">
        <v>19</v>
      </c>
      <c r="R15" s="1877"/>
      <c r="S15" s="213">
        <v>0</v>
      </c>
      <c r="T15" s="1849"/>
      <c r="U15" s="213" t="s">
        <v>64</v>
      </c>
      <c r="V15" s="1877">
        <v>131222</v>
      </c>
      <c r="W15" s="1877"/>
      <c r="X15" s="1877"/>
    </row>
    <row r="16" spans="1:25" ht="24.75" customHeight="1" x14ac:dyDescent="0.25">
      <c r="A16" s="100" t="s">
        <v>39</v>
      </c>
      <c r="B16" s="1874">
        <v>155844</v>
      </c>
      <c r="C16" s="1876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227162.67249999999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158521</v>
      </c>
      <c r="C18" s="1876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877">
        <v>19</v>
      </c>
      <c r="R18" s="1877"/>
      <c r="S18" s="213"/>
      <c r="T18" s="1871" t="s">
        <v>57</v>
      </c>
      <c r="U18" s="1871"/>
      <c r="V18" s="1877">
        <f>450+49613</f>
        <v>50063</v>
      </c>
      <c r="W18" s="1877"/>
      <c r="X18" s="1877"/>
      <c r="Y18" s="1883" t="s">
        <v>238</v>
      </c>
    </row>
    <row r="19" spans="1:25" ht="25.5" customHeight="1" x14ac:dyDescent="0.25">
      <c r="A19" s="100" t="s">
        <v>41</v>
      </c>
      <c r="B19" s="1874">
        <f>B15+B16+B17-B18</f>
        <v>289391</v>
      </c>
      <c r="C19" s="1876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0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158200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278538.83750000002</v>
      </c>
      <c r="C20" s="1899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730015.63749999995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711316</v>
      </c>
      <c r="D22" s="1881">
        <v>158200</v>
      </c>
      <c r="E22" s="1881">
        <v>150000</v>
      </c>
      <c r="F22" s="1881">
        <f>C22-D22+E22</f>
        <v>703116</v>
      </c>
      <c r="G22" s="222"/>
      <c r="Q22" s="222"/>
      <c r="R22" s="222"/>
      <c r="T22" s="1863" t="s">
        <v>83</v>
      </c>
      <c r="U22" s="50" t="s">
        <v>60</v>
      </c>
      <c r="V22" s="1877">
        <v>175920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158200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22330.672499999986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148942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239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228</v>
      </c>
      <c r="R14" s="1886"/>
      <c r="S14" s="221"/>
      <c r="T14" s="1849" t="s">
        <v>46</v>
      </c>
      <c r="U14" s="213" t="s">
        <v>176</v>
      </c>
      <c r="V14" s="1874">
        <v>22331</v>
      </c>
      <c r="W14" s="1875"/>
      <c r="X14" s="1876"/>
    </row>
    <row r="15" spans="1:25" ht="22.5" customHeight="1" x14ac:dyDescent="0.25">
      <c r="A15" s="100" t="s">
        <v>38</v>
      </c>
      <c r="B15" s="1874">
        <v>289391</v>
      </c>
      <c r="C15" s="1876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877">
        <v>0</v>
      </c>
      <c r="R15" s="1877"/>
      <c r="S15" s="213">
        <v>0</v>
      </c>
      <c r="T15" s="1849"/>
      <c r="U15" s="213" t="s">
        <v>64</v>
      </c>
      <c r="V15" s="1877">
        <v>148942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189099.2825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145917</v>
      </c>
      <c r="C18" s="1876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f>500+200+190+270</f>
        <v>1160</v>
      </c>
      <c r="W18" s="1877"/>
      <c r="X18" s="1877"/>
      <c r="Y18" s="1883" t="s">
        <v>240</v>
      </c>
    </row>
    <row r="19" spans="1:25" ht="25.5" customHeight="1" x14ac:dyDescent="0.25">
      <c r="A19" s="100" t="s">
        <v>41</v>
      </c>
      <c r="B19" s="1874">
        <f>B15+B16+B17-B18</f>
        <v>143474</v>
      </c>
      <c r="C19" s="1876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0</v>
      </c>
      <c r="R19" s="1876"/>
      <c r="S19" s="213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138093.72500000001</v>
      </c>
      <c r="C20" s="1899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542787.82499999995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703116</v>
      </c>
      <c r="D22" s="1881"/>
      <c r="E22" s="1881"/>
      <c r="F22" s="1881">
        <f>C22-D22+E22</f>
        <v>703116</v>
      </c>
      <c r="G22" s="222"/>
      <c r="Q22" s="222"/>
      <c r="R22" s="22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210270.2825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148942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241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/>
      <c r="R14" s="1886"/>
      <c r="S14" s="221"/>
      <c r="T14" s="1849" t="s">
        <v>46</v>
      </c>
      <c r="U14" s="213" t="s">
        <v>176</v>
      </c>
      <c r="V14" s="1874">
        <v>210270</v>
      </c>
      <c r="W14" s="1875"/>
      <c r="X14" s="1876"/>
    </row>
    <row r="15" spans="1:25" ht="22.5" customHeight="1" x14ac:dyDescent="0.25">
      <c r="A15" s="100" t="s">
        <v>38</v>
      </c>
      <c r="B15" s="1874">
        <v>143474</v>
      </c>
      <c r="C15" s="1876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877">
        <v>0</v>
      </c>
      <c r="R15" s="1877"/>
      <c r="S15" s="213">
        <v>0</v>
      </c>
      <c r="T15" s="1849"/>
      <c r="U15" s="213" t="s">
        <v>64</v>
      </c>
      <c r="V15" s="1877">
        <v>148942</v>
      </c>
      <c r="W15" s="1877"/>
      <c r="X15" s="1877"/>
    </row>
    <row r="16" spans="1:25" ht="24.75" customHeight="1" x14ac:dyDescent="0.25">
      <c r="A16" s="100" t="s">
        <v>39</v>
      </c>
      <c r="B16" s="1874">
        <v>192207</v>
      </c>
      <c r="C16" s="1876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131323.66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211</v>
      </c>
      <c r="U17" s="1890"/>
      <c r="V17" s="1877">
        <v>150000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105976</v>
      </c>
      <c r="C18" s="1876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v>450</v>
      </c>
      <c r="W18" s="1877"/>
      <c r="X18" s="1877"/>
      <c r="Y18" s="1883" t="s">
        <v>242</v>
      </c>
    </row>
    <row r="19" spans="1:25" ht="25.5" customHeight="1" x14ac:dyDescent="0.25">
      <c r="A19" s="100" t="s">
        <v>41</v>
      </c>
      <c r="B19" s="1874">
        <f>B15+B16+B17-B18</f>
        <v>229705</v>
      </c>
      <c r="C19" s="1876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0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620510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221091.0625</v>
      </c>
      <c r="C20" s="1899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597781.5625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703116</v>
      </c>
      <c r="D22" s="1881">
        <v>620510</v>
      </c>
      <c r="E22" s="1881">
        <v>185000</v>
      </c>
      <c r="F22" s="1881">
        <f>C22-D22+E22</f>
        <v>267606</v>
      </c>
      <c r="G22" s="222"/>
      <c r="Q22" s="222"/>
      <c r="R22" s="222"/>
      <c r="T22" s="1863" t="s">
        <v>83</v>
      </c>
      <c r="U22" s="50" t="s">
        <v>60</v>
      </c>
      <c r="V22" s="1877">
        <v>332130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470510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9013.6600000000326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10562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243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/>
      <c r="R14" s="1886"/>
      <c r="S14" s="221"/>
      <c r="T14" s="1849" t="s">
        <v>46</v>
      </c>
      <c r="U14" s="213" t="s">
        <v>176</v>
      </c>
      <c r="V14" s="1874">
        <v>9014</v>
      </c>
      <c r="W14" s="1875"/>
      <c r="X14" s="1876"/>
    </row>
    <row r="15" spans="1:25" ht="22.5" customHeight="1" x14ac:dyDescent="0.25">
      <c r="A15" s="100" t="s">
        <v>38</v>
      </c>
      <c r="B15" s="1874">
        <v>229705</v>
      </c>
      <c r="C15" s="1876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877">
        <v>0</v>
      </c>
      <c r="R15" s="1877"/>
      <c r="S15" s="213">
        <v>0</v>
      </c>
      <c r="T15" s="1849"/>
      <c r="U15" s="213" t="s">
        <v>64</v>
      </c>
      <c r="V15" s="1877">
        <v>10562</v>
      </c>
      <c r="W15" s="1877"/>
      <c r="X15" s="1877"/>
    </row>
    <row r="16" spans="1:25" ht="24.75" customHeight="1" x14ac:dyDescent="0.25">
      <c r="A16" s="100" t="s">
        <v>39</v>
      </c>
      <c r="B16" s="1874">
        <v>228571</v>
      </c>
      <c r="C16" s="1876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223130.05250000002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223089</v>
      </c>
      <c r="C18" s="1876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f>800+210</f>
        <v>1010</v>
      </c>
      <c r="W18" s="1877"/>
      <c r="X18" s="1877"/>
      <c r="Y18" s="1883" t="s">
        <v>244</v>
      </c>
    </row>
    <row r="19" spans="1:25" ht="25.5" customHeight="1" x14ac:dyDescent="0.25">
      <c r="A19" s="100" t="s">
        <v>41</v>
      </c>
      <c r="B19" s="1874">
        <f>B15+B16+B17-B18</f>
        <v>235187</v>
      </c>
      <c r="C19" s="1876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0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185000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226367.48750000002</v>
      </c>
      <c r="C20" s="1899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596881.98750000005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267606</v>
      </c>
      <c r="D22" s="1881">
        <v>185000</v>
      </c>
      <c r="E22" s="1881">
        <v>220000</v>
      </c>
      <c r="F22" s="1881">
        <f>C22-D22+E22</f>
        <v>302606</v>
      </c>
      <c r="G22" s="222"/>
      <c r="Q22" s="222"/>
      <c r="R22" s="222"/>
      <c r="T22" s="1863" t="s">
        <v>83</v>
      </c>
      <c r="U22" s="50" t="s">
        <v>60</v>
      </c>
      <c r="V22" s="1877">
        <v>220160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185000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10974.05250000002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45722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245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/>
      <c r="R14" s="1886"/>
      <c r="S14" s="221"/>
      <c r="T14" s="1849" t="s">
        <v>46</v>
      </c>
      <c r="U14" s="213" t="s">
        <v>176</v>
      </c>
      <c r="V14" s="1874">
        <v>10974</v>
      </c>
      <c r="W14" s="1875"/>
      <c r="X14" s="1876"/>
    </row>
    <row r="15" spans="1:25" ht="22.5" customHeight="1" x14ac:dyDescent="0.25">
      <c r="A15" s="100" t="s">
        <v>38</v>
      </c>
      <c r="B15" s="1874">
        <v>235187</v>
      </c>
      <c r="C15" s="1876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877">
        <v>0</v>
      </c>
      <c r="R15" s="1877"/>
      <c r="S15" s="213">
        <v>0</v>
      </c>
      <c r="T15" s="1849"/>
      <c r="U15" s="213" t="s">
        <v>64</v>
      </c>
      <c r="V15" s="1877">
        <v>45722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25189.695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211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25902</v>
      </c>
      <c r="C18" s="1876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v>150</v>
      </c>
      <c r="W18" s="1877"/>
      <c r="X18" s="1877"/>
      <c r="Y18" s="1883" t="s">
        <v>246</v>
      </c>
    </row>
    <row r="19" spans="1:25" ht="25.5" customHeight="1" x14ac:dyDescent="0.25">
      <c r="A19" s="100" t="s">
        <v>41</v>
      </c>
      <c r="B19" s="1874">
        <f>B15+B16+B17-B18</f>
        <v>209285</v>
      </c>
      <c r="C19" s="1876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0</v>
      </c>
      <c r="R19" s="1876"/>
      <c r="S19" s="213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201436.8125</v>
      </c>
      <c r="C20" s="1899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571951.3125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302606</v>
      </c>
      <c r="D22" s="1881"/>
      <c r="E22" s="1881"/>
      <c r="F22" s="1881">
        <f>C22-D22+E22</f>
        <v>302606</v>
      </c>
      <c r="G22" s="222"/>
      <c r="Q22" s="222"/>
      <c r="R22" s="22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36013.695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45722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247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/>
      <c r="R14" s="1886"/>
      <c r="S14" s="221"/>
      <c r="T14" s="1849" t="s">
        <v>46</v>
      </c>
      <c r="U14" s="213" t="s">
        <v>176</v>
      </c>
      <c r="V14" s="1874">
        <v>36014</v>
      </c>
      <c r="W14" s="1875"/>
      <c r="X14" s="1876"/>
    </row>
    <row r="15" spans="1:25" ht="22.5" customHeight="1" x14ac:dyDescent="0.25">
      <c r="A15" s="100" t="s">
        <v>38</v>
      </c>
      <c r="B15" s="1874">
        <v>209285</v>
      </c>
      <c r="C15" s="1876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877">
        <v>0</v>
      </c>
      <c r="R15" s="1877"/>
      <c r="S15" s="213">
        <v>0</v>
      </c>
      <c r="T15" s="1849"/>
      <c r="U15" s="213" t="s">
        <v>64</v>
      </c>
      <c r="V15" s="1877">
        <v>45722</v>
      </c>
      <c r="W15" s="1877"/>
      <c r="X15" s="1877"/>
    </row>
    <row r="16" spans="1:25" ht="24.75" customHeight="1" x14ac:dyDescent="0.25">
      <c r="A16" s="100" t="s">
        <v>39</v>
      </c>
      <c r="B16" s="1874">
        <v>103890</v>
      </c>
      <c r="C16" s="1876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136980.36499999999</v>
      </c>
      <c r="W16" s="1878"/>
      <c r="X16" s="1877"/>
    </row>
    <row r="17" spans="1:25" ht="28.5" customHeight="1" x14ac:dyDescent="0.25">
      <c r="A17" s="101" t="s">
        <v>44</v>
      </c>
      <c r="B17" s="1874">
        <v>60215</v>
      </c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211</v>
      </c>
      <c r="U17" s="1890"/>
      <c r="V17" s="1877">
        <v>100000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139114</v>
      </c>
      <c r="C18" s="1876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f>450+700+50+400+3300</f>
        <v>4900</v>
      </c>
      <c r="W18" s="1877"/>
      <c r="X18" s="1877"/>
      <c r="Y18" s="1883" t="s">
        <v>248</v>
      </c>
    </row>
    <row r="19" spans="1:25" ht="25.5" customHeight="1" x14ac:dyDescent="0.25">
      <c r="A19" s="100" t="s">
        <v>41</v>
      </c>
      <c r="B19" s="1874">
        <f>B15+B16+B17-B18</f>
        <v>234276</v>
      </c>
      <c r="C19" s="1876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0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302600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225490.65</v>
      </c>
      <c r="C20" s="1899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868963.15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302606</v>
      </c>
      <c r="D22" s="1881">
        <v>302600</v>
      </c>
      <c r="E22" s="1881">
        <v>374644</v>
      </c>
      <c r="F22" s="1881">
        <f>C22-D22+E22</f>
        <v>374650</v>
      </c>
      <c r="G22" s="222"/>
      <c r="Q22" s="222"/>
      <c r="R22" s="222"/>
      <c r="T22" s="1863" t="s">
        <v>83</v>
      </c>
      <c r="U22" s="50" t="s">
        <v>60</v>
      </c>
      <c r="V22" s="1877">
        <v>143470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178000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24.364999999990687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11192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249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/>
      <c r="R14" s="1886"/>
      <c r="S14" s="221"/>
      <c r="T14" s="1849" t="s">
        <v>46</v>
      </c>
      <c r="U14" s="213" t="s">
        <v>176</v>
      </c>
      <c r="V14" s="1874">
        <v>24</v>
      </c>
      <c r="W14" s="1875"/>
      <c r="X14" s="1876"/>
    </row>
    <row r="15" spans="1:25" ht="22.5" customHeight="1" x14ac:dyDescent="0.25">
      <c r="A15" s="100" t="s">
        <v>38</v>
      </c>
      <c r="B15" s="1874">
        <v>234276</v>
      </c>
      <c r="C15" s="1876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877">
        <v>0</v>
      </c>
      <c r="R15" s="1877"/>
      <c r="S15" s="213">
        <v>0</v>
      </c>
      <c r="T15" s="1849"/>
      <c r="U15" s="213" t="s">
        <v>64</v>
      </c>
      <c r="V15" s="1877">
        <v>11192</v>
      </c>
      <c r="W15" s="1877"/>
      <c r="X15" s="1877"/>
    </row>
    <row r="16" spans="1:25" ht="24.75" customHeight="1" x14ac:dyDescent="0.25">
      <c r="A16" s="100" t="s">
        <v>39</v>
      </c>
      <c r="B16" s="1874">
        <v>301298</v>
      </c>
      <c r="C16" s="1876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247325.82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250</v>
      </c>
      <c r="U17" s="1890"/>
      <c r="V17" s="1877">
        <v>9000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180152</v>
      </c>
      <c r="C18" s="1876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f>500+57957</f>
        <v>58457</v>
      </c>
      <c r="W18" s="1877"/>
      <c r="X18" s="1877"/>
      <c r="Y18" s="1883" t="s">
        <v>251</v>
      </c>
    </row>
    <row r="19" spans="1:25" ht="25.5" customHeight="1" x14ac:dyDescent="0.25">
      <c r="A19" s="100" t="s">
        <v>41</v>
      </c>
      <c r="B19" s="1874">
        <f>B15+B16+B17-B18</f>
        <v>355422</v>
      </c>
      <c r="C19" s="1876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0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342093.67499999999</v>
      </c>
      <c r="C20" s="1899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913571.17500000005</v>
      </c>
      <c r="C21" s="1897"/>
      <c r="O21" s="222"/>
      <c r="P21" s="222"/>
      <c r="Q21" s="222"/>
      <c r="R21" s="222"/>
      <c r="T21" s="1889" t="s">
        <v>167</v>
      </c>
      <c r="U21" s="1890"/>
      <c r="V21" s="1874">
        <v>100000</v>
      </c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374650</v>
      </c>
      <c r="D22" s="1881">
        <v>100000</v>
      </c>
      <c r="E22" s="1881">
        <v>290000</v>
      </c>
      <c r="F22" s="1881">
        <f>C22-D22+E22</f>
        <v>564650</v>
      </c>
      <c r="G22" s="222"/>
      <c r="Q22" s="222"/>
      <c r="R22" s="222"/>
      <c r="T22" s="1863" t="s">
        <v>83</v>
      </c>
      <c r="U22" s="50" t="s">
        <v>60</v>
      </c>
      <c r="V22" s="1877">
        <v>172830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175000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62.820000000006985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9022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252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/>
      <c r="R14" s="1886"/>
      <c r="S14" s="221"/>
      <c r="T14" s="1849" t="s">
        <v>46</v>
      </c>
      <c r="U14" s="213" t="s">
        <v>176</v>
      </c>
      <c r="V14" s="1874">
        <v>63</v>
      </c>
      <c r="W14" s="1875"/>
      <c r="X14" s="1876"/>
    </row>
    <row r="15" spans="1:25" ht="22.5" customHeight="1" x14ac:dyDescent="0.25">
      <c r="A15" s="100" t="s">
        <v>38</v>
      </c>
      <c r="B15" s="1874">
        <v>355422</v>
      </c>
      <c r="C15" s="1876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877">
        <v>0</v>
      </c>
      <c r="R15" s="1877"/>
      <c r="S15" s="213">
        <v>0</v>
      </c>
      <c r="T15" s="1849"/>
      <c r="U15" s="213" t="s">
        <v>64</v>
      </c>
      <c r="V15" s="1877">
        <v>9022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401904.64250000002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250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150813</v>
      </c>
      <c r="C18" s="1876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f>500+850+1625+500+7000+1120+1624</f>
        <v>13219</v>
      </c>
      <c r="W18" s="1877"/>
      <c r="X18" s="1877"/>
      <c r="Y18" s="1883" t="s">
        <v>246</v>
      </c>
    </row>
    <row r="19" spans="1:25" ht="25.5" customHeight="1" x14ac:dyDescent="0.25">
      <c r="A19" s="100" t="s">
        <v>41</v>
      </c>
      <c r="B19" s="1874">
        <f>B15+B16+B17-B18</f>
        <v>204609</v>
      </c>
      <c r="C19" s="1876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0</v>
      </c>
      <c r="R19" s="1876"/>
      <c r="S19" s="213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196936.16250000001</v>
      </c>
      <c r="C20" s="1899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515775.76250000001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564650</v>
      </c>
      <c r="D22" s="1881"/>
      <c r="E22" s="1881"/>
      <c r="F22" s="1881">
        <f>C22-D22+E22</f>
        <v>564650</v>
      </c>
      <c r="G22" s="222"/>
      <c r="Q22" s="222"/>
      <c r="R22" s="22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388748.64250000002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9022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253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/>
      <c r="R14" s="1886"/>
      <c r="S14" s="221"/>
      <c r="T14" s="1849" t="s">
        <v>46</v>
      </c>
      <c r="U14" s="213" t="s">
        <v>176</v>
      </c>
      <c r="V14" s="1874">
        <v>388749</v>
      </c>
      <c r="W14" s="1875"/>
      <c r="X14" s="1876"/>
    </row>
    <row r="15" spans="1:25" ht="22.5" customHeight="1" x14ac:dyDescent="0.25">
      <c r="A15" s="100" t="s">
        <v>38</v>
      </c>
      <c r="B15" s="1874">
        <v>204609</v>
      </c>
      <c r="C15" s="1876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877">
        <v>0</v>
      </c>
      <c r="R15" s="1877"/>
      <c r="S15" s="213">
        <v>0</v>
      </c>
      <c r="T15" s="1849"/>
      <c r="U15" s="213" t="s">
        <v>64</v>
      </c>
      <c r="V15" s="1877">
        <v>9022</v>
      </c>
      <c r="W15" s="1877"/>
      <c r="X15" s="1877"/>
    </row>
    <row r="16" spans="1:25" ht="24.75" customHeight="1" x14ac:dyDescent="0.25">
      <c r="A16" s="100" t="s">
        <v>39</v>
      </c>
      <c r="B16" s="1874">
        <v>20779</v>
      </c>
      <c r="C16" s="1876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203833.29499999998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250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196462</v>
      </c>
      <c r="C18" s="1876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f>450+366</f>
        <v>816</v>
      </c>
      <c r="W18" s="1877"/>
      <c r="X18" s="1877"/>
      <c r="Y18" s="1883" t="s">
        <v>254</v>
      </c>
    </row>
    <row r="19" spans="1:25" ht="25.5" customHeight="1" x14ac:dyDescent="0.25">
      <c r="A19" s="100" t="s">
        <v>41</v>
      </c>
      <c r="B19" s="1874">
        <f>B15+B16+B17-B18</f>
        <v>28926</v>
      </c>
      <c r="C19" s="1876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0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564650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27841.275000000001</v>
      </c>
      <c r="C20" s="1899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0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334032.27500000002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564650</v>
      </c>
      <c r="D22" s="1881">
        <v>564650</v>
      </c>
      <c r="E22" s="1881">
        <v>20000</v>
      </c>
      <c r="F22" s="1881">
        <f>C22-D22+E22</f>
        <v>20000</v>
      </c>
      <c r="G22" s="222"/>
      <c r="Q22" s="222"/>
      <c r="R22" s="222"/>
      <c r="T22" s="1863" t="s">
        <v>83</v>
      </c>
      <c r="U22" s="50" t="s">
        <v>60</v>
      </c>
      <c r="V22" s="1877">
        <v>588650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564650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3116.2949999999255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33022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255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256</v>
      </c>
      <c r="R14" s="1886"/>
      <c r="S14" s="221"/>
      <c r="T14" s="1849" t="s">
        <v>46</v>
      </c>
      <c r="U14" s="213" t="s">
        <v>176</v>
      </c>
      <c r="V14" s="1874">
        <v>3116</v>
      </c>
      <c r="W14" s="1875"/>
      <c r="X14" s="1876"/>
    </row>
    <row r="15" spans="1:25" ht="22.5" customHeight="1" x14ac:dyDescent="0.25">
      <c r="A15" s="100" t="s">
        <v>38</v>
      </c>
      <c r="B15" s="1874">
        <v>28926</v>
      </c>
      <c r="C15" s="1876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877">
        <v>673</v>
      </c>
      <c r="R15" s="1877"/>
      <c r="S15" s="213">
        <v>0</v>
      </c>
      <c r="T15" s="1849"/>
      <c r="U15" s="213" t="s">
        <v>64</v>
      </c>
      <c r="V15" s="1877">
        <v>33022</v>
      </c>
      <c r="W15" s="1877"/>
      <c r="X15" s="1877"/>
    </row>
    <row r="16" spans="1:25" ht="24.75" customHeight="1" x14ac:dyDescent="0.25">
      <c r="A16" s="100" t="s">
        <v>39</v>
      </c>
      <c r="B16" s="1874">
        <v>389818</v>
      </c>
      <c r="C16" s="1876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103788.13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250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73268</v>
      </c>
      <c r="C18" s="1876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>
        <v>135</v>
      </c>
      <c r="R18" s="1877"/>
      <c r="S18" s="213"/>
      <c r="T18" s="1871" t="s">
        <v>57</v>
      </c>
      <c r="U18" s="1871"/>
      <c r="V18" s="1877">
        <f>500+3742+16000</f>
        <v>20242</v>
      </c>
      <c r="W18" s="1877"/>
      <c r="X18" s="1877"/>
      <c r="Y18" s="1883" t="s">
        <v>257</v>
      </c>
    </row>
    <row r="19" spans="1:25" ht="25.5" customHeight="1" x14ac:dyDescent="0.25">
      <c r="A19" s="100" t="s">
        <v>41</v>
      </c>
      <c r="B19" s="1874">
        <f>B15+B16+B17-B18</f>
        <v>345476</v>
      </c>
      <c r="C19" s="1876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874">
        <f t="shared" ref="Q19" si="14">Q15+Q16+Q17-Q18</f>
        <v>538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20000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332520.65000000002</v>
      </c>
      <c r="C20" s="1899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898">
        <f>241*Q19</f>
        <v>129658</v>
      </c>
      <c r="R20" s="1899"/>
      <c r="S20" s="211">
        <f>241*S19</f>
        <v>0</v>
      </c>
      <c r="T20" s="1870"/>
      <c r="U20" s="49" t="s">
        <v>59</v>
      </c>
      <c r="V20" s="1877">
        <v>8435</v>
      </c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1258911.6499999999</v>
      </c>
      <c r="C21" s="1897"/>
      <c r="O21" s="222"/>
      <c r="P21" s="222"/>
      <c r="Q21" s="222"/>
      <c r="R21" s="222"/>
      <c r="T21" s="1889" t="s">
        <v>167</v>
      </c>
      <c r="U21" s="1890"/>
      <c r="V21" s="1874">
        <v>70000</v>
      </c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20000</v>
      </c>
      <c r="D22" s="1881">
        <v>20000</v>
      </c>
      <c r="E22" s="1881">
        <v>1018637</v>
      </c>
      <c r="F22" s="1881">
        <f>C22-D22+E22</f>
        <v>1018637</v>
      </c>
      <c r="G22" s="222"/>
      <c r="Q22" s="222"/>
      <c r="R22" s="222"/>
      <c r="T22" s="1863" t="s">
        <v>83</v>
      </c>
      <c r="U22" s="50" t="s">
        <v>60</v>
      </c>
      <c r="V22" s="1877">
        <v>71460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90000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6767.1300000000047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14482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258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256</v>
      </c>
      <c r="R14" s="1886"/>
      <c r="S14" s="221"/>
      <c r="T14" s="1849" t="s">
        <v>46</v>
      </c>
      <c r="U14" s="213" t="s">
        <v>176</v>
      </c>
      <c r="V14" s="1874">
        <v>6767</v>
      </c>
      <c r="W14" s="1875"/>
      <c r="X14" s="1876"/>
    </row>
    <row r="15" spans="1:25" ht="22.5" customHeight="1" x14ac:dyDescent="0.25">
      <c r="A15" s="100" t="s">
        <v>38</v>
      </c>
      <c r="B15" s="1874">
        <v>345476</v>
      </c>
      <c r="C15" s="1876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877">
        <v>538</v>
      </c>
      <c r="R15" s="1877"/>
      <c r="S15" s="213">
        <v>0</v>
      </c>
      <c r="T15" s="1849"/>
      <c r="U15" s="213" t="s">
        <v>64</v>
      </c>
      <c r="V15" s="1877">
        <v>14482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214915.75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250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69500</v>
      </c>
      <c r="C18" s="1876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877"/>
      <c r="R18" s="1877"/>
      <c r="S18" s="213"/>
      <c r="T18" s="1871" t="s">
        <v>57</v>
      </c>
      <c r="U18" s="1871"/>
      <c r="V18" s="1877">
        <f>450+250</f>
        <v>700</v>
      </c>
      <c r="W18" s="1877"/>
      <c r="X18" s="1877"/>
      <c r="Y18" s="1883" t="s">
        <v>259</v>
      </c>
    </row>
    <row r="19" spans="1:25" ht="25.5" customHeight="1" x14ac:dyDescent="0.25">
      <c r="A19" s="100" t="s">
        <v>41</v>
      </c>
      <c r="B19" s="1874">
        <f>B15+B16+B17-B18</f>
        <v>275976</v>
      </c>
      <c r="C19" s="1876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874">
        <f t="shared" ref="Q19" si="14">Q15+Q16+Q17-Q18</f>
        <v>538</v>
      </c>
      <c r="R19" s="1876"/>
      <c r="S19" s="213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265626.90000000002</v>
      </c>
      <c r="C20" s="1899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129658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1046201.2</v>
      </c>
      <c r="C21" s="1897"/>
      <c r="O21" s="222"/>
      <c r="P21" s="222"/>
      <c r="Q21" s="222"/>
      <c r="R21" s="222"/>
      <c r="T21" s="1889" t="s">
        <v>167</v>
      </c>
      <c r="U21" s="1890"/>
      <c r="V21" s="1874">
        <v>80000</v>
      </c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1018637</v>
      </c>
      <c r="D22" s="1881"/>
      <c r="E22" s="1881"/>
      <c r="F22" s="1881">
        <f>C22-D22+E22</f>
        <v>1018637</v>
      </c>
      <c r="G22" s="222"/>
      <c r="Q22" s="222"/>
      <c r="R22" s="222"/>
      <c r="T22" s="1863" t="s">
        <v>83</v>
      </c>
      <c r="U22" s="50" t="s">
        <v>60</v>
      </c>
      <c r="V22" s="1877">
        <v>205470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80000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15512.75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139952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260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256</v>
      </c>
      <c r="R14" s="1886"/>
      <c r="S14" s="221"/>
      <c r="T14" s="1849" t="s">
        <v>46</v>
      </c>
      <c r="U14" s="213" t="s">
        <v>176</v>
      </c>
      <c r="V14" s="1874">
        <v>15513</v>
      </c>
      <c r="W14" s="1875"/>
      <c r="X14" s="1876"/>
    </row>
    <row r="15" spans="1:25" ht="22.5" customHeight="1" x14ac:dyDescent="0.25">
      <c r="A15" s="100" t="s">
        <v>38</v>
      </c>
      <c r="B15" s="1874">
        <v>275976</v>
      </c>
      <c r="C15" s="1876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877">
        <v>538</v>
      </c>
      <c r="R15" s="1877"/>
      <c r="S15" s="213">
        <v>0</v>
      </c>
      <c r="T15" s="1849"/>
      <c r="U15" s="213" t="s">
        <v>64</v>
      </c>
      <c r="V15" s="1877">
        <v>139952</v>
      </c>
      <c r="W15" s="1877"/>
      <c r="X15" s="1877"/>
    </row>
    <row r="16" spans="1:25" ht="24.75" customHeight="1" x14ac:dyDescent="0.25">
      <c r="A16" s="100" t="s">
        <v>39</v>
      </c>
      <c r="B16" s="1874">
        <v>72727</v>
      </c>
      <c r="C16" s="1876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233442.84</v>
      </c>
      <c r="W16" s="1878"/>
      <c r="X16" s="1877"/>
    </row>
    <row r="17" spans="1:25" ht="28.5" customHeight="1" x14ac:dyDescent="0.25">
      <c r="A17" s="101" t="s">
        <v>44</v>
      </c>
      <c r="B17" s="1874">
        <v>26459</v>
      </c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250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118224</v>
      </c>
      <c r="C18" s="1876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>
        <v>86</v>
      </c>
      <c r="R18" s="1877"/>
      <c r="S18" s="213"/>
      <c r="T18" s="1871" t="s">
        <v>57</v>
      </c>
      <c r="U18" s="1871"/>
      <c r="V18" s="1877">
        <f>500+60+25467</f>
        <v>26027</v>
      </c>
      <c r="W18" s="1877"/>
      <c r="X18" s="1877"/>
      <c r="Y18" s="1883" t="s">
        <v>261</v>
      </c>
    </row>
    <row r="19" spans="1:25" ht="25.5" customHeight="1" x14ac:dyDescent="0.25">
      <c r="A19" s="100" t="s">
        <v>41</v>
      </c>
      <c r="B19" s="1874">
        <f>B15+B16+B17-B18</f>
        <v>256938</v>
      </c>
      <c r="C19" s="1876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874">
        <f t="shared" ref="Q19" si="14">Q15+Q16+Q17-Q18</f>
        <v>452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323000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247302.82500000001</v>
      </c>
      <c r="C20" s="1899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108932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910343.22499999998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1018637</v>
      </c>
      <c r="D22" s="1881">
        <v>323000</v>
      </c>
      <c r="E22" s="1881">
        <v>70000</v>
      </c>
      <c r="F22" s="1881">
        <f>C22-D22+E22</f>
        <v>765637</v>
      </c>
      <c r="G22" s="222"/>
      <c r="Q22" s="222"/>
      <c r="R22" s="222"/>
      <c r="T22" s="1863" t="s">
        <v>83</v>
      </c>
      <c r="U22" s="50" t="s">
        <v>60</v>
      </c>
      <c r="V22" s="1877">
        <v>192230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323000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30698.839999999967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9182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262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256</v>
      </c>
      <c r="R14" s="1886"/>
      <c r="S14" s="221"/>
      <c r="T14" s="1849" t="s">
        <v>46</v>
      </c>
      <c r="U14" s="213" t="s">
        <v>176</v>
      </c>
      <c r="V14" s="1874">
        <v>30699</v>
      </c>
      <c r="W14" s="1875"/>
      <c r="X14" s="1876"/>
    </row>
    <row r="15" spans="1:25" ht="22.5" customHeight="1" x14ac:dyDescent="0.25">
      <c r="A15" s="100" t="s">
        <v>38</v>
      </c>
      <c r="B15" s="1874">
        <v>256938</v>
      </c>
      <c r="C15" s="1876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877">
        <v>452</v>
      </c>
      <c r="R15" s="1877"/>
      <c r="S15" s="213">
        <v>0</v>
      </c>
      <c r="T15" s="1849"/>
      <c r="U15" s="213" t="s">
        <v>64</v>
      </c>
      <c r="V15" s="1877">
        <v>9182</v>
      </c>
      <c r="W15" s="1877"/>
      <c r="X15" s="1877"/>
    </row>
    <row r="16" spans="1:25" ht="24.75" customHeight="1" x14ac:dyDescent="0.25">
      <c r="A16" s="100" t="s">
        <v>39</v>
      </c>
      <c r="B16" s="1874">
        <v>415584</v>
      </c>
      <c r="C16" s="1876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261181.48250000001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250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158237</v>
      </c>
      <c r="C18" s="1876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f>450+80+1260</f>
        <v>1790</v>
      </c>
      <c r="W18" s="1877"/>
      <c r="X18" s="1877"/>
      <c r="Y18" s="1883" t="s">
        <v>263</v>
      </c>
    </row>
    <row r="19" spans="1:25" ht="25.5" customHeight="1" x14ac:dyDescent="0.25">
      <c r="A19" s="100" t="s">
        <v>41</v>
      </c>
      <c r="B19" s="1874">
        <f>B15+B16+B17-B18</f>
        <v>514285</v>
      </c>
      <c r="C19" s="1876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874">
        <f t="shared" ref="Q19" si="14">Q15+Q16+Q17-Q18</f>
        <v>452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62000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494999.3125</v>
      </c>
      <c r="C20" s="1899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108932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1262180.8125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765637</v>
      </c>
      <c r="D22" s="1881">
        <v>62000</v>
      </c>
      <c r="E22" s="1881">
        <v>610072</v>
      </c>
      <c r="F22" s="1881">
        <f>C22-D22+E22</f>
        <v>1313709</v>
      </c>
      <c r="G22" s="222"/>
      <c r="Q22" s="222"/>
      <c r="R22" s="222"/>
      <c r="T22" s="1863" t="s">
        <v>83</v>
      </c>
      <c r="U22" s="50" t="s">
        <v>60</v>
      </c>
      <c r="V22" s="1877">
        <v>62050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62000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228040.48250000004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9232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264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256</v>
      </c>
      <c r="R14" s="1886"/>
      <c r="S14" s="221"/>
      <c r="T14" s="1849" t="s">
        <v>46</v>
      </c>
      <c r="U14" s="213" t="s">
        <v>176</v>
      </c>
      <c r="V14" s="1874">
        <v>228040</v>
      </c>
      <c r="W14" s="1875"/>
      <c r="X14" s="1876"/>
    </row>
    <row r="15" spans="1:25" ht="22.5" customHeight="1" x14ac:dyDescent="0.25">
      <c r="A15" s="100" t="s">
        <v>38</v>
      </c>
      <c r="B15" s="1874">
        <v>514285</v>
      </c>
      <c r="C15" s="1876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877">
        <v>452</v>
      </c>
      <c r="R15" s="1877"/>
      <c r="S15" s="213">
        <v>0</v>
      </c>
      <c r="T15" s="1849"/>
      <c r="U15" s="213" t="s">
        <v>64</v>
      </c>
      <c r="V15" s="1877">
        <v>9232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190059.13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250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112468</v>
      </c>
      <c r="C18" s="1876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/>
      <c r="R18" s="1877"/>
      <c r="S18" s="213"/>
      <c r="T18" s="1871" t="s">
        <v>57</v>
      </c>
      <c r="U18" s="1871"/>
      <c r="V18" s="1877">
        <f>520+4000+50000+1071</f>
        <v>55591</v>
      </c>
      <c r="W18" s="1877"/>
      <c r="X18" s="1877"/>
      <c r="Y18" s="1883" t="s">
        <v>265</v>
      </c>
    </row>
    <row r="19" spans="1:25" ht="25.5" customHeight="1" x14ac:dyDescent="0.25">
      <c r="A19" s="100" t="s">
        <v>41</v>
      </c>
      <c r="B19" s="1874">
        <f>B15+B16+B17-B18</f>
        <v>401817</v>
      </c>
      <c r="C19" s="1876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874">
        <f t="shared" ref="Q19" si="14">Q15+Q16+Q17-Q18</f>
        <v>452</v>
      </c>
      <c r="R19" s="1876"/>
      <c r="S19" s="213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386748.86249999999</v>
      </c>
      <c r="C20" s="1899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108932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1074073.7625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1313709</v>
      </c>
      <c r="D22" s="1881"/>
      <c r="E22" s="1881"/>
      <c r="F22" s="1881">
        <f>C22-D22+E22</f>
        <v>1313709</v>
      </c>
      <c r="G22" s="222"/>
      <c r="Q22" s="222"/>
      <c r="R22" s="22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362508.13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9232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266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256</v>
      </c>
      <c r="R14" s="1886"/>
      <c r="S14" s="221"/>
      <c r="T14" s="1849" t="s">
        <v>46</v>
      </c>
      <c r="U14" s="213" t="s">
        <v>176</v>
      </c>
      <c r="V14" s="1874">
        <v>362508</v>
      </c>
      <c r="W14" s="1875"/>
      <c r="X14" s="1876"/>
    </row>
    <row r="15" spans="1:25" ht="22.5" customHeight="1" x14ac:dyDescent="0.25">
      <c r="A15" s="100" t="s">
        <v>38</v>
      </c>
      <c r="B15" s="1874">
        <v>401817</v>
      </c>
      <c r="C15" s="1876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877">
        <v>452</v>
      </c>
      <c r="R15" s="1877"/>
      <c r="S15" s="213">
        <v>0</v>
      </c>
      <c r="T15" s="1849"/>
      <c r="U15" s="213" t="s">
        <v>64</v>
      </c>
      <c r="V15" s="1877">
        <v>9232</v>
      </c>
      <c r="W15" s="1877"/>
      <c r="X15" s="1877"/>
    </row>
    <row r="16" spans="1:25" ht="24.75" customHeight="1" x14ac:dyDescent="0.25">
      <c r="A16" s="100" t="s">
        <v>39</v>
      </c>
      <c r="B16" s="1874">
        <v>831168</v>
      </c>
      <c r="C16" s="1876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224515.19750000001</v>
      </c>
      <c r="W16" s="1878"/>
      <c r="X16" s="1877"/>
    </row>
    <row r="17" spans="1:25" ht="28.5" customHeight="1" x14ac:dyDescent="0.25">
      <c r="A17" s="101" t="s">
        <v>44</v>
      </c>
      <c r="B17" s="1874">
        <v>28608</v>
      </c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267</v>
      </c>
      <c r="U17" s="1890"/>
      <c r="V17" s="1877">
        <v>8000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127011</v>
      </c>
      <c r="C18" s="1876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>
        <v>14</v>
      </c>
      <c r="R18" s="1877"/>
      <c r="S18" s="213"/>
      <c r="T18" s="1871" t="s">
        <v>57</v>
      </c>
      <c r="U18" s="1871"/>
      <c r="V18" s="1877">
        <f>470+2270+794+27535</f>
        <v>31069</v>
      </c>
      <c r="W18" s="1877"/>
      <c r="X18" s="1877"/>
      <c r="Y18" s="1883" t="s">
        <v>268</v>
      </c>
    </row>
    <row r="19" spans="1:25" ht="25.5" customHeight="1" x14ac:dyDescent="0.25">
      <c r="A19" s="100" t="s">
        <v>41</v>
      </c>
      <c r="B19" s="1874">
        <f>B15+B16+B17-B18</f>
        <v>1134582</v>
      </c>
      <c r="C19" s="1876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874">
        <f t="shared" ref="Q19" si="14">Q15+Q16+Q17-Q18</f>
        <v>438</v>
      </c>
      <c r="R19" s="1876"/>
      <c r="S19" s="213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1092035.175</v>
      </c>
      <c r="C20" s="1899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105558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1679052.7750000001</v>
      </c>
      <c r="C21" s="1897"/>
      <c r="O21" s="222"/>
      <c r="P21" s="222"/>
      <c r="Q21" s="222"/>
      <c r="R21" s="222"/>
      <c r="T21" s="1889" t="s">
        <v>167</v>
      </c>
      <c r="U21" s="1890"/>
      <c r="V21" s="1874">
        <v>8000</v>
      </c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1313709</v>
      </c>
      <c r="D22" s="1881"/>
      <c r="E22" s="1881">
        <v>800000</v>
      </c>
      <c r="F22" s="1881">
        <f>C22-D22+E22</f>
        <v>2113709</v>
      </c>
      <c r="G22" s="222"/>
      <c r="Q22" s="222"/>
      <c r="R22" s="22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555954.19750000001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9232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842" t="s">
        <v>271</v>
      </c>
      <c r="U3" s="1842"/>
      <c r="V3" s="1842"/>
      <c r="W3" s="1842"/>
      <c r="X3" s="1842"/>
      <c r="Y3" s="1842"/>
    </row>
    <row r="4" spans="1:25" s="2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12" customFormat="1" ht="25.5" customHeight="1" x14ac:dyDescent="0.25">
      <c r="A5" s="1843"/>
      <c r="B5" s="1843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886" t="s">
        <v>256</v>
      </c>
      <c r="R14" s="1886"/>
      <c r="S14" s="221"/>
      <c r="T14" s="1849" t="s">
        <v>46</v>
      </c>
      <c r="U14" s="213" t="s">
        <v>176</v>
      </c>
      <c r="V14" s="1874">
        <v>555954</v>
      </c>
      <c r="W14" s="1875"/>
      <c r="X14" s="1876"/>
    </row>
    <row r="15" spans="1:25" ht="22.5" customHeight="1" x14ac:dyDescent="0.25">
      <c r="A15" s="100" t="s">
        <v>38</v>
      </c>
      <c r="B15" s="1874">
        <v>1134582</v>
      </c>
      <c r="C15" s="1876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877">
        <v>438</v>
      </c>
      <c r="R15" s="1877"/>
      <c r="S15" s="213">
        <v>0</v>
      </c>
      <c r="T15" s="1849"/>
      <c r="U15" s="213" t="s">
        <v>64</v>
      </c>
      <c r="V15" s="1877">
        <v>9232</v>
      </c>
      <c r="W15" s="1877"/>
      <c r="X15" s="1877"/>
    </row>
    <row r="16" spans="1:25" ht="24.75" customHeight="1" x14ac:dyDescent="0.25">
      <c r="A16" s="100" t="s">
        <v>39</v>
      </c>
      <c r="B16" s="1874">
        <v>363636</v>
      </c>
      <c r="C16" s="1876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855"/>
      <c r="R16" s="1855"/>
      <c r="S16" s="218"/>
      <c r="T16" s="1871" t="s">
        <v>55</v>
      </c>
      <c r="U16" s="1871"/>
      <c r="V16" s="1878">
        <f>Y12</f>
        <v>798243.58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855"/>
      <c r="R17" s="1855"/>
      <c r="S17" s="215"/>
      <c r="T17" s="1889" t="s">
        <v>267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731688</v>
      </c>
      <c r="C18" s="1876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877">
        <v>33</v>
      </c>
      <c r="R18" s="1877"/>
      <c r="S18" s="213"/>
      <c r="T18" s="1871" t="s">
        <v>57</v>
      </c>
      <c r="U18" s="1871"/>
      <c r="V18" s="1877">
        <f>770+823+5229</f>
        <v>6822</v>
      </c>
      <c r="W18" s="1877"/>
      <c r="X18" s="1877"/>
      <c r="Y18" s="1883" t="s">
        <v>269</v>
      </c>
    </row>
    <row r="19" spans="1:25" ht="25.5" customHeight="1" x14ac:dyDescent="0.25">
      <c r="A19" s="100" t="s">
        <v>41</v>
      </c>
      <c r="B19" s="1874">
        <f>B15+B16+B17-B18</f>
        <v>766530</v>
      </c>
      <c r="C19" s="1876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874">
        <f t="shared" ref="Q19" si="14">Q15+Q16+Q17-Q18</f>
        <v>405</v>
      </c>
      <c r="R19" s="1876"/>
      <c r="S19" s="213">
        <f>S15+S16-S17-S18</f>
        <v>0</v>
      </c>
      <c r="T19" s="1869" t="s">
        <v>48</v>
      </c>
      <c r="U19" s="49" t="s">
        <v>58</v>
      </c>
      <c r="V19" s="1877">
        <v>1145000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737785.125</v>
      </c>
      <c r="C20" s="1899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97605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1238729.925</v>
      </c>
      <c r="C21" s="1897"/>
      <c r="O21" s="222"/>
      <c r="P21" s="222"/>
      <c r="Q21" s="222"/>
      <c r="R21" s="222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2113709</v>
      </c>
      <c r="D22" s="1881">
        <v>1145000</v>
      </c>
      <c r="E22" s="1881">
        <v>350000</v>
      </c>
      <c r="F22" s="1881">
        <f>C22-D22+E22</f>
        <v>1318709</v>
      </c>
      <c r="G22" s="222"/>
      <c r="Q22" s="222"/>
      <c r="R22" s="222"/>
      <c r="T22" s="1863" t="s">
        <v>83</v>
      </c>
      <c r="U22" s="50" t="s">
        <v>60</v>
      </c>
      <c r="V22" s="1877">
        <v>1014430</v>
      </c>
      <c r="W22" s="1877"/>
      <c r="X22" s="1877"/>
      <c r="Y22" s="1883"/>
    </row>
    <row r="23" spans="1:25" ht="39.75" customHeight="1" x14ac:dyDescent="0.25">
      <c r="A23" s="222"/>
      <c r="B23" s="1892"/>
      <c r="C23" s="1882"/>
      <c r="D23" s="1882"/>
      <c r="E23" s="1882"/>
      <c r="F23" s="1882"/>
      <c r="G23" s="222"/>
      <c r="Q23" s="222"/>
      <c r="R23" s="222"/>
      <c r="T23" s="1864"/>
      <c r="U23" s="50" t="s">
        <v>61</v>
      </c>
      <c r="V23" s="1877">
        <v>1013000</v>
      </c>
      <c r="W23" s="1877"/>
      <c r="X23" s="1877"/>
      <c r="Y23" s="1883"/>
    </row>
    <row r="24" spans="1:25" ht="48" customHeight="1" x14ac:dyDescent="0.25">
      <c r="A24" s="222"/>
      <c r="B24" s="1893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849" t="s">
        <v>47</v>
      </c>
      <c r="U24" s="51" t="s">
        <v>62</v>
      </c>
      <c r="V24" s="1879">
        <f>V14+V16+V17-V18-V19-V20-V22+V23-V21</f>
        <v>200945.58000000007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10662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22"/>
      <c r="J33" s="2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842" t="s">
        <v>270</v>
      </c>
      <c r="U3" s="1842"/>
      <c r="V3" s="1842"/>
      <c r="W3" s="1842"/>
      <c r="X3" s="1842"/>
      <c r="Y3" s="1842"/>
    </row>
    <row r="4" spans="1:25" s="22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23" customFormat="1" ht="25.5" customHeight="1" x14ac:dyDescent="0.25">
      <c r="A5" s="1843"/>
      <c r="B5" s="1843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886" t="s">
        <v>256</v>
      </c>
      <c r="R14" s="1886"/>
      <c r="S14" s="232"/>
      <c r="T14" s="1849" t="s">
        <v>46</v>
      </c>
      <c r="U14" s="224" t="s">
        <v>176</v>
      </c>
      <c r="V14" s="1874">
        <v>200946</v>
      </c>
      <c r="W14" s="1875"/>
      <c r="X14" s="1876"/>
    </row>
    <row r="15" spans="1:25" ht="22.5" customHeight="1" x14ac:dyDescent="0.25">
      <c r="A15" s="100" t="s">
        <v>38</v>
      </c>
      <c r="B15" s="1874">
        <v>766530</v>
      </c>
      <c r="C15" s="1876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877">
        <v>405</v>
      </c>
      <c r="R15" s="1877"/>
      <c r="S15" s="224">
        <v>0</v>
      </c>
      <c r="T15" s="1849"/>
      <c r="U15" s="224" t="s">
        <v>64</v>
      </c>
      <c r="V15" s="1877">
        <v>10662</v>
      </c>
      <c r="W15" s="1877"/>
      <c r="X15" s="1877"/>
    </row>
    <row r="16" spans="1:25" ht="24.75" customHeight="1" x14ac:dyDescent="0.25">
      <c r="A16" s="100" t="s">
        <v>39</v>
      </c>
      <c r="B16" s="1874">
        <v>155844</v>
      </c>
      <c r="C16" s="1876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855"/>
      <c r="R16" s="1855"/>
      <c r="S16" s="229"/>
      <c r="T16" s="1871" t="s">
        <v>55</v>
      </c>
      <c r="U16" s="1871"/>
      <c r="V16" s="1878">
        <f>Y12</f>
        <v>809312.93</v>
      </c>
      <c r="W16" s="1878"/>
      <c r="X16" s="1877"/>
    </row>
    <row r="17" spans="1:25" ht="28.5" customHeight="1" x14ac:dyDescent="0.25">
      <c r="A17" s="101" t="s">
        <v>44</v>
      </c>
      <c r="B17" s="1874">
        <v>162231</v>
      </c>
      <c r="C17" s="1876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855"/>
      <c r="R17" s="1855"/>
      <c r="S17" s="226"/>
      <c r="T17" s="1889" t="s">
        <v>267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790148</v>
      </c>
      <c r="C18" s="1876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877"/>
      <c r="R18" s="1877"/>
      <c r="S18" s="224"/>
      <c r="T18" s="1871" t="s">
        <v>57</v>
      </c>
      <c r="U18" s="1871"/>
      <c r="V18" s="1877">
        <f>920+6103</f>
        <v>7023</v>
      </c>
      <c r="W18" s="1877"/>
      <c r="X18" s="1877"/>
      <c r="Y18" s="1883" t="s">
        <v>272</v>
      </c>
    </row>
    <row r="19" spans="1:25" ht="25.5" customHeight="1" x14ac:dyDescent="0.25">
      <c r="A19" s="100" t="s">
        <v>41</v>
      </c>
      <c r="B19" s="1874">
        <f>B15+B16+B17-B18</f>
        <v>294457</v>
      </c>
      <c r="C19" s="1876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874">
        <f t="shared" ref="Q19" si="14">Q15+Q16+Q17-Q18</f>
        <v>405</v>
      </c>
      <c r="R19" s="1876"/>
      <c r="S19" s="224">
        <f>S15+S16-S17-S18</f>
        <v>0</v>
      </c>
      <c r="T19" s="1869" t="s">
        <v>48</v>
      </c>
      <c r="U19" s="49" t="s">
        <v>58</v>
      </c>
      <c r="V19" s="1877">
        <v>563000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283414.86249999999</v>
      </c>
      <c r="C20" s="1899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97605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743660.86250000005</v>
      </c>
      <c r="C21" s="1897"/>
      <c r="O21" s="233"/>
      <c r="P21" s="233"/>
      <c r="Q21" s="233"/>
      <c r="R21" s="233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1318709</v>
      </c>
      <c r="D22" s="1881">
        <v>563000</v>
      </c>
      <c r="E22" s="1881">
        <v>150000</v>
      </c>
      <c r="F22" s="1881">
        <f>C22-D22+E22</f>
        <v>905709</v>
      </c>
      <c r="G22" s="233"/>
      <c r="Q22" s="233"/>
      <c r="R22" s="233"/>
      <c r="T22" s="1863" t="s">
        <v>83</v>
      </c>
      <c r="U22" s="50" t="s">
        <v>60</v>
      </c>
      <c r="V22" s="1877">
        <v>371050</v>
      </c>
      <c r="W22" s="1877"/>
      <c r="X22" s="1877"/>
      <c r="Y22" s="1883"/>
    </row>
    <row r="23" spans="1:25" ht="39.75" customHeight="1" x14ac:dyDescent="0.25">
      <c r="A23" s="233"/>
      <c r="B23" s="1892"/>
      <c r="C23" s="1882"/>
      <c r="D23" s="1882"/>
      <c r="E23" s="1882"/>
      <c r="F23" s="1882"/>
      <c r="G23" s="233"/>
      <c r="Q23" s="233"/>
      <c r="R23" s="233"/>
      <c r="T23" s="1864"/>
      <c r="U23" s="50" t="s">
        <v>61</v>
      </c>
      <c r="V23" s="1877">
        <v>371000</v>
      </c>
      <c r="W23" s="1877"/>
      <c r="X23" s="1877"/>
      <c r="Y23" s="1883"/>
    </row>
    <row r="24" spans="1:25" ht="48" customHeight="1" x14ac:dyDescent="0.25">
      <c r="A24" s="233"/>
      <c r="B24" s="1893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849" t="s">
        <v>47</v>
      </c>
      <c r="U24" s="51" t="s">
        <v>62</v>
      </c>
      <c r="V24" s="1879">
        <f>V14+V16+V17-V18-V19-V20-V22+V23-V21</f>
        <v>440185.93000000005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10712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33"/>
      <c r="J33" s="23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842" t="s">
        <v>273</v>
      </c>
      <c r="U3" s="1842"/>
      <c r="V3" s="1842"/>
      <c r="W3" s="1842"/>
      <c r="X3" s="1842"/>
      <c r="Y3" s="1842"/>
    </row>
    <row r="4" spans="1:25" s="23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39" customFormat="1" ht="25.5" customHeight="1" x14ac:dyDescent="0.25">
      <c r="A5" s="1843"/>
      <c r="B5" s="1843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886" t="s">
        <v>256</v>
      </c>
      <c r="R14" s="1886"/>
      <c r="S14" s="243"/>
      <c r="T14" s="1849" t="s">
        <v>46</v>
      </c>
      <c r="U14" s="237" t="s">
        <v>176</v>
      </c>
      <c r="V14" s="1874">
        <v>440186</v>
      </c>
      <c r="W14" s="1875"/>
      <c r="X14" s="1876"/>
    </row>
    <row r="15" spans="1:25" ht="22.5" customHeight="1" x14ac:dyDescent="0.25">
      <c r="A15" s="100" t="s">
        <v>38</v>
      </c>
      <c r="B15" s="1874">
        <v>294457</v>
      </c>
      <c r="C15" s="1876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877">
        <v>405</v>
      </c>
      <c r="R15" s="1877"/>
      <c r="S15" s="237">
        <v>0</v>
      </c>
      <c r="T15" s="1849"/>
      <c r="U15" s="237" t="s">
        <v>64</v>
      </c>
      <c r="V15" s="1877">
        <v>10712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855"/>
      <c r="R16" s="1855"/>
      <c r="S16" s="240"/>
      <c r="T16" s="1871" t="s">
        <v>55</v>
      </c>
      <c r="U16" s="1871"/>
      <c r="V16" s="1878">
        <f>Y12</f>
        <v>136107.60749999998</v>
      </c>
      <c r="W16" s="1878"/>
      <c r="X16" s="1877"/>
    </row>
    <row r="17" spans="1:25" ht="28.5" customHeight="1" x14ac:dyDescent="0.25">
      <c r="A17" s="101" t="s">
        <v>44</v>
      </c>
      <c r="B17" s="1874">
        <v>40412</v>
      </c>
      <c r="C17" s="1876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855"/>
      <c r="R17" s="1855"/>
      <c r="S17" s="236"/>
      <c r="T17" s="1889" t="s">
        <v>87</v>
      </c>
      <c r="U17" s="1890"/>
      <c r="V17" s="1877">
        <v>180000</v>
      </c>
      <c r="W17" s="1877"/>
      <c r="X17" s="1877"/>
    </row>
    <row r="18" spans="1:25" ht="27" customHeight="1" x14ac:dyDescent="0.25">
      <c r="A18" s="100" t="s">
        <v>40</v>
      </c>
      <c r="B18" s="1880">
        <f>C12</f>
        <v>82887</v>
      </c>
      <c r="C18" s="1876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877"/>
      <c r="R18" s="1877"/>
      <c r="S18" s="237"/>
      <c r="T18" s="1871" t="s">
        <v>57</v>
      </c>
      <c r="U18" s="1871"/>
      <c r="V18" s="1877">
        <v>920</v>
      </c>
      <c r="W18" s="1877"/>
      <c r="X18" s="1877"/>
      <c r="Y18" s="1883" t="s">
        <v>217</v>
      </c>
    </row>
    <row r="19" spans="1:25" ht="25.5" customHeight="1" x14ac:dyDescent="0.25">
      <c r="A19" s="100" t="s">
        <v>41</v>
      </c>
      <c r="B19" s="1874">
        <f>B15+B16+B17-B18</f>
        <v>251982</v>
      </c>
      <c r="C19" s="1876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874">
        <f t="shared" ref="Q19" si="14">Q15+Q16+Q17-Q18</f>
        <v>405</v>
      </c>
      <c r="R19" s="1876"/>
      <c r="S19" s="237">
        <f>S15+S16-S17-S18</f>
        <v>0</v>
      </c>
      <c r="T19" s="1869" t="s">
        <v>48</v>
      </c>
      <c r="U19" s="49" t="s">
        <v>58</v>
      </c>
      <c r="V19" s="1877">
        <v>737000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242532.67500000002</v>
      </c>
      <c r="C20" s="1899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97605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811698.67500000005</v>
      </c>
      <c r="C21" s="1897"/>
      <c r="O21" s="244"/>
      <c r="P21" s="244"/>
      <c r="Q21" s="244"/>
      <c r="R21" s="244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905709</v>
      </c>
      <c r="D22" s="1881">
        <v>737000</v>
      </c>
      <c r="E22" s="1881">
        <v>163850</v>
      </c>
      <c r="F22" s="1881">
        <f>C22-D22+E22</f>
        <v>332559</v>
      </c>
      <c r="G22" s="244"/>
      <c r="Q22" s="244"/>
      <c r="R22" s="244"/>
      <c r="T22" s="1863" t="s">
        <v>83</v>
      </c>
      <c r="U22" s="50" t="s">
        <v>60</v>
      </c>
      <c r="V22" s="1877">
        <v>752450</v>
      </c>
      <c r="W22" s="1877"/>
      <c r="X22" s="1877"/>
      <c r="Y22" s="1883"/>
    </row>
    <row r="23" spans="1:25" ht="39.75" customHeight="1" x14ac:dyDescent="0.25">
      <c r="A23" s="244"/>
      <c r="B23" s="1892"/>
      <c r="C23" s="1882"/>
      <c r="D23" s="1882"/>
      <c r="E23" s="1882"/>
      <c r="F23" s="1882"/>
      <c r="G23" s="244"/>
      <c r="Q23" s="244"/>
      <c r="R23" s="244"/>
      <c r="T23" s="1864"/>
      <c r="U23" s="50" t="s">
        <v>61</v>
      </c>
      <c r="V23" s="1877">
        <v>737000</v>
      </c>
      <c r="W23" s="1877"/>
      <c r="X23" s="1877"/>
      <c r="Y23" s="1883"/>
    </row>
    <row r="24" spans="1:25" ht="48" customHeight="1" x14ac:dyDescent="0.25">
      <c r="A24" s="244"/>
      <c r="B24" s="1893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849" t="s">
        <v>47</v>
      </c>
      <c r="U24" s="51" t="s">
        <v>62</v>
      </c>
      <c r="V24" s="1879">
        <f>V14+V16+V17-V18-V19-V20-V22+V23-V21</f>
        <v>2923.6074999999255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26162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44"/>
      <c r="J33" s="24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842" t="s">
        <v>274</v>
      </c>
      <c r="U3" s="1842"/>
      <c r="V3" s="1842"/>
      <c r="W3" s="1842"/>
      <c r="X3" s="1842"/>
      <c r="Y3" s="1842"/>
    </row>
    <row r="4" spans="1:25" s="25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50" customFormat="1" ht="25.5" customHeight="1" x14ac:dyDescent="0.25">
      <c r="A5" s="1843"/>
      <c r="B5" s="184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886" t="s">
        <v>256</v>
      </c>
      <c r="R14" s="1886"/>
      <c r="S14" s="254"/>
      <c r="T14" s="1849" t="s">
        <v>46</v>
      </c>
      <c r="U14" s="248" t="s">
        <v>176</v>
      </c>
      <c r="V14" s="1874">
        <v>2924</v>
      </c>
      <c r="W14" s="1875"/>
      <c r="X14" s="1876"/>
    </row>
    <row r="15" spans="1:25" ht="22.5" customHeight="1" x14ac:dyDescent="0.25">
      <c r="A15" s="100" t="s">
        <v>38</v>
      </c>
      <c r="B15" s="1874">
        <v>251982</v>
      </c>
      <c r="C15" s="1876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877">
        <v>405</v>
      </c>
      <c r="R15" s="1877"/>
      <c r="S15" s="248">
        <v>0</v>
      </c>
      <c r="T15" s="1849"/>
      <c r="U15" s="248" t="s">
        <v>64</v>
      </c>
      <c r="V15" s="1877">
        <v>26162</v>
      </c>
      <c r="W15" s="1877"/>
      <c r="X15" s="1877"/>
    </row>
    <row r="16" spans="1:25" ht="24.75" customHeight="1" x14ac:dyDescent="0.25">
      <c r="A16" s="100" t="s">
        <v>39</v>
      </c>
      <c r="B16" s="1874">
        <v>77992</v>
      </c>
      <c r="C16" s="1876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855"/>
      <c r="R16" s="1855"/>
      <c r="S16" s="251"/>
      <c r="T16" s="1871" t="s">
        <v>55</v>
      </c>
      <c r="U16" s="1871"/>
      <c r="V16" s="1878">
        <f>Y12</f>
        <v>80827.305000000008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855"/>
      <c r="R17" s="1855"/>
      <c r="S17" s="247"/>
      <c r="T17" s="1889" t="s">
        <v>87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71698</v>
      </c>
      <c r="C18" s="1876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877"/>
      <c r="R18" s="1877"/>
      <c r="S18" s="248"/>
      <c r="T18" s="1871" t="s">
        <v>57</v>
      </c>
      <c r="U18" s="1871"/>
      <c r="V18" s="1877">
        <f>470+90+370+700</f>
        <v>1630</v>
      </c>
      <c r="W18" s="1877"/>
      <c r="X18" s="1877"/>
      <c r="Y18" s="1883" t="s">
        <v>275</v>
      </c>
    </row>
    <row r="19" spans="1:25" ht="25.5" customHeight="1" x14ac:dyDescent="0.25">
      <c r="A19" s="100" t="s">
        <v>41</v>
      </c>
      <c r="B19" s="1874">
        <f>B15+B16+B17-B18</f>
        <v>258276</v>
      </c>
      <c r="C19" s="1876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874">
        <f t="shared" ref="Q19" si="14">Q15+Q16+Q17-Q18</f>
        <v>405</v>
      </c>
      <c r="R19" s="1876"/>
      <c r="S19" s="248">
        <f>S15+S16-S17-S18</f>
        <v>0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248590.65</v>
      </c>
      <c r="C20" s="1899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97605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806703.14999999991</v>
      </c>
      <c r="C21" s="1897"/>
      <c r="O21" s="255"/>
      <c r="P21" s="255"/>
      <c r="Q21" s="255"/>
      <c r="R21" s="255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332559</v>
      </c>
      <c r="D22" s="1881">
        <v>100000</v>
      </c>
      <c r="E22" s="1881">
        <v>75000</v>
      </c>
      <c r="F22" s="1881">
        <f>C22-D22+E22</f>
        <v>307559</v>
      </c>
      <c r="G22" s="255"/>
      <c r="Q22" s="255"/>
      <c r="R22" s="255"/>
      <c r="T22" s="1863" t="s">
        <v>83</v>
      </c>
      <c r="U22" s="50" t="s">
        <v>60</v>
      </c>
      <c r="V22" s="1877">
        <v>80490</v>
      </c>
      <c r="W22" s="1877"/>
      <c r="X22" s="1877"/>
      <c r="Y22" s="1883"/>
    </row>
    <row r="23" spans="1:25" ht="39.75" customHeight="1" x14ac:dyDescent="0.25">
      <c r="A23" s="255"/>
      <c r="B23" s="1892"/>
      <c r="C23" s="1882"/>
      <c r="D23" s="1882"/>
      <c r="E23" s="1882"/>
      <c r="F23" s="1882"/>
      <c r="G23" s="255"/>
      <c r="Q23" s="255"/>
      <c r="R23" s="255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255"/>
      <c r="B24" s="1893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849" t="s">
        <v>47</v>
      </c>
      <c r="U24" s="51" t="s">
        <v>62</v>
      </c>
      <c r="V24" s="1879">
        <f>V14+V16+V17-V18-V19-V20-V22+V23-V21</f>
        <v>1631.3050000000076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6652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55"/>
      <c r="J33" s="255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842" t="s">
        <v>276</v>
      </c>
      <c r="U3" s="1842"/>
      <c r="V3" s="1842"/>
      <c r="W3" s="1842"/>
      <c r="X3" s="1842"/>
      <c r="Y3" s="1842"/>
    </row>
    <row r="4" spans="1:25" s="25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50" customFormat="1" ht="25.5" customHeight="1" x14ac:dyDescent="0.25">
      <c r="A5" s="1843"/>
      <c r="B5" s="1843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886" t="s">
        <v>256</v>
      </c>
      <c r="R14" s="1886"/>
      <c r="S14" s="254"/>
      <c r="T14" s="1849" t="s">
        <v>46</v>
      </c>
      <c r="U14" s="248" t="s">
        <v>176</v>
      </c>
      <c r="V14" s="1874">
        <v>1631</v>
      </c>
      <c r="W14" s="1875"/>
      <c r="X14" s="1876"/>
    </row>
    <row r="15" spans="1:25" ht="22.5" customHeight="1" x14ac:dyDescent="0.25">
      <c r="A15" s="100" t="s">
        <v>38</v>
      </c>
      <c r="B15" s="1874">
        <v>258276</v>
      </c>
      <c r="C15" s="1876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877">
        <v>405</v>
      </c>
      <c r="R15" s="1877"/>
      <c r="S15" s="248">
        <v>0</v>
      </c>
      <c r="T15" s="1849"/>
      <c r="U15" s="248" t="s">
        <v>64</v>
      </c>
      <c r="V15" s="1877">
        <v>6652</v>
      </c>
      <c r="W15" s="1877"/>
      <c r="X15" s="1877"/>
    </row>
    <row r="16" spans="1:25" ht="24.75" customHeight="1" x14ac:dyDescent="0.25">
      <c r="A16" s="100" t="s">
        <v>39</v>
      </c>
      <c r="B16" s="1874">
        <v>77852</v>
      </c>
      <c r="C16" s="1876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855"/>
      <c r="R16" s="1855"/>
      <c r="S16" s="251"/>
      <c r="T16" s="1871" t="s">
        <v>55</v>
      </c>
      <c r="U16" s="1871"/>
      <c r="V16" s="1878">
        <f>Y12</f>
        <v>141218.38999999998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855"/>
      <c r="R17" s="1855"/>
      <c r="S17" s="247"/>
      <c r="T17" s="1889" t="s">
        <v>87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81404</v>
      </c>
      <c r="C18" s="1876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877"/>
      <c r="R18" s="1877"/>
      <c r="S18" s="248"/>
      <c r="T18" s="1871" t="s">
        <v>57</v>
      </c>
      <c r="U18" s="1871"/>
      <c r="V18" s="1877">
        <v>520</v>
      </c>
      <c r="W18" s="1877"/>
      <c r="X18" s="1877"/>
      <c r="Y18" s="1883" t="s">
        <v>217</v>
      </c>
    </row>
    <row r="19" spans="1:25" ht="25.5" customHeight="1" x14ac:dyDescent="0.25">
      <c r="A19" s="100" t="s">
        <v>41</v>
      </c>
      <c r="B19" s="1874">
        <f>B15+B16+B17-B18</f>
        <v>254724</v>
      </c>
      <c r="C19" s="1876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874">
        <f t="shared" ref="Q19" si="14">Q15+Q16+Q17-Q18</f>
        <v>405</v>
      </c>
      <c r="R19" s="1876"/>
      <c r="S19" s="248">
        <f>S15+S16-S17-S18</f>
        <v>0</v>
      </c>
      <c r="T19" s="1869" t="s">
        <v>48</v>
      </c>
      <c r="U19" s="49" t="s">
        <v>58</v>
      </c>
      <c r="V19" s="1877">
        <v>138850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245171.85</v>
      </c>
      <c r="C20" s="1899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97605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850123.85</v>
      </c>
      <c r="C21" s="1897"/>
      <c r="O21" s="255"/>
      <c r="P21" s="255"/>
      <c r="Q21" s="255"/>
      <c r="R21" s="255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307559</v>
      </c>
      <c r="D22" s="1881">
        <v>138850</v>
      </c>
      <c r="E22" s="1881">
        <v>183275</v>
      </c>
      <c r="F22" s="1881">
        <f>C22-D22+E22</f>
        <v>351984</v>
      </c>
      <c r="G22" s="255"/>
      <c r="Q22" s="255"/>
      <c r="R22" s="255"/>
      <c r="T22" s="1863" t="s">
        <v>83</v>
      </c>
      <c r="U22" s="50" t="s">
        <v>60</v>
      </c>
      <c r="V22" s="1877">
        <v>139640</v>
      </c>
      <c r="W22" s="1877"/>
      <c r="X22" s="1877"/>
      <c r="Y22" s="1883"/>
    </row>
    <row r="23" spans="1:25" ht="39.75" customHeight="1" x14ac:dyDescent="0.25">
      <c r="A23" s="255"/>
      <c r="B23" s="1892"/>
      <c r="C23" s="1882"/>
      <c r="D23" s="1882"/>
      <c r="E23" s="1882"/>
      <c r="F23" s="1882"/>
      <c r="G23" s="255"/>
      <c r="Q23" s="255"/>
      <c r="R23" s="255"/>
      <c r="T23" s="1864"/>
      <c r="U23" s="50" t="s">
        <v>61</v>
      </c>
      <c r="V23" s="1877">
        <v>138850</v>
      </c>
      <c r="W23" s="1877"/>
      <c r="X23" s="1877"/>
      <c r="Y23" s="1883"/>
    </row>
    <row r="24" spans="1:25" ht="48" customHeight="1" x14ac:dyDescent="0.25">
      <c r="A24" s="255"/>
      <c r="B24" s="1893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849" t="s">
        <v>47</v>
      </c>
      <c r="U24" s="51" t="s">
        <v>62</v>
      </c>
      <c r="V24" s="1879">
        <f>V14+V16+V17-V18-V19-V20-V22+V23-V21</f>
        <v>2689.3899999999849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7442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55"/>
      <c r="J33" s="255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842" t="s">
        <v>277</v>
      </c>
      <c r="U3" s="1842"/>
      <c r="V3" s="1842"/>
      <c r="W3" s="1842"/>
      <c r="X3" s="1842"/>
      <c r="Y3" s="1842"/>
    </row>
    <row r="4" spans="1:25" s="25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56" customFormat="1" ht="25.5" customHeight="1" x14ac:dyDescent="0.25">
      <c r="A5" s="1843"/>
      <c r="B5" s="1843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886" t="s">
        <v>256</v>
      </c>
      <c r="R14" s="1886"/>
      <c r="S14" s="265"/>
      <c r="T14" s="1849" t="s">
        <v>46</v>
      </c>
      <c r="U14" s="257" t="s">
        <v>176</v>
      </c>
      <c r="V14" s="1874">
        <v>2689</v>
      </c>
      <c r="W14" s="1875"/>
      <c r="X14" s="1876"/>
    </row>
    <row r="15" spans="1:25" ht="22.5" customHeight="1" x14ac:dyDescent="0.25">
      <c r="A15" s="100" t="s">
        <v>38</v>
      </c>
      <c r="B15" s="1874">
        <v>254724</v>
      </c>
      <c r="C15" s="1876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877">
        <v>405</v>
      </c>
      <c r="R15" s="1877"/>
      <c r="S15" s="257">
        <v>0</v>
      </c>
      <c r="T15" s="1849"/>
      <c r="U15" s="257" t="s">
        <v>64</v>
      </c>
      <c r="V15" s="1877">
        <v>7442</v>
      </c>
      <c r="W15" s="1877"/>
      <c r="X15" s="1877"/>
    </row>
    <row r="16" spans="1:25" ht="24.75" customHeight="1" x14ac:dyDescent="0.25">
      <c r="A16" s="100" t="s">
        <v>39</v>
      </c>
      <c r="B16" s="1874">
        <v>135065</v>
      </c>
      <c r="C16" s="1876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855"/>
      <c r="R16" s="1855"/>
      <c r="S16" s="262"/>
      <c r="T16" s="1871" t="s">
        <v>55</v>
      </c>
      <c r="U16" s="1871"/>
      <c r="V16" s="1878">
        <f>Y12</f>
        <v>129226.22500000001</v>
      </c>
      <c r="W16" s="1878"/>
      <c r="X16" s="1877"/>
    </row>
    <row r="17" spans="1:25" ht="28.5" customHeight="1" x14ac:dyDescent="0.25">
      <c r="A17" s="101" t="s">
        <v>44</v>
      </c>
      <c r="B17" s="1874">
        <v>81787</v>
      </c>
      <c r="C17" s="1876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855"/>
      <c r="R17" s="1855"/>
      <c r="S17" s="259"/>
      <c r="T17" s="1889" t="s">
        <v>87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90210</v>
      </c>
      <c r="C18" s="1876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877"/>
      <c r="R18" s="1877"/>
      <c r="S18" s="257"/>
      <c r="T18" s="1871" t="s">
        <v>57</v>
      </c>
      <c r="U18" s="1871"/>
      <c r="V18" s="1877">
        <f>470+1590+100</f>
        <v>2160</v>
      </c>
      <c r="W18" s="1877"/>
      <c r="X18" s="1877"/>
      <c r="Y18" s="1883" t="s">
        <v>278</v>
      </c>
    </row>
    <row r="19" spans="1:25" ht="25.5" customHeight="1" x14ac:dyDescent="0.25">
      <c r="A19" s="100" t="s">
        <v>41</v>
      </c>
      <c r="B19" s="1874">
        <f>B15+B16+B17-B18</f>
        <v>381366</v>
      </c>
      <c r="C19" s="1876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874">
        <f t="shared" ref="Q19" si="14">Q15+Q16+Q17-Q18</f>
        <v>405</v>
      </c>
      <c r="R19" s="1876"/>
      <c r="S19" s="257">
        <f>S15+S16-S17-S18</f>
        <v>0</v>
      </c>
      <c r="T19" s="1869" t="s">
        <v>48</v>
      </c>
      <c r="U19" s="49" t="s">
        <v>58</v>
      </c>
      <c r="V19" s="1877">
        <v>115000</v>
      </c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367064.77500000002</v>
      </c>
      <c r="C20" s="1899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97605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1003658.775</v>
      </c>
      <c r="C21" s="1897"/>
      <c r="O21" s="266"/>
      <c r="P21" s="266"/>
      <c r="Q21" s="266"/>
      <c r="R21" s="266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351984</v>
      </c>
      <c r="D22" s="1881">
        <v>115000</v>
      </c>
      <c r="E22" s="1881">
        <v>202300</v>
      </c>
      <c r="F22" s="1881">
        <f>C22-D22+E22</f>
        <v>439284</v>
      </c>
      <c r="G22" s="266"/>
      <c r="Q22" s="266"/>
      <c r="R22" s="266"/>
      <c r="T22" s="1863" t="s">
        <v>83</v>
      </c>
      <c r="U22" s="50" t="s">
        <v>60</v>
      </c>
      <c r="V22" s="1877">
        <v>115050</v>
      </c>
      <c r="W22" s="1877"/>
      <c r="X22" s="1877"/>
      <c r="Y22" s="1883"/>
    </row>
    <row r="23" spans="1:25" ht="39.75" customHeight="1" x14ac:dyDescent="0.25">
      <c r="A23" s="266"/>
      <c r="B23" s="1892"/>
      <c r="C23" s="1882"/>
      <c r="D23" s="1882"/>
      <c r="E23" s="1882"/>
      <c r="F23" s="1882"/>
      <c r="G23" s="266"/>
      <c r="Q23" s="266"/>
      <c r="R23" s="266"/>
      <c r="T23" s="1864"/>
      <c r="U23" s="50" t="s">
        <v>61</v>
      </c>
      <c r="V23" s="1877">
        <v>115000</v>
      </c>
      <c r="W23" s="1877"/>
      <c r="X23" s="1877"/>
      <c r="Y23" s="1883"/>
    </row>
    <row r="24" spans="1:25" ht="48" customHeight="1" x14ac:dyDescent="0.25">
      <c r="A24" s="266"/>
      <c r="B24" s="1893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849" t="s">
        <v>47</v>
      </c>
      <c r="U24" s="51" t="s">
        <v>62</v>
      </c>
      <c r="V24" s="1879">
        <f>V14+V16+V17-V18-V19-V20-V22+V23-V21</f>
        <v>14705.225000000006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7492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66"/>
      <c r="J33" s="26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842" t="s">
        <v>279</v>
      </c>
      <c r="U3" s="1842"/>
      <c r="V3" s="1842"/>
      <c r="W3" s="1842"/>
      <c r="X3" s="1842"/>
      <c r="Y3" s="1842"/>
    </row>
    <row r="4" spans="1:25" s="27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72" customFormat="1" ht="25.5" customHeight="1" x14ac:dyDescent="0.25">
      <c r="A5" s="1843"/>
      <c r="B5" s="184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886" t="s">
        <v>256</v>
      </c>
      <c r="R14" s="1886"/>
      <c r="S14" s="276"/>
      <c r="T14" s="1849" t="s">
        <v>46</v>
      </c>
      <c r="U14" s="270" t="s">
        <v>176</v>
      </c>
      <c r="V14" s="1874">
        <v>14705</v>
      </c>
      <c r="W14" s="1875"/>
      <c r="X14" s="1876"/>
    </row>
    <row r="15" spans="1:25" ht="22.5" customHeight="1" x14ac:dyDescent="0.25">
      <c r="A15" s="100" t="s">
        <v>38</v>
      </c>
      <c r="B15" s="1874">
        <v>381366</v>
      </c>
      <c r="C15" s="1876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877">
        <v>405</v>
      </c>
      <c r="R15" s="1877"/>
      <c r="S15" s="270">
        <v>0</v>
      </c>
      <c r="T15" s="1849"/>
      <c r="U15" s="270" t="s">
        <v>64</v>
      </c>
      <c r="V15" s="1877">
        <v>7492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855"/>
      <c r="R16" s="1855"/>
      <c r="S16" s="273"/>
      <c r="T16" s="1871" t="s">
        <v>55</v>
      </c>
      <c r="U16" s="1871"/>
      <c r="V16" s="1878">
        <f>Y12</f>
        <v>138151.10999999999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855"/>
      <c r="R17" s="1855"/>
      <c r="S17" s="269"/>
      <c r="T17" s="1889" t="s">
        <v>87</v>
      </c>
      <c r="U17" s="1890"/>
      <c r="V17" s="1877"/>
      <c r="W17" s="1877"/>
      <c r="X17" s="1877"/>
    </row>
    <row r="18" spans="1:25" ht="27" customHeight="1" x14ac:dyDescent="0.25">
      <c r="A18" s="100" t="s">
        <v>40</v>
      </c>
      <c r="B18" s="1880">
        <f>C12</f>
        <v>105596</v>
      </c>
      <c r="C18" s="1876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877"/>
      <c r="R18" s="1877"/>
      <c r="S18" s="270"/>
      <c r="T18" s="1871" t="s">
        <v>57</v>
      </c>
      <c r="U18" s="1871"/>
      <c r="V18" s="1877">
        <f>520+240+700</f>
        <v>1460</v>
      </c>
      <c r="W18" s="1877"/>
      <c r="X18" s="1877"/>
      <c r="Y18" s="1883" t="s">
        <v>280</v>
      </c>
    </row>
    <row r="19" spans="1:25" ht="25.5" customHeight="1" x14ac:dyDescent="0.25">
      <c r="A19" s="100" t="s">
        <v>41</v>
      </c>
      <c r="B19" s="1874">
        <f>B15+B16+B17-B18</f>
        <v>275770</v>
      </c>
      <c r="C19" s="1876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874">
        <f t="shared" ref="Q19" si="14">Q15+Q16+Q17-Q18</f>
        <v>405</v>
      </c>
      <c r="R19" s="1876"/>
      <c r="S19" s="270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10" t="s">
        <v>187</v>
      </c>
      <c r="B20" s="1898">
        <f>B19*0.9625</f>
        <v>265428.625</v>
      </c>
      <c r="C20" s="1899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898">
        <f>241*Q19</f>
        <v>97605</v>
      </c>
      <c r="R20" s="1899"/>
      <c r="S20" s="211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143" t="s">
        <v>186</v>
      </c>
      <c r="B21" s="1897">
        <f>SUM(B20:S20)</f>
        <v>866907.52500000002</v>
      </c>
      <c r="C21" s="1897"/>
      <c r="O21" s="277"/>
      <c r="P21" s="277"/>
      <c r="Q21" s="277"/>
      <c r="R21" s="277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891" t="s">
        <v>49</v>
      </c>
      <c r="C22" s="1881">
        <v>439284</v>
      </c>
      <c r="D22" s="1881"/>
      <c r="E22" s="1881"/>
      <c r="F22" s="1881">
        <f>C22-D22+E22</f>
        <v>439284</v>
      </c>
      <c r="G22" s="277"/>
      <c r="Q22" s="277"/>
      <c r="R22" s="277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277"/>
      <c r="B23" s="1892"/>
      <c r="C23" s="1882"/>
      <c r="D23" s="1882"/>
      <c r="E23" s="1882"/>
      <c r="F23" s="1882"/>
      <c r="G23" s="277"/>
      <c r="Q23" s="277"/>
      <c r="R23" s="277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277"/>
      <c r="B24" s="1893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849" t="s">
        <v>47</v>
      </c>
      <c r="U24" s="51" t="s">
        <v>62</v>
      </c>
      <c r="V24" s="1879">
        <f>V14+V16+V17-V18-V19-V20-V22+V23-V21</f>
        <v>151396.10999999999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7492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77"/>
      <c r="J33" s="27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842" t="s">
        <v>281</v>
      </c>
      <c r="U3" s="1842"/>
      <c r="V3" s="1842"/>
      <c r="W3" s="1842"/>
      <c r="X3" s="1842"/>
      <c r="Y3" s="1842"/>
    </row>
    <row r="4" spans="1:25" s="27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72" customFormat="1" ht="25.5" customHeight="1" x14ac:dyDescent="0.25">
      <c r="A5" s="1843"/>
      <c r="B5" s="184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886" t="s">
        <v>256</v>
      </c>
      <c r="R14" s="1886"/>
      <c r="S14" s="276"/>
      <c r="T14" s="1849" t="s">
        <v>46</v>
      </c>
      <c r="U14" s="270" t="s">
        <v>176</v>
      </c>
      <c r="V14" s="1874">
        <v>151396</v>
      </c>
      <c r="W14" s="1875"/>
      <c r="X14" s="1876"/>
    </row>
    <row r="15" spans="1:25" ht="22.5" customHeight="1" x14ac:dyDescent="0.25">
      <c r="A15" s="100" t="s">
        <v>38</v>
      </c>
      <c r="B15" s="1874">
        <v>275770</v>
      </c>
      <c r="C15" s="1876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877">
        <v>405</v>
      </c>
      <c r="R15" s="1877"/>
      <c r="S15" s="270">
        <v>0</v>
      </c>
      <c r="T15" s="1849"/>
      <c r="U15" s="270" t="s">
        <v>64</v>
      </c>
      <c r="V15" s="1877">
        <v>7492</v>
      </c>
      <c r="W15" s="1877"/>
      <c r="X15" s="1877"/>
    </row>
    <row r="16" spans="1:25" ht="24.75" customHeight="1" x14ac:dyDescent="0.25">
      <c r="A16" s="100" t="s">
        <v>39</v>
      </c>
      <c r="B16" s="1874">
        <v>80000</v>
      </c>
      <c r="C16" s="1876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855"/>
      <c r="R16" s="1855"/>
      <c r="S16" s="273"/>
      <c r="T16" s="1871" t="s">
        <v>55</v>
      </c>
      <c r="U16" s="1871"/>
      <c r="V16" s="1878">
        <f>Y12</f>
        <v>319050.3775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855"/>
      <c r="R17" s="1855"/>
      <c r="S17" s="269"/>
      <c r="T17" s="1900" t="s">
        <v>282</v>
      </c>
      <c r="U17" s="1901"/>
      <c r="V17" s="1902">
        <v>15075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104059</v>
      </c>
      <c r="C18" s="1876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877">
        <v>358</v>
      </c>
      <c r="R18" s="1877"/>
      <c r="S18" s="270"/>
      <c r="T18" s="1871" t="s">
        <v>57</v>
      </c>
      <c r="U18" s="1871"/>
      <c r="V18" s="1877">
        <v>205508</v>
      </c>
      <c r="W18" s="1877"/>
      <c r="X18" s="1877"/>
      <c r="Y18" s="1883" t="s">
        <v>283</v>
      </c>
    </row>
    <row r="19" spans="1:25" ht="25.5" customHeight="1" x14ac:dyDescent="0.25">
      <c r="A19" s="100" t="s">
        <v>41</v>
      </c>
      <c r="B19" s="1874">
        <f>B15+B16+B17-B18</f>
        <v>251711</v>
      </c>
      <c r="C19" s="1876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874">
        <f t="shared" ref="Q19" si="14">Q15+Q16+Q17-Q18</f>
        <v>47</v>
      </c>
      <c r="R19" s="1876"/>
      <c r="S19" s="270">
        <f>S15+S16-S17-S18</f>
        <v>0</v>
      </c>
      <c r="T19" s="1869" t="s">
        <v>48</v>
      </c>
      <c r="U19" s="49" t="s">
        <v>58</v>
      </c>
      <c r="V19" s="1877">
        <v>270575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242271.83749999999</v>
      </c>
      <c r="C20" s="1904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11327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626054.83750000002</v>
      </c>
      <c r="C21" s="1910"/>
      <c r="O21" s="277"/>
      <c r="P21" s="277"/>
      <c r="Q21" s="277"/>
      <c r="R21" s="277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905" t="s">
        <v>49</v>
      </c>
      <c r="C22" s="1908">
        <v>439284</v>
      </c>
      <c r="D22" s="1908">
        <v>270575</v>
      </c>
      <c r="E22" s="1908">
        <v>77000</v>
      </c>
      <c r="F22" s="1908">
        <f>C22-D22+E22</f>
        <v>245709</v>
      </c>
      <c r="G22" s="277"/>
      <c r="Q22" s="277"/>
      <c r="R22" s="277"/>
      <c r="T22" s="1863" t="s">
        <v>83</v>
      </c>
      <c r="U22" s="50" t="s">
        <v>60</v>
      </c>
      <c r="V22" s="1877">
        <v>271180</v>
      </c>
      <c r="W22" s="1877"/>
      <c r="X22" s="1877"/>
      <c r="Y22" s="1883"/>
    </row>
    <row r="23" spans="1:25" ht="39.75" customHeight="1" x14ac:dyDescent="0.25">
      <c r="A23" s="277"/>
      <c r="B23" s="1906"/>
      <c r="C23" s="1909"/>
      <c r="D23" s="1909"/>
      <c r="E23" s="1909"/>
      <c r="F23" s="1909"/>
      <c r="G23" s="277"/>
      <c r="Q23" s="277"/>
      <c r="R23" s="277"/>
      <c r="T23" s="1864"/>
      <c r="U23" s="50" t="s">
        <v>61</v>
      </c>
      <c r="V23" s="1877">
        <v>270575</v>
      </c>
      <c r="W23" s="1877"/>
      <c r="X23" s="1877"/>
      <c r="Y23" s="1883"/>
    </row>
    <row r="24" spans="1:25" ht="48" customHeight="1" x14ac:dyDescent="0.25">
      <c r="A24" s="27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849" t="s">
        <v>47</v>
      </c>
      <c r="U24" s="51" t="s">
        <v>62</v>
      </c>
      <c r="V24" s="1879">
        <f>V14+V16+V17-V18-V19-V20-V22+V23-V21</f>
        <v>8833.3775000000023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8097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77"/>
      <c r="J33" s="27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842" t="s">
        <v>284</v>
      </c>
      <c r="U3" s="1842"/>
      <c r="V3" s="1842"/>
      <c r="W3" s="1842"/>
      <c r="X3" s="1842"/>
      <c r="Y3" s="1842"/>
    </row>
    <row r="4" spans="1:25" s="27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72" customFormat="1" ht="25.5" customHeight="1" x14ac:dyDescent="0.25">
      <c r="A5" s="1843"/>
      <c r="B5" s="184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886" t="s">
        <v>256</v>
      </c>
      <c r="R14" s="1886"/>
      <c r="S14" s="276"/>
      <c r="T14" s="1849" t="s">
        <v>46</v>
      </c>
      <c r="U14" s="270" t="s">
        <v>176</v>
      </c>
      <c r="V14" s="1874">
        <v>8833</v>
      </c>
      <c r="W14" s="1875"/>
      <c r="X14" s="1876"/>
    </row>
    <row r="15" spans="1:25" ht="22.5" customHeight="1" x14ac:dyDescent="0.25">
      <c r="A15" s="100" t="s">
        <v>38</v>
      </c>
      <c r="B15" s="1874">
        <v>251711</v>
      </c>
      <c r="C15" s="1876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877">
        <v>47</v>
      </c>
      <c r="R15" s="1877"/>
      <c r="S15" s="270">
        <v>0</v>
      </c>
      <c r="T15" s="1849"/>
      <c r="U15" s="270" t="s">
        <v>64</v>
      </c>
      <c r="V15" s="1877">
        <v>8097</v>
      </c>
      <c r="W15" s="1877"/>
      <c r="X15" s="1877"/>
    </row>
    <row r="16" spans="1:25" ht="24.75" customHeight="1" x14ac:dyDescent="0.25">
      <c r="A16" s="100" t="s">
        <v>39</v>
      </c>
      <c r="B16" s="1874">
        <v>242068</v>
      </c>
      <c r="C16" s="1876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855"/>
      <c r="R16" s="1855"/>
      <c r="S16" s="273"/>
      <c r="T16" s="1871" t="s">
        <v>55</v>
      </c>
      <c r="U16" s="1871"/>
      <c r="V16" s="1878">
        <f>Y12</f>
        <v>156214.8125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855"/>
      <c r="R17" s="1855"/>
      <c r="S17" s="269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107825</v>
      </c>
      <c r="C18" s="1876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877"/>
      <c r="R18" s="1877"/>
      <c r="S18" s="270"/>
      <c r="T18" s="1871" t="s">
        <v>57</v>
      </c>
      <c r="U18" s="1871"/>
      <c r="V18" s="1877">
        <f>520+60+250</f>
        <v>830</v>
      </c>
      <c r="W18" s="1877"/>
      <c r="X18" s="1877"/>
      <c r="Y18" s="1883" t="s">
        <v>285</v>
      </c>
    </row>
    <row r="19" spans="1:25" ht="25.5" customHeight="1" x14ac:dyDescent="0.25">
      <c r="A19" s="100" t="s">
        <v>41</v>
      </c>
      <c r="B19" s="1874">
        <f>B15+B16+B17-B18</f>
        <v>385954</v>
      </c>
      <c r="C19" s="1876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874">
        <f t="shared" ref="Q19" si="14">Q15+Q16+Q17-Q18</f>
        <v>47</v>
      </c>
      <c r="R19" s="1876"/>
      <c r="S19" s="270">
        <f>S15+S16-S17-S18</f>
        <v>0</v>
      </c>
      <c r="T19" s="1869" t="s">
        <v>48</v>
      </c>
      <c r="U19" s="49" t="s">
        <v>58</v>
      </c>
      <c r="V19" s="1877">
        <v>80000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371480.72500000003</v>
      </c>
      <c r="C20" s="1904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11327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1375471.7250000001</v>
      </c>
      <c r="C21" s="1910"/>
      <c r="O21" s="277"/>
      <c r="P21" s="277"/>
      <c r="Q21" s="277"/>
      <c r="R21" s="277"/>
      <c r="T21" s="1889" t="s">
        <v>167</v>
      </c>
      <c r="U21" s="1890"/>
      <c r="V21" s="1874">
        <v>80000</v>
      </c>
      <c r="W21" s="1875"/>
      <c r="X21" s="1876"/>
      <c r="Y21" s="1883"/>
    </row>
    <row r="22" spans="1:25" ht="35.25" customHeight="1" x14ac:dyDescent="0.25">
      <c r="A22" s="15"/>
      <c r="B22" s="1905" t="s">
        <v>49</v>
      </c>
      <c r="C22" s="1908">
        <v>245709</v>
      </c>
      <c r="D22" s="1908">
        <v>80000</v>
      </c>
      <c r="E22" s="1908">
        <v>902603</v>
      </c>
      <c r="F22" s="1908">
        <f>C22-D22+E22</f>
        <v>1068312</v>
      </c>
      <c r="G22" s="277"/>
      <c r="Q22" s="277"/>
      <c r="R22" s="277"/>
      <c r="T22" s="1863" t="s">
        <v>83</v>
      </c>
      <c r="U22" s="50" t="s">
        <v>60</v>
      </c>
      <c r="V22" s="1877">
        <v>82520</v>
      </c>
      <c r="W22" s="1877"/>
      <c r="X22" s="1877"/>
      <c r="Y22" s="1883"/>
    </row>
    <row r="23" spans="1:25" ht="39.75" customHeight="1" x14ac:dyDescent="0.25">
      <c r="A23" s="277"/>
      <c r="B23" s="1906"/>
      <c r="C23" s="1909"/>
      <c r="D23" s="1909"/>
      <c r="E23" s="1909"/>
      <c r="F23" s="1909"/>
      <c r="G23" s="277"/>
      <c r="Q23" s="277"/>
      <c r="R23" s="277"/>
      <c r="T23" s="1864"/>
      <c r="U23" s="50" t="s">
        <v>61</v>
      </c>
      <c r="V23" s="1877">
        <v>80000</v>
      </c>
      <c r="W23" s="1877"/>
      <c r="X23" s="1877"/>
      <c r="Y23" s="1883"/>
    </row>
    <row r="24" spans="1:25" ht="48" customHeight="1" x14ac:dyDescent="0.25">
      <c r="A24" s="27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849" t="s">
        <v>47</v>
      </c>
      <c r="U24" s="51" t="s">
        <v>62</v>
      </c>
      <c r="V24" s="1879">
        <f>V14+V16+V17-V18-V19-V20-V22+V23-V21</f>
        <v>1697.8125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10617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77"/>
      <c r="J33" s="27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842" t="s">
        <v>286</v>
      </c>
      <c r="U3" s="1842"/>
      <c r="V3" s="1842"/>
      <c r="W3" s="1842"/>
      <c r="X3" s="1842"/>
      <c r="Y3" s="1842"/>
    </row>
    <row r="4" spans="1:25" s="27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72" customFormat="1" ht="25.5" customHeight="1" x14ac:dyDescent="0.25">
      <c r="A5" s="1843"/>
      <c r="B5" s="1843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886" t="s">
        <v>256</v>
      </c>
      <c r="R14" s="1886"/>
      <c r="S14" s="276"/>
      <c r="T14" s="1849" t="s">
        <v>46</v>
      </c>
      <c r="U14" s="270" t="s">
        <v>176</v>
      </c>
      <c r="V14" s="1874">
        <v>1698</v>
      </c>
      <c r="W14" s="1875"/>
      <c r="X14" s="1876"/>
    </row>
    <row r="15" spans="1:25" ht="22.5" customHeight="1" x14ac:dyDescent="0.25">
      <c r="A15" s="100" t="s">
        <v>38</v>
      </c>
      <c r="B15" s="1874">
        <v>385954</v>
      </c>
      <c r="C15" s="1876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877">
        <v>47</v>
      </c>
      <c r="R15" s="1877"/>
      <c r="S15" s="270">
        <v>0</v>
      </c>
      <c r="T15" s="1849"/>
      <c r="U15" s="270" t="s">
        <v>64</v>
      </c>
      <c r="V15" s="1877">
        <v>10617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855"/>
      <c r="R16" s="1855"/>
      <c r="S16" s="273"/>
      <c r="T16" s="1871" t="s">
        <v>55</v>
      </c>
      <c r="U16" s="1871"/>
      <c r="V16" s="1878">
        <f>Y12</f>
        <v>101716.3475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855"/>
      <c r="R17" s="1855"/>
      <c r="S17" s="269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70351</v>
      </c>
      <c r="C18" s="1876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877"/>
      <c r="R18" s="1877"/>
      <c r="S18" s="270"/>
      <c r="T18" s="1871" t="s">
        <v>57</v>
      </c>
      <c r="U18" s="1871"/>
      <c r="V18" s="1877">
        <f>470+500</f>
        <v>970</v>
      </c>
      <c r="W18" s="1877"/>
      <c r="X18" s="1877"/>
      <c r="Y18" s="1883" t="s">
        <v>287</v>
      </c>
    </row>
    <row r="19" spans="1:25" ht="25.5" customHeight="1" x14ac:dyDescent="0.25">
      <c r="A19" s="100" t="s">
        <v>41</v>
      </c>
      <c r="B19" s="1874">
        <f>B15+B16+B17-B18</f>
        <v>315603</v>
      </c>
      <c r="C19" s="1876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874">
        <f t="shared" ref="Q19" si="14">Q15+Q16+Q17-Q18</f>
        <v>47</v>
      </c>
      <c r="R19" s="1876"/>
      <c r="S19" s="270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303767.88750000001</v>
      </c>
      <c r="C20" s="1904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11327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1274800.8875</v>
      </c>
      <c r="C21" s="1910"/>
      <c r="O21" s="277"/>
      <c r="P21" s="277"/>
      <c r="Q21" s="277"/>
      <c r="R21" s="277"/>
      <c r="T21" s="1889" t="s">
        <v>167</v>
      </c>
      <c r="U21" s="1890"/>
      <c r="V21" s="1874">
        <v>100000</v>
      </c>
      <c r="W21" s="1875"/>
      <c r="X21" s="1876"/>
      <c r="Y21" s="1883"/>
    </row>
    <row r="22" spans="1:25" ht="35.25" customHeight="1" x14ac:dyDescent="0.25">
      <c r="A22" s="15"/>
      <c r="B22" s="1905" t="s">
        <v>49</v>
      </c>
      <c r="C22" s="1908">
        <v>1068312</v>
      </c>
      <c r="D22" s="1908"/>
      <c r="E22" s="1908"/>
      <c r="F22" s="1908">
        <f>C22-D22+E22</f>
        <v>1068312</v>
      </c>
      <c r="G22" s="277"/>
      <c r="Q22" s="277"/>
      <c r="R22" s="277"/>
      <c r="T22" s="1863" t="s">
        <v>83</v>
      </c>
      <c r="U22" s="50" t="s">
        <v>60</v>
      </c>
      <c r="V22" s="1877">
        <v>100820</v>
      </c>
      <c r="W22" s="1877"/>
      <c r="X22" s="1877"/>
      <c r="Y22" s="1883"/>
    </row>
    <row r="23" spans="1:25" ht="39.75" customHeight="1" x14ac:dyDescent="0.25">
      <c r="A23" s="277"/>
      <c r="B23" s="1906"/>
      <c r="C23" s="1909"/>
      <c r="D23" s="1909"/>
      <c r="E23" s="1909"/>
      <c r="F23" s="1909"/>
      <c r="G23" s="277"/>
      <c r="Q23" s="277"/>
      <c r="R23" s="277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27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849" t="s">
        <v>47</v>
      </c>
      <c r="U24" s="51" t="s">
        <v>62</v>
      </c>
      <c r="V24" s="1879">
        <f>V14+V16+V17-V18-V19-V20-V22+V23-V21</f>
        <v>1624.3475000000035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11437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77"/>
      <c r="J33" s="27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842" t="s">
        <v>288</v>
      </c>
      <c r="U3" s="1842"/>
      <c r="V3" s="1842"/>
      <c r="W3" s="1842"/>
      <c r="X3" s="1842"/>
      <c r="Y3" s="1842"/>
    </row>
    <row r="4" spans="1:25" s="2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78" customFormat="1" ht="25.5" customHeight="1" x14ac:dyDescent="0.25">
      <c r="A5" s="1843"/>
      <c r="B5" s="184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886" t="s">
        <v>256</v>
      </c>
      <c r="R14" s="1886"/>
      <c r="S14" s="287"/>
      <c r="T14" s="1849" t="s">
        <v>46</v>
      </c>
      <c r="U14" s="279" t="s">
        <v>176</v>
      </c>
      <c r="V14" s="1874">
        <v>1624</v>
      </c>
      <c r="W14" s="1875"/>
      <c r="X14" s="1876"/>
    </row>
    <row r="15" spans="1:25" ht="22.5" customHeight="1" x14ac:dyDescent="0.25">
      <c r="A15" s="100" t="s">
        <v>38</v>
      </c>
      <c r="B15" s="1874">
        <v>315603</v>
      </c>
      <c r="C15" s="1876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877">
        <v>47</v>
      </c>
      <c r="R15" s="1877"/>
      <c r="S15" s="279">
        <v>0</v>
      </c>
      <c r="T15" s="1849"/>
      <c r="U15" s="279" t="s">
        <v>64</v>
      </c>
      <c r="V15" s="1877">
        <v>11437</v>
      </c>
      <c r="W15" s="1877"/>
      <c r="X15" s="1877"/>
    </row>
    <row r="16" spans="1:25" ht="24.75" customHeight="1" x14ac:dyDescent="0.25">
      <c r="A16" s="100" t="s">
        <v>39</v>
      </c>
      <c r="B16" s="1874">
        <v>51948</v>
      </c>
      <c r="C16" s="1876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855"/>
      <c r="R16" s="1855"/>
      <c r="S16" s="284"/>
      <c r="T16" s="1871" t="s">
        <v>55</v>
      </c>
      <c r="U16" s="1871"/>
      <c r="V16" s="1878">
        <f>Y12</f>
        <v>600431.71499999997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855"/>
      <c r="R17" s="1855"/>
      <c r="S17" s="281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112774</v>
      </c>
      <c r="C18" s="1876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877"/>
      <c r="R18" s="1877"/>
      <c r="S18" s="279"/>
      <c r="T18" s="1871" t="s">
        <v>57</v>
      </c>
      <c r="U18" s="1871"/>
      <c r="V18" s="1877">
        <f>520+200+4010</f>
        <v>4730</v>
      </c>
      <c r="W18" s="1877"/>
      <c r="X18" s="1877"/>
      <c r="Y18" s="1883" t="s">
        <v>289</v>
      </c>
    </row>
    <row r="19" spans="1:25" ht="25.5" customHeight="1" x14ac:dyDescent="0.25">
      <c r="A19" s="100" t="s">
        <v>41</v>
      </c>
      <c r="B19" s="1874">
        <f>B15+B16+B17-B18</f>
        <v>254777</v>
      </c>
      <c r="C19" s="1876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874">
        <f t="shared" ref="Q19" si="14">Q15+Q16+Q17-Q18</f>
        <v>47</v>
      </c>
      <c r="R19" s="1876"/>
      <c r="S19" s="279">
        <f>S15+S16-S17-S18</f>
        <v>0</v>
      </c>
      <c r="T19" s="1869" t="s">
        <v>48</v>
      </c>
      <c r="U19" s="49" t="s">
        <v>58</v>
      </c>
      <c r="V19" s="1877">
        <v>302312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245222.86250000002</v>
      </c>
      <c r="C20" s="1904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11327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729186.66250000009</v>
      </c>
      <c r="C21" s="1910"/>
      <c r="O21" s="288"/>
      <c r="P21" s="288"/>
      <c r="Q21" s="288"/>
      <c r="R21" s="288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905" t="s">
        <v>49</v>
      </c>
      <c r="C22" s="1908">
        <v>1068312</v>
      </c>
      <c r="D22" s="1908">
        <v>302312</v>
      </c>
      <c r="E22" s="1908">
        <v>50000</v>
      </c>
      <c r="F22" s="1908">
        <f>C22-D22+E22</f>
        <v>816000</v>
      </c>
      <c r="G22" s="288"/>
      <c r="Q22" s="288"/>
      <c r="R22" s="288"/>
      <c r="T22" s="1863" t="s">
        <v>83</v>
      </c>
      <c r="U22" s="50" t="s">
        <v>60</v>
      </c>
      <c r="V22" s="1877">
        <v>597150</v>
      </c>
      <c r="W22" s="1877"/>
      <c r="X22" s="1877"/>
      <c r="Y22" s="1883"/>
    </row>
    <row r="23" spans="1:25" ht="39.75" customHeight="1" x14ac:dyDescent="0.25">
      <c r="A23" s="288"/>
      <c r="B23" s="1906"/>
      <c r="C23" s="1909"/>
      <c r="D23" s="1909"/>
      <c r="E23" s="1909"/>
      <c r="F23" s="1909"/>
      <c r="G23" s="288"/>
      <c r="Q23" s="288"/>
      <c r="R23" s="288"/>
      <c r="T23" s="1864"/>
      <c r="U23" s="50" t="s">
        <v>61</v>
      </c>
      <c r="V23" s="1877">
        <v>302312</v>
      </c>
      <c r="W23" s="1877"/>
      <c r="X23" s="1877"/>
      <c r="Y23" s="1883"/>
    </row>
    <row r="24" spans="1:25" ht="48" customHeight="1" x14ac:dyDescent="0.25">
      <c r="A24" s="28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849" t="s">
        <v>47</v>
      </c>
      <c r="U24" s="51" t="s">
        <v>62</v>
      </c>
      <c r="V24" s="1879">
        <f>V14+V16+V17-V18-V19-V20-V22+V23-V21</f>
        <v>175.7149999999674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306275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88"/>
      <c r="J33" s="28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842" t="s">
        <v>290</v>
      </c>
      <c r="U3" s="1842"/>
      <c r="V3" s="1842"/>
      <c r="W3" s="1842"/>
      <c r="X3" s="1842"/>
      <c r="Y3" s="1842"/>
    </row>
    <row r="4" spans="1:25" s="2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78" customFormat="1" ht="25.5" customHeight="1" x14ac:dyDescent="0.25">
      <c r="A5" s="1843"/>
      <c r="B5" s="184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886" t="s">
        <v>256</v>
      </c>
      <c r="R14" s="1886"/>
      <c r="S14" s="287"/>
      <c r="T14" s="1849" t="s">
        <v>46</v>
      </c>
      <c r="U14" s="279" t="s">
        <v>176</v>
      </c>
      <c r="V14" s="1874">
        <v>176</v>
      </c>
      <c r="W14" s="1875"/>
      <c r="X14" s="1876"/>
    </row>
    <row r="15" spans="1:25" ht="22.5" customHeight="1" x14ac:dyDescent="0.25">
      <c r="A15" s="100" t="s">
        <v>38</v>
      </c>
      <c r="B15" s="1874">
        <v>254777</v>
      </c>
      <c r="C15" s="1876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877">
        <v>47</v>
      </c>
      <c r="R15" s="1877"/>
      <c r="S15" s="279">
        <v>0</v>
      </c>
      <c r="T15" s="1849"/>
      <c r="U15" s="279" t="s">
        <v>64</v>
      </c>
      <c r="V15" s="1877">
        <v>306275</v>
      </c>
      <c r="W15" s="1877"/>
      <c r="X15" s="1877"/>
    </row>
    <row r="16" spans="1:25" ht="24.75" customHeight="1" x14ac:dyDescent="0.25">
      <c r="A16" s="100" t="s">
        <v>39</v>
      </c>
      <c r="B16" s="1874">
        <v>280519</v>
      </c>
      <c r="C16" s="1876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855"/>
      <c r="R16" s="1855"/>
      <c r="S16" s="284"/>
      <c r="T16" s="1871" t="s">
        <v>55</v>
      </c>
      <c r="U16" s="1871"/>
      <c r="V16" s="1878">
        <f>Y12</f>
        <v>156622.57499999998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855"/>
      <c r="R17" s="1855"/>
      <c r="S17" s="281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150670</v>
      </c>
      <c r="C18" s="1876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877"/>
      <c r="R18" s="1877"/>
      <c r="S18" s="279"/>
      <c r="T18" s="1871" t="s">
        <v>57</v>
      </c>
      <c r="U18" s="1871"/>
      <c r="V18" s="1877">
        <v>470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384626</v>
      </c>
      <c r="C19" s="1876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874">
        <f t="shared" ref="Q19" si="14">Q15+Q16+Q17-Q18</f>
        <v>47</v>
      </c>
      <c r="R19" s="1876"/>
      <c r="S19" s="279">
        <f>S15+S16-S17-S18</f>
        <v>0</v>
      </c>
      <c r="T19" s="1869" t="s">
        <v>48</v>
      </c>
      <c r="U19" s="49" t="s">
        <v>58</v>
      </c>
      <c r="V19" s="1877">
        <v>130049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370202.52500000002</v>
      </c>
      <c r="C20" s="1904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11327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924380.32499999995</v>
      </c>
      <c r="C21" s="1910"/>
      <c r="O21" s="288"/>
      <c r="P21" s="288"/>
      <c r="Q21" s="288"/>
      <c r="R21" s="288"/>
      <c r="T21" s="1889" t="s">
        <v>167</v>
      </c>
      <c r="U21" s="1890"/>
      <c r="V21" s="1874">
        <v>18000</v>
      </c>
      <c r="W21" s="1875"/>
      <c r="X21" s="1876"/>
      <c r="Y21" s="1883"/>
    </row>
    <row r="22" spans="1:25" ht="35.25" customHeight="1" x14ac:dyDescent="0.25">
      <c r="A22" s="15"/>
      <c r="B22" s="1905" t="s">
        <v>49</v>
      </c>
      <c r="C22" s="1908">
        <v>816000</v>
      </c>
      <c r="D22" s="1908">
        <v>130049</v>
      </c>
      <c r="E22" s="1908">
        <v>350051</v>
      </c>
      <c r="F22" s="1908">
        <f>C22-D22+E22</f>
        <v>1036002</v>
      </c>
      <c r="G22" s="288"/>
      <c r="Q22" s="288"/>
      <c r="R22" s="288"/>
      <c r="T22" s="1863" t="s">
        <v>83</v>
      </c>
      <c r="U22" s="50" t="s">
        <v>60</v>
      </c>
      <c r="V22" s="1877">
        <v>136300</v>
      </c>
      <c r="W22" s="1877"/>
      <c r="X22" s="1877"/>
      <c r="Y22" s="1883"/>
    </row>
    <row r="23" spans="1:25" ht="39.75" customHeight="1" x14ac:dyDescent="0.25">
      <c r="A23" s="288"/>
      <c r="B23" s="1906"/>
      <c r="C23" s="1909"/>
      <c r="D23" s="1909"/>
      <c r="E23" s="1909"/>
      <c r="F23" s="1909"/>
      <c r="G23" s="288"/>
      <c r="Q23" s="288"/>
      <c r="R23" s="288"/>
      <c r="T23" s="1864"/>
      <c r="U23" s="50" t="s">
        <v>61</v>
      </c>
      <c r="V23" s="1877">
        <v>130049</v>
      </c>
      <c r="W23" s="1877"/>
      <c r="X23" s="1877"/>
      <c r="Y23" s="1883"/>
    </row>
    <row r="24" spans="1:25" ht="48" customHeight="1" x14ac:dyDescent="0.25">
      <c r="A24" s="28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849" t="s">
        <v>47</v>
      </c>
      <c r="U24" s="51" t="s">
        <v>62</v>
      </c>
      <c r="V24" s="1879">
        <f>V14+V16+V17-V18-V19-V20-V22+V23-V21</f>
        <v>2028.5749999999825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312526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88"/>
      <c r="J33" s="28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842" t="s">
        <v>292</v>
      </c>
      <c r="U3" s="1842"/>
      <c r="V3" s="1842"/>
      <c r="W3" s="1842"/>
      <c r="X3" s="1842"/>
      <c r="Y3" s="1842"/>
    </row>
    <row r="4" spans="1:25" s="2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78" customFormat="1" ht="25.5" customHeight="1" x14ac:dyDescent="0.25">
      <c r="A5" s="1843"/>
      <c r="B5" s="184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886" t="s">
        <v>256</v>
      </c>
      <c r="R14" s="1886"/>
      <c r="S14" s="287"/>
      <c r="T14" s="1849" t="s">
        <v>46</v>
      </c>
      <c r="U14" s="279" t="s">
        <v>176</v>
      </c>
      <c r="V14" s="1874">
        <v>2029</v>
      </c>
      <c r="W14" s="1875"/>
      <c r="X14" s="1876"/>
    </row>
    <row r="15" spans="1:25" ht="22.5" customHeight="1" x14ac:dyDescent="0.25">
      <c r="A15" s="100" t="s">
        <v>38</v>
      </c>
      <c r="B15" s="1874">
        <v>384626</v>
      </c>
      <c r="C15" s="1876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877">
        <v>47</v>
      </c>
      <c r="R15" s="1877"/>
      <c r="S15" s="279">
        <v>0</v>
      </c>
      <c r="T15" s="1849"/>
      <c r="U15" s="279" t="s">
        <v>64</v>
      </c>
      <c r="V15" s="1877">
        <v>312526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855"/>
      <c r="R16" s="1855"/>
      <c r="S16" s="284"/>
      <c r="T16" s="1871" t="s">
        <v>55</v>
      </c>
      <c r="U16" s="1871"/>
      <c r="V16" s="1878">
        <f>Y12</f>
        <v>149867.9975</v>
      </c>
      <c r="W16" s="1878"/>
      <c r="X16" s="1877"/>
    </row>
    <row r="17" spans="1:25" ht="28.5" customHeight="1" x14ac:dyDescent="0.25">
      <c r="A17" s="101" t="s">
        <v>44</v>
      </c>
      <c r="B17" s="1874">
        <v>50972</v>
      </c>
      <c r="C17" s="1876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855"/>
      <c r="R17" s="1855"/>
      <c r="S17" s="281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139491</v>
      </c>
      <c r="C18" s="1876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877"/>
      <c r="R18" s="1877"/>
      <c r="S18" s="279"/>
      <c r="T18" s="1871" t="s">
        <v>57</v>
      </c>
      <c r="U18" s="1871"/>
      <c r="V18" s="1877">
        <v>520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296107</v>
      </c>
      <c r="C19" s="1876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874">
        <f t="shared" ref="Q19" si="14">Q15+Q16+Q17-Q18</f>
        <v>47</v>
      </c>
      <c r="R19" s="1876"/>
      <c r="S19" s="279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285002.98749999999</v>
      </c>
      <c r="C20" s="1904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11327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825108.38749999995</v>
      </c>
      <c r="C21" s="1910"/>
      <c r="O21" s="288"/>
      <c r="P21" s="288"/>
      <c r="Q21" s="288"/>
      <c r="R21" s="288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905" t="s">
        <v>49</v>
      </c>
      <c r="C22" s="1908">
        <v>1036002</v>
      </c>
      <c r="D22" s="1908"/>
      <c r="E22" s="1908"/>
      <c r="F22" s="1908">
        <f>C22-D22+E22</f>
        <v>1036002</v>
      </c>
      <c r="G22" s="288"/>
      <c r="Q22" s="288"/>
      <c r="R22" s="288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288"/>
      <c r="B23" s="1906"/>
      <c r="C23" s="1909"/>
      <c r="D23" s="1909"/>
      <c r="E23" s="1909"/>
      <c r="F23" s="1909"/>
      <c r="G23" s="288"/>
      <c r="Q23" s="288"/>
      <c r="R23" s="288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28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849" t="s">
        <v>47</v>
      </c>
      <c r="U24" s="51" t="s">
        <v>62</v>
      </c>
      <c r="V24" s="1879">
        <f>V14+V16+V17-V18-V19-V20-V22+V23-V21</f>
        <v>151376.9975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312526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88"/>
      <c r="J33" s="28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842" t="s">
        <v>293</v>
      </c>
      <c r="U3" s="1842"/>
      <c r="V3" s="1842"/>
      <c r="W3" s="1842"/>
      <c r="X3" s="1842"/>
      <c r="Y3" s="1842"/>
    </row>
    <row r="4" spans="1:25" s="2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78" customFormat="1" ht="25.5" customHeight="1" x14ac:dyDescent="0.25">
      <c r="A5" s="1843"/>
      <c r="B5" s="1843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886" t="s">
        <v>256</v>
      </c>
      <c r="R14" s="1886"/>
      <c r="S14" s="287"/>
      <c r="T14" s="1849" t="s">
        <v>46</v>
      </c>
      <c r="U14" s="279" t="s">
        <v>176</v>
      </c>
      <c r="V14" s="1874">
        <v>151377</v>
      </c>
      <c r="W14" s="1875"/>
      <c r="X14" s="1876"/>
    </row>
    <row r="15" spans="1:25" ht="22.5" customHeight="1" x14ac:dyDescent="0.25">
      <c r="A15" s="100" t="s">
        <v>38</v>
      </c>
      <c r="B15" s="1874">
        <v>296107</v>
      </c>
      <c r="C15" s="1876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877">
        <v>47</v>
      </c>
      <c r="R15" s="1877"/>
      <c r="S15" s="279">
        <v>0</v>
      </c>
      <c r="T15" s="1849"/>
      <c r="U15" s="279" t="s">
        <v>64</v>
      </c>
      <c r="V15" s="1877">
        <v>312526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855"/>
      <c r="R16" s="1855"/>
      <c r="S16" s="284"/>
      <c r="T16" s="1871" t="s">
        <v>55</v>
      </c>
      <c r="U16" s="1871"/>
      <c r="V16" s="1878">
        <f>Y12</f>
        <v>191564.69750000001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855"/>
      <c r="R17" s="1855"/>
      <c r="S17" s="281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93611</v>
      </c>
      <c r="C18" s="1876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877">
        <v>47</v>
      </c>
      <c r="R18" s="1877"/>
      <c r="S18" s="279"/>
      <c r="T18" s="1871" t="s">
        <v>57</v>
      </c>
      <c r="U18" s="1871"/>
      <c r="V18" s="1877">
        <f>470+150+46417</f>
        <v>47037</v>
      </c>
      <c r="W18" s="1877"/>
      <c r="X18" s="1877"/>
      <c r="Y18" s="1883" t="s">
        <v>294</v>
      </c>
    </row>
    <row r="19" spans="1:25" ht="25.5" customHeight="1" x14ac:dyDescent="0.25">
      <c r="A19" s="100" t="s">
        <v>41</v>
      </c>
      <c r="B19" s="1874">
        <f>B15+B16+B17-B18</f>
        <v>202496</v>
      </c>
      <c r="C19" s="1876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874">
        <f t="shared" ref="Q19" si="14">Q15+Q16+Q17-Q18</f>
        <v>0</v>
      </c>
      <c r="R19" s="1876"/>
      <c r="S19" s="279">
        <f>S15+S16-S17-S18</f>
        <v>0</v>
      </c>
      <c r="T19" s="1869" t="s">
        <v>48</v>
      </c>
      <c r="U19" s="49" t="s">
        <v>58</v>
      </c>
      <c r="V19" s="1877">
        <v>438700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194902.39999999999</v>
      </c>
      <c r="C20" s="1904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634776.19999999995</v>
      </c>
      <c r="C21" s="1910"/>
      <c r="O21" s="288"/>
      <c r="P21" s="288"/>
      <c r="Q21" s="288"/>
      <c r="R21" s="288"/>
      <c r="T21" s="1889" t="s">
        <v>167</v>
      </c>
      <c r="U21" s="1890"/>
      <c r="V21" s="1874"/>
      <c r="W21" s="1875"/>
      <c r="X21" s="1876"/>
      <c r="Y21" s="1883"/>
    </row>
    <row r="22" spans="1:25" ht="35.25" customHeight="1" x14ac:dyDescent="0.25">
      <c r="A22" s="15"/>
      <c r="B22" s="1905" t="s">
        <v>49</v>
      </c>
      <c r="C22" s="1908">
        <v>1036002</v>
      </c>
      <c r="D22" s="1908">
        <v>438700</v>
      </c>
      <c r="E22" s="1908"/>
      <c r="F22" s="1908">
        <f>C22-D22+E22</f>
        <v>597302</v>
      </c>
      <c r="G22" s="288"/>
      <c r="Q22" s="288"/>
      <c r="R22" s="288"/>
      <c r="T22" s="1863" t="s">
        <v>83</v>
      </c>
      <c r="U22" s="50" t="s">
        <v>60</v>
      </c>
      <c r="V22" s="1877">
        <v>266420</v>
      </c>
      <c r="W22" s="1877"/>
      <c r="X22" s="1877"/>
      <c r="Y22" s="1883"/>
    </row>
    <row r="23" spans="1:25" ht="39.75" customHeight="1" x14ac:dyDescent="0.25">
      <c r="A23" s="288"/>
      <c r="B23" s="1906"/>
      <c r="C23" s="1909"/>
      <c r="D23" s="1909"/>
      <c r="E23" s="1909"/>
      <c r="F23" s="1909"/>
      <c r="G23" s="288"/>
      <c r="Q23" s="288"/>
      <c r="R23" s="288"/>
      <c r="T23" s="1864"/>
      <c r="U23" s="50" t="s">
        <v>61</v>
      </c>
      <c r="V23" s="1877">
        <v>438700</v>
      </c>
      <c r="W23" s="1877"/>
      <c r="X23" s="1877"/>
      <c r="Y23" s="1883"/>
    </row>
    <row r="24" spans="1:25" ht="48" customHeight="1" x14ac:dyDescent="0.25">
      <c r="A24" s="28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849" t="s">
        <v>47</v>
      </c>
      <c r="U24" s="51" t="s">
        <v>62</v>
      </c>
      <c r="V24" s="1879">
        <f>V14+V16+V17-V18-V19-V20-V22+V23-V21</f>
        <v>29484.697500000009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140246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288"/>
      <c r="J33" s="28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842" t="s">
        <v>295</v>
      </c>
      <c r="U3" s="1842"/>
      <c r="V3" s="1842"/>
      <c r="W3" s="1842"/>
      <c r="X3" s="1842"/>
      <c r="Y3" s="1842"/>
    </row>
    <row r="4" spans="1:25" s="29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97" customFormat="1" ht="25.5" customHeight="1" x14ac:dyDescent="0.25">
      <c r="A5" s="1843"/>
      <c r="B5" s="184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886" t="s">
        <v>256</v>
      </c>
      <c r="R14" s="1886"/>
      <c r="S14" s="301"/>
      <c r="T14" s="1849" t="s">
        <v>46</v>
      </c>
      <c r="U14" s="295" t="s">
        <v>176</v>
      </c>
      <c r="V14" s="1874">
        <v>29485</v>
      </c>
      <c r="W14" s="1875"/>
      <c r="X14" s="1876"/>
    </row>
    <row r="15" spans="1:25" ht="22.5" customHeight="1" x14ac:dyDescent="0.25">
      <c r="A15" s="100" t="s">
        <v>38</v>
      </c>
      <c r="B15" s="1874">
        <v>202496</v>
      </c>
      <c r="C15" s="1876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877">
        <v>0</v>
      </c>
      <c r="R15" s="1877"/>
      <c r="S15" s="295">
        <v>0</v>
      </c>
      <c r="T15" s="1849"/>
      <c r="U15" s="295" t="s">
        <v>64</v>
      </c>
      <c r="V15" s="1877">
        <v>140246</v>
      </c>
      <c r="W15" s="1877"/>
      <c r="X15" s="1877"/>
    </row>
    <row r="16" spans="1:25" ht="24.75" customHeight="1" x14ac:dyDescent="0.25">
      <c r="A16" s="100" t="s">
        <v>39</v>
      </c>
      <c r="B16" s="1874">
        <v>166263</v>
      </c>
      <c r="C16" s="1876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855"/>
      <c r="R16" s="1855"/>
      <c r="S16" s="298"/>
      <c r="T16" s="1871" t="s">
        <v>55</v>
      </c>
      <c r="U16" s="1871"/>
      <c r="V16" s="1878">
        <f>Y12</f>
        <v>207815.48500000002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855"/>
      <c r="R17" s="1855"/>
      <c r="S17" s="294"/>
      <c r="T17" s="1900" t="s">
        <v>296</v>
      </c>
      <c r="U17" s="1901"/>
      <c r="V17" s="1902">
        <v>250000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179546</v>
      </c>
      <c r="C18" s="1876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877"/>
      <c r="R18" s="1877"/>
      <c r="S18" s="295"/>
      <c r="T18" s="1871" t="s">
        <v>57</v>
      </c>
      <c r="U18" s="1871"/>
      <c r="V18" s="1877">
        <f>520+260</f>
        <v>780</v>
      </c>
      <c r="W18" s="1877"/>
      <c r="X18" s="1877"/>
      <c r="Y18" s="1883" t="s">
        <v>297</v>
      </c>
    </row>
    <row r="19" spans="1:25" ht="25.5" customHeight="1" x14ac:dyDescent="0.25">
      <c r="A19" s="100" t="s">
        <v>41</v>
      </c>
      <c r="B19" s="1874">
        <f>B15+B16+B17-B18</f>
        <v>189213</v>
      </c>
      <c r="C19" s="1876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874">
        <f t="shared" ref="Q19" si="14">Q15+Q16+Q17-Q18</f>
        <v>0</v>
      </c>
      <c r="R19" s="1876"/>
      <c r="S19" s="295">
        <f>S15+S16-S17-S18</f>
        <v>0</v>
      </c>
      <c r="T19" s="1869" t="s">
        <v>48</v>
      </c>
      <c r="U19" s="49" t="s">
        <v>58</v>
      </c>
      <c r="V19" s="1877">
        <v>597331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182117.51250000001</v>
      </c>
      <c r="C20" s="1904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613175.01249999995</v>
      </c>
      <c r="C21" s="1910"/>
      <c r="O21" s="302"/>
      <c r="P21" s="302"/>
      <c r="Q21" s="302"/>
      <c r="R21" s="302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597302</v>
      </c>
      <c r="D22" s="1908">
        <v>597331</v>
      </c>
      <c r="E22" s="1908">
        <v>184129</v>
      </c>
      <c r="F22" s="1908">
        <f>C22-D22+E22</f>
        <v>184100</v>
      </c>
      <c r="G22" s="302"/>
      <c r="Q22" s="302"/>
      <c r="R22" s="302"/>
      <c r="T22" s="1863" t="s">
        <v>83</v>
      </c>
      <c r="U22" s="50" t="s">
        <v>60</v>
      </c>
      <c r="V22" s="1877">
        <v>483620</v>
      </c>
      <c r="W22" s="1877"/>
      <c r="X22" s="1877"/>
      <c r="Y22" s="1883"/>
    </row>
    <row r="23" spans="1:25" ht="39.75" customHeight="1" x14ac:dyDescent="0.25">
      <c r="A23" s="302"/>
      <c r="B23" s="1906"/>
      <c r="C23" s="1909"/>
      <c r="D23" s="1909"/>
      <c r="E23" s="1909"/>
      <c r="F23" s="1909"/>
      <c r="G23" s="302"/>
      <c r="Q23" s="302"/>
      <c r="R23" s="302"/>
      <c r="T23" s="1864"/>
      <c r="U23" s="50" t="s">
        <v>61</v>
      </c>
      <c r="V23" s="1877">
        <v>597331</v>
      </c>
      <c r="W23" s="1877"/>
      <c r="X23" s="1877"/>
      <c r="Y23" s="1883"/>
    </row>
    <row r="24" spans="1:25" ht="48" customHeight="1" x14ac:dyDescent="0.25">
      <c r="A24" s="30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849" t="s">
        <v>47</v>
      </c>
      <c r="U24" s="51" t="s">
        <v>62</v>
      </c>
      <c r="V24" s="1879">
        <f>V14+V16+V17-V18-V19-V20-V22+V23-V21</f>
        <v>2900.484999999986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26535</v>
      </c>
      <c r="W25" s="1877"/>
      <c r="X25" s="1877"/>
    </row>
    <row r="26" spans="1:25" ht="36" customHeight="1" x14ac:dyDescent="0.25"/>
    <row r="32" spans="1:25" x14ac:dyDescent="0.25">
      <c r="I32" s="1894"/>
      <c r="J32" s="1894"/>
      <c r="K32" s="1894"/>
      <c r="L32" s="1894"/>
    </row>
    <row r="33" spans="9:12" x14ac:dyDescent="0.25">
      <c r="I33" s="302"/>
      <c r="J33" s="30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842" t="s">
        <v>298</v>
      </c>
      <c r="U3" s="1842"/>
      <c r="V3" s="1842"/>
      <c r="W3" s="1842"/>
      <c r="X3" s="1842"/>
      <c r="Y3" s="1842"/>
    </row>
    <row r="4" spans="1:25" s="29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97" customFormat="1" ht="25.5" customHeight="1" x14ac:dyDescent="0.25">
      <c r="A5" s="1843"/>
      <c r="B5" s="184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886"/>
      <c r="R14" s="1886"/>
      <c r="S14" s="301"/>
      <c r="T14" s="1849" t="s">
        <v>46</v>
      </c>
      <c r="U14" s="295" t="s">
        <v>176</v>
      </c>
      <c r="V14" s="1874">
        <v>2900</v>
      </c>
      <c r="W14" s="1875"/>
      <c r="X14" s="1876"/>
    </row>
    <row r="15" spans="1:25" ht="22.5" customHeight="1" x14ac:dyDescent="0.25">
      <c r="A15" s="100" t="s">
        <v>38</v>
      </c>
      <c r="B15" s="1874">
        <v>189213</v>
      </c>
      <c r="C15" s="1876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877">
        <v>0</v>
      </c>
      <c r="R15" s="1877"/>
      <c r="S15" s="295">
        <v>0</v>
      </c>
      <c r="T15" s="1849"/>
      <c r="U15" s="295" t="s">
        <v>64</v>
      </c>
      <c r="V15" s="1877">
        <v>26535</v>
      </c>
      <c r="W15" s="1877"/>
      <c r="X15" s="1877"/>
    </row>
    <row r="16" spans="1:25" ht="24.75" customHeight="1" x14ac:dyDescent="0.25">
      <c r="A16" s="100" t="s">
        <v>39</v>
      </c>
      <c r="B16" s="1874">
        <v>322077</v>
      </c>
      <c r="C16" s="1876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855"/>
      <c r="R16" s="1855"/>
      <c r="S16" s="298"/>
      <c r="T16" s="1871" t="s">
        <v>55</v>
      </c>
      <c r="U16" s="1871"/>
      <c r="V16" s="1878">
        <f>Y12</f>
        <v>199110.57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855"/>
      <c r="R17" s="1855"/>
      <c r="S17" s="294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196052</v>
      </c>
      <c r="C18" s="1876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877"/>
      <c r="R18" s="1877"/>
      <c r="S18" s="295"/>
      <c r="T18" s="1871" t="s">
        <v>57</v>
      </c>
      <c r="U18" s="1871"/>
      <c r="V18" s="1877">
        <f>470+2700+2033+918</f>
        <v>6121</v>
      </c>
      <c r="W18" s="1877"/>
      <c r="X18" s="1877"/>
      <c r="Y18" s="1883" t="s">
        <v>299</v>
      </c>
    </row>
    <row r="19" spans="1:25" ht="25.5" customHeight="1" x14ac:dyDescent="0.25">
      <c r="A19" s="100" t="s">
        <v>41</v>
      </c>
      <c r="B19" s="1874">
        <f>B15+B16+B17-B18</f>
        <v>315238</v>
      </c>
      <c r="C19" s="1876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874">
        <f t="shared" ref="Q19" si="14">Q15+Q16+Q17-Q18</f>
        <v>0</v>
      </c>
      <c r="R19" s="1876"/>
      <c r="S19" s="295">
        <f>S15+S16-S17-S18</f>
        <v>0</v>
      </c>
      <c r="T19" s="1869" t="s">
        <v>48</v>
      </c>
      <c r="U19" s="49" t="s">
        <v>58</v>
      </c>
      <c r="V19" s="1877">
        <v>184100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303416.57500000001</v>
      </c>
      <c r="C20" s="1904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726071.57499999995</v>
      </c>
      <c r="C21" s="1910"/>
      <c r="O21" s="302"/>
      <c r="P21" s="302"/>
      <c r="Q21" s="302"/>
      <c r="R21" s="302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184100</v>
      </c>
      <c r="D22" s="1908">
        <v>184100</v>
      </c>
      <c r="E22" s="1908">
        <v>310000</v>
      </c>
      <c r="F22" s="1908">
        <f>C22-D22+E22</f>
        <v>310000</v>
      </c>
      <c r="G22" s="302"/>
      <c r="Q22" s="302"/>
      <c r="R22" s="302"/>
      <c r="T22" s="1863" t="s">
        <v>83</v>
      </c>
      <c r="U22" s="50" t="s">
        <v>60</v>
      </c>
      <c r="V22" s="1877">
        <v>181020</v>
      </c>
      <c r="W22" s="1877"/>
      <c r="X22" s="1877"/>
      <c r="Y22" s="1883"/>
    </row>
    <row r="23" spans="1:25" ht="39.75" customHeight="1" x14ac:dyDescent="0.25">
      <c r="A23" s="302"/>
      <c r="B23" s="1906"/>
      <c r="C23" s="1909"/>
      <c r="D23" s="1909"/>
      <c r="E23" s="1909"/>
      <c r="F23" s="1909"/>
      <c r="G23" s="302"/>
      <c r="Q23" s="302"/>
      <c r="R23" s="302"/>
      <c r="T23" s="1864"/>
      <c r="U23" s="50" t="s">
        <v>61</v>
      </c>
      <c r="V23" s="1877">
        <v>184100</v>
      </c>
      <c r="W23" s="1877"/>
      <c r="X23" s="1877"/>
      <c r="Y23" s="1883"/>
    </row>
    <row r="24" spans="1:25" ht="48" customHeight="1" x14ac:dyDescent="0.25">
      <c r="A24" s="30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849" t="s">
        <v>47</v>
      </c>
      <c r="U24" s="51" t="s">
        <v>62</v>
      </c>
      <c r="V24" s="1879">
        <f>V14+V16+V17-V18-V19-V20-V22+V23-V21</f>
        <v>14869.570000000007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23455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02"/>
      <c r="J33" s="30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842" t="s">
        <v>300</v>
      </c>
      <c r="U3" s="1842"/>
      <c r="V3" s="1842"/>
      <c r="W3" s="1842"/>
      <c r="X3" s="1842"/>
      <c r="Y3" s="1842"/>
    </row>
    <row r="4" spans="1:25" s="29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297" customFormat="1" ht="25.5" customHeight="1" x14ac:dyDescent="0.25">
      <c r="A5" s="1843"/>
      <c r="B5" s="1843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886" t="s">
        <v>301</v>
      </c>
      <c r="R14" s="1886"/>
      <c r="S14" s="301"/>
      <c r="T14" s="1849" t="s">
        <v>46</v>
      </c>
      <c r="U14" s="295" t="s">
        <v>176</v>
      </c>
      <c r="V14" s="1874">
        <v>14870</v>
      </c>
      <c r="W14" s="1875"/>
      <c r="X14" s="1876"/>
    </row>
    <row r="15" spans="1:25" ht="22.5" customHeight="1" x14ac:dyDescent="0.25">
      <c r="A15" s="100" t="s">
        <v>38</v>
      </c>
      <c r="B15" s="1874">
        <v>315238</v>
      </c>
      <c r="C15" s="1876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877">
        <v>1078</v>
      </c>
      <c r="R15" s="1877"/>
      <c r="S15" s="295">
        <v>0</v>
      </c>
      <c r="T15" s="1849"/>
      <c r="U15" s="295" t="s">
        <v>64</v>
      </c>
      <c r="V15" s="1877">
        <v>23455</v>
      </c>
      <c r="W15" s="1877"/>
      <c r="X15" s="1877"/>
    </row>
    <row r="16" spans="1:25" ht="24.75" customHeight="1" x14ac:dyDescent="0.25">
      <c r="A16" s="100" t="s">
        <v>39</v>
      </c>
      <c r="B16" s="1874">
        <v>311203</v>
      </c>
      <c r="C16" s="1876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855"/>
      <c r="R16" s="1855"/>
      <c r="S16" s="298"/>
      <c r="T16" s="1871" t="s">
        <v>55</v>
      </c>
      <c r="U16" s="1871"/>
      <c r="V16" s="1878">
        <f>Y12</f>
        <v>228647.98499999999</v>
      </c>
      <c r="W16" s="1878"/>
      <c r="X16" s="1877"/>
    </row>
    <row r="17" spans="1:25" ht="28.5" customHeight="1" x14ac:dyDescent="0.25">
      <c r="A17" s="101" t="s">
        <v>44</v>
      </c>
      <c r="B17" s="1874">
        <v>59740</v>
      </c>
      <c r="C17" s="1876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855"/>
      <c r="R17" s="1855"/>
      <c r="S17" s="294"/>
      <c r="T17" s="1900" t="s">
        <v>296</v>
      </c>
      <c r="U17" s="1901"/>
      <c r="V17" s="1902">
        <v>120000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194546</v>
      </c>
      <c r="C18" s="1876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877">
        <v>131</v>
      </c>
      <c r="R18" s="1877"/>
      <c r="S18" s="295"/>
      <c r="T18" s="1871" t="s">
        <v>57</v>
      </c>
      <c r="U18" s="1871"/>
      <c r="V18" s="1877">
        <f>470+210+2700</f>
        <v>3380</v>
      </c>
      <c r="W18" s="1877"/>
      <c r="X18" s="1877"/>
      <c r="Y18" s="1883" t="s">
        <v>231</v>
      </c>
    </row>
    <row r="19" spans="1:25" ht="25.5" customHeight="1" x14ac:dyDescent="0.25">
      <c r="A19" s="100" t="s">
        <v>41</v>
      </c>
      <c r="B19" s="1874">
        <f>B15+B16+B17-B18</f>
        <v>491635</v>
      </c>
      <c r="C19" s="1876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874">
        <f t="shared" ref="Q19" si="14">Q15+Q16+Q17-Q18</f>
        <v>947</v>
      </c>
      <c r="R19" s="1876"/>
      <c r="S19" s="295">
        <f>S15+S16-S17-S18</f>
        <v>0</v>
      </c>
      <c r="T19" s="1869" t="s">
        <v>48</v>
      </c>
      <c r="U19" s="49" t="s">
        <v>58</v>
      </c>
      <c r="V19" s="1877">
        <v>310000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473198.6875</v>
      </c>
      <c r="C20" s="1904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228227</v>
      </c>
      <c r="R20" s="1904"/>
      <c r="S20" s="290">
        <f>241*S19</f>
        <v>0</v>
      </c>
      <c r="T20" s="1870"/>
      <c r="U20" s="49" t="s">
        <v>59</v>
      </c>
      <c r="V20" s="1877">
        <v>31571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1483362.6875</v>
      </c>
      <c r="C21" s="1910"/>
      <c r="O21" s="302"/>
      <c r="P21" s="302"/>
      <c r="Q21" s="302"/>
      <c r="R21" s="302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310000</v>
      </c>
      <c r="D22" s="1908">
        <v>310000</v>
      </c>
      <c r="E22" s="1908">
        <v>893773</v>
      </c>
      <c r="F22" s="1908">
        <f>C22-D22+E22</f>
        <v>893773</v>
      </c>
      <c r="G22" s="302"/>
      <c r="Q22" s="302"/>
      <c r="R22" s="302"/>
      <c r="T22" s="1863" t="s">
        <v>83</v>
      </c>
      <c r="U22" s="50" t="s">
        <v>60</v>
      </c>
      <c r="V22" s="1877">
        <v>309540</v>
      </c>
      <c r="W22" s="1877"/>
      <c r="X22" s="1877"/>
      <c r="Y22" s="1883"/>
    </row>
    <row r="23" spans="1:25" ht="39.75" customHeight="1" x14ac:dyDescent="0.25">
      <c r="A23" s="302"/>
      <c r="B23" s="1906"/>
      <c r="C23" s="1909"/>
      <c r="D23" s="1909"/>
      <c r="E23" s="1909"/>
      <c r="F23" s="1909"/>
      <c r="G23" s="302"/>
      <c r="Q23" s="302"/>
      <c r="R23" s="302"/>
      <c r="T23" s="1864"/>
      <c r="U23" s="50" t="s">
        <v>61</v>
      </c>
      <c r="V23" s="1877">
        <v>310000</v>
      </c>
      <c r="W23" s="1877"/>
      <c r="X23" s="1877"/>
      <c r="Y23" s="1883"/>
    </row>
    <row r="24" spans="1:25" ht="48" customHeight="1" x14ac:dyDescent="0.25">
      <c r="A24" s="30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849" t="s">
        <v>47</v>
      </c>
      <c r="U24" s="51" t="s">
        <v>62</v>
      </c>
      <c r="V24" s="1879">
        <f>V14+V16+V17-V18-V19-V20-V22+V23-V21</f>
        <v>19026.984999999986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22995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02"/>
      <c r="J33" s="30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842" t="s">
        <v>302</v>
      </c>
      <c r="U3" s="1842"/>
      <c r="V3" s="1842"/>
      <c r="W3" s="1842"/>
      <c r="X3" s="1842"/>
      <c r="Y3" s="1842"/>
    </row>
    <row r="4" spans="1:25" s="30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03" customFormat="1" ht="25.5" customHeight="1" x14ac:dyDescent="0.25">
      <c r="A5" s="1843"/>
      <c r="B5" s="1843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886" t="s">
        <v>301</v>
      </c>
      <c r="R14" s="1886"/>
      <c r="S14" s="312"/>
      <c r="T14" s="1849" t="s">
        <v>46</v>
      </c>
      <c r="U14" s="304" t="s">
        <v>176</v>
      </c>
      <c r="V14" s="1874">
        <v>19027</v>
      </c>
      <c r="W14" s="1875"/>
      <c r="X14" s="1876"/>
    </row>
    <row r="15" spans="1:25" ht="22.5" customHeight="1" x14ac:dyDescent="0.25">
      <c r="A15" s="100" t="s">
        <v>38</v>
      </c>
      <c r="B15" s="1874">
        <v>491635</v>
      </c>
      <c r="C15" s="1876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877">
        <v>947</v>
      </c>
      <c r="R15" s="1877"/>
      <c r="S15" s="304">
        <v>0</v>
      </c>
      <c r="T15" s="1849"/>
      <c r="U15" s="304" t="s">
        <v>64</v>
      </c>
      <c r="V15" s="1877">
        <v>22995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855"/>
      <c r="R16" s="1855"/>
      <c r="S16" s="309"/>
      <c r="T16" s="1871" t="s">
        <v>55</v>
      </c>
      <c r="U16" s="1871"/>
      <c r="V16" s="1878">
        <f>Y12</f>
        <v>325557.37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855"/>
      <c r="R17" s="1855"/>
      <c r="S17" s="306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165332</v>
      </c>
      <c r="C18" s="1876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877">
        <v>238</v>
      </c>
      <c r="R18" s="1877"/>
      <c r="S18" s="304"/>
      <c r="T18" s="1871" t="s">
        <v>57</v>
      </c>
      <c r="U18" s="1871"/>
      <c r="V18" s="1877">
        <f>620+450+7000+31000+57500</f>
        <v>96570</v>
      </c>
      <c r="W18" s="1877"/>
      <c r="X18" s="1877"/>
      <c r="Y18" s="1883" t="s">
        <v>303</v>
      </c>
    </row>
    <row r="19" spans="1:25" ht="25.5" customHeight="1" x14ac:dyDescent="0.25">
      <c r="A19" s="100" t="s">
        <v>41</v>
      </c>
      <c r="B19" s="1874">
        <f>B15+B16+B17-B18</f>
        <v>326303</v>
      </c>
      <c r="C19" s="1876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874">
        <f t="shared" ref="Q19" si="14">Q15+Q16+Q17-Q18</f>
        <v>709</v>
      </c>
      <c r="R19" s="1876"/>
      <c r="S19" s="304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314066.63750000001</v>
      </c>
      <c r="C20" s="1904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170869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1160704.4375</v>
      </c>
      <c r="C21" s="1910"/>
      <c r="O21" s="313"/>
      <c r="P21" s="313"/>
      <c r="Q21" s="313"/>
      <c r="R21" s="313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893773</v>
      </c>
      <c r="D22" s="1908"/>
      <c r="E22" s="1908"/>
      <c r="F22" s="1908">
        <f>C22-D22+E22</f>
        <v>893773</v>
      </c>
      <c r="G22" s="313"/>
      <c r="Q22" s="313"/>
      <c r="R22" s="313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313"/>
      <c r="B23" s="1906"/>
      <c r="C23" s="1909"/>
      <c r="D23" s="1909"/>
      <c r="E23" s="1909"/>
      <c r="F23" s="1909"/>
      <c r="G23" s="313"/>
      <c r="Q23" s="313"/>
      <c r="R23" s="313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31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849" t="s">
        <v>47</v>
      </c>
      <c r="U24" s="51" t="s">
        <v>62</v>
      </c>
      <c r="V24" s="1879">
        <f>V14+V16+V17-V18-V19-V20-V22+V23-V21</f>
        <v>248014.37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22995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13"/>
      <c r="J33" s="31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842" t="s">
        <v>304</v>
      </c>
      <c r="U3" s="1842"/>
      <c r="V3" s="1842"/>
      <c r="W3" s="1842"/>
      <c r="X3" s="1842"/>
      <c r="Y3" s="1842"/>
    </row>
    <row r="4" spans="1:25" s="3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20" customFormat="1" ht="25.5" customHeight="1" x14ac:dyDescent="0.25">
      <c r="A5" s="1843"/>
      <c r="B5" s="184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886" t="s">
        <v>301</v>
      </c>
      <c r="R14" s="1886"/>
      <c r="S14" s="324"/>
      <c r="T14" s="1849" t="s">
        <v>46</v>
      </c>
      <c r="U14" s="318" t="s">
        <v>176</v>
      </c>
      <c r="V14" s="1874">
        <v>248014</v>
      </c>
      <c r="W14" s="1875"/>
      <c r="X14" s="1876"/>
    </row>
    <row r="15" spans="1:25" ht="22.5" customHeight="1" x14ac:dyDescent="0.25">
      <c r="A15" s="100" t="s">
        <v>38</v>
      </c>
      <c r="B15" s="1874">
        <v>326303</v>
      </c>
      <c r="C15" s="1876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877">
        <v>709</v>
      </c>
      <c r="R15" s="1877"/>
      <c r="S15" s="318">
        <v>0</v>
      </c>
      <c r="T15" s="1849"/>
      <c r="U15" s="318" t="s">
        <v>64</v>
      </c>
      <c r="V15" s="1877">
        <v>22995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855"/>
      <c r="R16" s="1855"/>
      <c r="S16" s="321"/>
      <c r="T16" s="1871" t="s">
        <v>55</v>
      </c>
      <c r="U16" s="1871"/>
      <c r="V16" s="1878">
        <f>Y12</f>
        <v>331881.69750000001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855"/>
      <c r="R17" s="1855"/>
      <c r="S17" s="317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149611</v>
      </c>
      <c r="C18" s="1876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877"/>
      <c r="R18" s="1877"/>
      <c r="S18" s="318"/>
      <c r="T18" s="1871" t="s">
        <v>57</v>
      </c>
      <c r="U18" s="1871"/>
      <c r="V18" s="1877">
        <f>520+630+2600+500</f>
        <v>4250</v>
      </c>
      <c r="W18" s="1877"/>
      <c r="X18" s="1877"/>
      <c r="Y18" s="1883" t="s">
        <v>305</v>
      </c>
    </row>
    <row r="19" spans="1:25" ht="25.5" customHeight="1" x14ac:dyDescent="0.25">
      <c r="A19" s="100" t="s">
        <v>41</v>
      </c>
      <c r="B19" s="1874">
        <f>B15+B16+B17-B18</f>
        <v>280588</v>
      </c>
      <c r="C19" s="1876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874">
        <f t="shared" ref="Q19" si="14">Q15+Q16+Q17-Q18</f>
        <v>709</v>
      </c>
      <c r="R19" s="1876"/>
      <c r="S19" s="318">
        <f>S15+S16-S17-S18</f>
        <v>0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270065.95</v>
      </c>
      <c r="C20" s="1904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170869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931860.05</v>
      </c>
      <c r="C21" s="1910"/>
      <c r="O21" s="325"/>
      <c r="P21" s="325"/>
      <c r="Q21" s="325"/>
      <c r="R21" s="325"/>
      <c r="T21" s="1900" t="s">
        <v>167</v>
      </c>
      <c r="U21" s="1901"/>
      <c r="V21" s="1911">
        <v>170000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893773</v>
      </c>
      <c r="D22" s="1908">
        <v>400000</v>
      </c>
      <c r="E22" s="1908">
        <v>100000</v>
      </c>
      <c r="F22" s="1908">
        <f>C22-D22+E22</f>
        <v>593773</v>
      </c>
      <c r="G22" s="325"/>
      <c r="Q22" s="325"/>
      <c r="R22" s="325"/>
      <c r="T22" s="1863" t="s">
        <v>83</v>
      </c>
      <c r="U22" s="50" t="s">
        <v>60</v>
      </c>
      <c r="V22" s="1877">
        <v>575760</v>
      </c>
      <c r="W22" s="1877"/>
      <c r="X22" s="1877"/>
      <c r="Y22" s="1883"/>
    </row>
    <row r="23" spans="1:25" ht="39.75" customHeight="1" x14ac:dyDescent="0.25">
      <c r="A23" s="325"/>
      <c r="B23" s="1906"/>
      <c r="C23" s="1909"/>
      <c r="D23" s="1909"/>
      <c r="E23" s="1909"/>
      <c r="F23" s="1909"/>
      <c r="G23" s="325"/>
      <c r="Q23" s="325"/>
      <c r="R23" s="325"/>
      <c r="T23" s="1864"/>
      <c r="U23" s="50" t="s">
        <v>61</v>
      </c>
      <c r="V23" s="1877">
        <v>575400</v>
      </c>
      <c r="W23" s="1877"/>
      <c r="X23" s="1877"/>
      <c r="Y23" s="1883"/>
    </row>
    <row r="24" spans="1:25" ht="48" customHeight="1" x14ac:dyDescent="0.25">
      <c r="A24" s="32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849" t="s">
        <v>47</v>
      </c>
      <c r="U24" s="51" t="s">
        <v>62</v>
      </c>
      <c r="V24" s="1879">
        <f>V14+V16+V17-V18-V19-V20-V22+V23-V21</f>
        <v>5285.6975000000093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23355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25"/>
      <c r="J33" s="325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842" t="s">
        <v>306</v>
      </c>
      <c r="U3" s="1842"/>
      <c r="V3" s="1842"/>
      <c r="W3" s="1842"/>
      <c r="X3" s="1842"/>
      <c r="Y3" s="1842"/>
    </row>
    <row r="4" spans="1:25" s="32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20" customFormat="1" ht="25.5" customHeight="1" x14ac:dyDescent="0.25">
      <c r="A5" s="1843"/>
      <c r="B5" s="1843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886" t="s">
        <v>301</v>
      </c>
      <c r="R14" s="1886"/>
      <c r="S14" s="324"/>
      <c r="T14" s="1849" t="s">
        <v>46</v>
      </c>
      <c r="U14" s="318" t="s">
        <v>176</v>
      </c>
      <c r="V14" s="1874">
        <v>5286</v>
      </c>
      <c r="W14" s="1875"/>
      <c r="X14" s="1876"/>
    </row>
    <row r="15" spans="1:25" ht="22.5" customHeight="1" x14ac:dyDescent="0.25">
      <c r="A15" s="100" t="s">
        <v>38</v>
      </c>
      <c r="B15" s="1874">
        <v>280588</v>
      </c>
      <c r="C15" s="1876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877">
        <v>709</v>
      </c>
      <c r="R15" s="1877"/>
      <c r="S15" s="318">
        <v>0</v>
      </c>
      <c r="T15" s="1849"/>
      <c r="U15" s="318" t="s">
        <v>64</v>
      </c>
      <c r="V15" s="1877">
        <v>23355</v>
      </c>
      <c r="W15" s="1877"/>
      <c r="X15" s="1877"/>
    </row>
    <row r="16" spans="1:25" ht="24.75" customHeight="1" x14ac:dyDescent="0.25">
      <c r="A16" s="100" t="s">
        <v>39</v>
      </c>
      <c r="B16" s="1874">
        <v>301292</v>
      </c>
      <c r="C16" s="1876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855"/>
      <c r="R16" s="1855"/>
      <c r="S16" s="321"/>
      <c r="T16" s="1871" t="s">
        <v>55</v>
      </c>
      <c r="U16" s="1871"/>
      <c r="V16" s="1878">
        <f>Y12</f>
        <v>353107.9325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855"/>
      <c r="R17" s="1855"/>
      <c r="S17" s="317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324257</v>
      </c>
      <c r="C18" s="1876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877"/>
      <c r="R18" s="1877"/>
      <c r="S18" s="318"/>
      <c r="T18" s="1871" t="s">
        <v>57</v>
      </c>
      <c r="U18" s="1871"/>
      <c r="V18" s="1877">
        <f>520+60+60+300</f>
        <v>940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257623</v>
      </c>
      <c r="C19" s="1876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874">
        <f t="shared" ref="Q19" si="14">Q15+Q16+Q17-Q18</f>
        <v>709</v>
      </c>
      <c r="R19" s="1876"/>
      <c r="S19" s="318">
        <f>S15+S16-S17-S18</f>
        <v>0</v>
      </c>
      <c r="T19" s="1869" t="s">
        <v>48</v>
      </c>
      <c r="U19" s="49" t="s">
        <v>58</v>
      </c>
      <c r="V19" s="1877">
        <v>366830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247962.13750000001</v>
      </c>
      <c r="C20" s="1904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170869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872426.63749999995</v>
      </c>
      <c r="C21" s="1910"/>
      <c r="O21" s="325"/>
      <c r="P21" s="325"/>
      <c r="Q21" s="325"/>
      <c r="R21" s="325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593773</v>
      </c>
      <c r="D22" s="1908">
        <v>366830</v>
      </c>
      <c r="E22" s="1908">
        <v>290000</v>
      </c>
      <c r="F22" s="1908">
        <f>C22-D22+E22</f>
        <v>516943</v>
      </c>
      <c r="G22" s="325"/>
      <c r="Q22" s="325"/>
      <c r="R22" s="325"/>
      <c r="T22" s="1863" t="s">
        <v>83</v>
      </c>
      <c r="U22" s="50" t="s">
        <v>60</v>
      </c>
      <c r="V22" s="1877">
        <v>356500</v>
      </c>
      <c r="W22" s="1877"/>
      <c r="X22" s="1877"/>
      <c r="Y22" s="1883"/>
    </row>
    <row r="23" spans="1:25" ht="39.75" customHeight="1" x14ac:dyDescent="0.25">
      <c r="A23" s="325"/>
      <c r="B23" s="1906"/>
      <c r="C23" s="1909"/>
      <c r="D23" s="1909"/>
      <c r="E23" s="1909"/>
      <c r="F23" s="1909"/>
      <c r="G23" s="325"/>
      <c r="Q23" s="325"/>
      <c r="R23" s="325"/>
      <c r="T23" s="1864"/>
      <c r="U23" s="50" t="s">
        <v>61</v>
      </c>
      <c r="V23" s="1877">
        <v>366830</v>
      </c>
      <c r="W23" s="1877"/>
      <c r="X23" s="1877"/>
      <c r="Y23" s="1883"/>
    </row>
    <row r="24" spans="1:25" ht="48" customHeight="1" x14ac:dyDescent="0.25">
      <c r="A24" s="32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849" t="s">
        <v>47</v>
      </c>
      <c r="U24" s="51" t="s">
        <v>62</v>
      </c>
      <c r="V24" s="1879">
        <f>V14+V16+V17-V18-V19-V20-V22+V23-V21</f>
        <v>953.93249999999534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13025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25"/>
      <c r="J33" s="325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842" t="s">
        <v>307</v>
      </c>
      <c r="U3" s="1842"/>
      <c r="V3" s="1842"/>
      <c r="W3" s="1842"/>
      <c r="X3" s="1842"/>
      <c r="Y3" s="1842"/>
    </row>
    <row r="4" spans="1:25" s="32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26" customFormat="1" ht="25.5" customHeight="1" x14ac:dyDescent="0.25">
      <c r="A5" s="1843"/>
      <c r="B5" s="184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886" t="s">
        <v>301</v>
      </c>
      <c r="R14" s="1886"/>
      <c r="S14" s="335"/>
      <c r="T14" s="1849" t="s">
        <v>46</v>
      </c>
      <c r="U14" s="327" t="s">
        <v>176</v>
      </c>
      <c r="V14" s="1874">
        <v>954</v>
      </c>
      <c r="W14" s="1875"/>
      <c r="X14" s="1876"/>
    </row>
    <row r="15" spans="1:25" ht="22.5" customHeight="1" x14ac:dyDescent="0.25">
      <c r="A15" s="100" t="s">
        <v>38</v>
      </c>
      <c r="B15" s="1874">
        <v>257623</v>
      </c>
      <c r="C15" s="1876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877">
        <v>709</v>
      </c>
      <c r="R15" s="1877"/>
      <c r="S15" s="327">
        <v>0</v>
      </c>
      <c r="T15" s="1849"/>
      <c r="U15" s="327" t="s">
        <v>64</v>
      </c>
      <c r="V15" s="1877">
        <v>13025</v>
      </c>
      <c r="W15" s="1877"/>
      <c r="X15" s="1877"/>
    </row>
    <row r="16" spans="1:25" ht="24.75" customHeight="1" x14ac:dyDescent="0.25">
      <c r="A16" s="100" t="s">
        <v>39</v>
      </c>
      <c r="B16" s="1874">
        <v>259740</v>
      </c>
      <c r="C16" s="1876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855"/>
      <c r="R16" s="1855"/>
      <c r="S16" s="332"/>
      <c r="T16" s="1871" t="s">
        <v>55</v>
      </c>
      <c r="U16" s="1871"/>
      <c r="V16" s="1878">
        <f>Y12</f>
        <v>251964.12</v>
      </c>
      <c r="W16" s="1878"/>
      <c r="X16" s="1877"/>
    </row>
    <row r="17" spans="1:25" ht="28.5" customHeight="1" x14ac:dyDescent="0.25">
      <c r="A17" s="101" t="s">
        <v>44</v>
      </c>
      <c r="B17" s="1874">
        <v>56034</v>
      </c>
      <c r="C17" s="1876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855"/>
      <c r="R17" s="1855"/>
      <c r="S17" s="329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237632</v>
      </c>
      <c r="C18" s="1876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877"/>
      <c r="R18" s="1877"/>
      <c r="S18" s="327"/>
      <c r="T18" s="1871" t="s">
        <v>57</v>
      </c>
      <c r="U18" s="1871"/>
      <c r="V18" s="1877">
        <f>620+1200</f>
        <v>1820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335765</v>
      </c>
      <c r="C19" s="1876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874">
        <f t="shared" ref="Q19" si="14">Q15+Q16+Q17-Q18</f>
        <v>709</v>
      </c>
      <c r="R19" s="1876"/>
      <c r="S19" s="327">
        <f>S15+S16-S17-S18</f>
        <v>0</v>
      </c>
      <c r="T19" s="1869" t="s">
        <v>48</v>
      </c>
      <c r="U19" s="49" t="s">
        <v>58</v>
      </c>
      <c r="V19" s="1877">
        <v>60500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323173.8125</v>
      </c>
      <c r="C20" s="1904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170869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926929.01249999995</v>
      </c>
      <c r="C21" s="1910"/>
      <c r="O21" s="336"/>
      <c r="P21" s="336"/>
      <c r="Q21" s="336"/>
      <c r="R21" s="336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516943</v>
      </c>
      <c r="D22" s="1908">
        <v>60500</v>
      </c>
      <c r="E22" s="1908">
        <v>250000</v>
      </c>
      <c r="F22" s="1908">
        <f>C22-D22+E22</f>
        <v>706443</v>
      </c>
      <c r="G22" s="336"/>
      <c r="Q22" s="336"/>
      <c r="R22" s="336"/>
      <c r="T22" s="1863" t="s">
        <v>83</v>
      </c>
      <c r="U22" s="50" t="s">
        <v>60</v>
      </c>
      <c r="V22" s="1877">
        <v>250620</v>
      </c>
      <c r="W22" s="1877"/>
      <c r="X22" s="1877"/>
      <c r="Y22" s="1883"/>
    </row>
    <row r="23" spans="1:25" ht="39.75" customHeight="1" x14ac:dyDescent="0.25">
      <c r="A23" s="336"/>
      <c r="B23" s="1906"/>
      <c r="C23" s="1909"/>
      <c r="D23" s="1909"/>
      <c r="E23" s="1909"/>
      <c r="F23" s="1909"/>
      <c r="G23" s="336"/>
      <c r="Q23" s="336"/>
      <c r="R23" s="336"/>
      <c r="T23" s="1864"/>
      <c r="U23" s="50" t="s">
        <v>61</v>
      </c>
      <c r="V23" s="1877">
        <v>60500</v>
      </c>
      <c r="W23" s="1877"/>
      <c r="X23" s="1877"/>
      <c r="Y23" s="1883"/>
    </row>
    <row r="24" spans="1:25" ht="48" customHeight="1" x14ac:dyDescent="0.25">
      <c r="A24" s="33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849" t="s">
        <v>47</v>
      </c>
      <c r="U24" s="51" t="s">
        <v>62</v>
      </c>
      <c r="V24" s="1879">
        <f>V14+V16+V17-V18-V19-V20-V22+V23-V21</f>
        <v>478.11999999999534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203145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36"/>
      <c r="J33" s="33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842" t="s">
        <v>308</v>
      </c>
      <c r="U3" s="1842"/>
      <c r="V3" s="1842"/>
      <c r="W3" s="1842"/>
      <c r="X3" s="1842"/>
      <c r="Y3" s="1842"/>
    </row>
    <row r="4" spans="1:25" s="32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26" customFormat="1" ht="25.5" customHeight="1" x14ac:dyDescent="0.25">
      <c r="A5" s="1843"/>
      <c r="B5" s="1843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886" t="s">
        <v>301</v>
      </c>
      <c r="R14" s="1886"/>
      <c r="S14" s="335"/>
      <c r="T14" s="1849" t="s">
        <v>46</v>
      </c>
      <c r="U14" s="327" t="s">
        <v>176</v>
      </c>
      <c r="V14" s="1874">
        <v>478</v>
      </c>
      <c r="W14" s="1875"/>
      <c r="X14" s="1876"/>
    </row>
    <row r="15" spans="1:25" ht="22.5" customHeight="1" x14ac:dyDescent="0.25">
      <c r="A15" s="100" t="s">
        <v>38</v>
      </c>
      <c r="B15" s="1874">
        <v>335765</v>
      </c>
      <c r="C15" s="1876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877">
        <v>709</v>
      </c>
      <c r="R15" s="1877"/>
      <c r="S15" s="327">
        <v>0</v>
      </c>
      <c r="T15" s="1849"/>
      <c r="U15" s="327" t="s">
        <v>64</v>
      </c>
      <c r="V15" s="1877">
        <v>203145</v>
      </c>
      <c r="W15" s="1877"/>
      <c r="X15" s="1877"/>
    </row>
    <row r="16" spans="1:25" ht="24.75" customHeight="1" x14ac:dyDescent="0.25">
      <c r="A16" s="100" t="s">
        <v>39</v>
      </c>
      <c r="B16" s="1874">
        <v>332467</v>
      </c>
      <c r="C16" s="1876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855"/>
      <c r="R16" s="1855"/>
      <c r="S16" s="332"/>
      <c r="T16" s="1871" t="s">
        <v>55</v>
      </c>
      <c r="U16" s="1871"/>
      <c r="V16" s="1878">
        <f>Y12</f>
        <v>261967.05249999999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855"/>
      <c r="R17" s="1855"/>
      <c r="S17" s="329"/>
      <c r="T17" s="1900" t="s">
        <v>296</v>
      </c>
      <c r="U17" s="1901"/>
      <c r="V17" s="1902">
        <v>200000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206689</v>
      </c>
      <c r="C18" s="1876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877">
        <v>145</v>
      </c>
      <c r="R18" s="1877"/>
      <c r="S18" s="327"/>
      <c r="T18" s="1871" t="s">
        <v>57</v>
      </c>
      <c r="U18" s="1871"/>
      <c r="V18" s="1877">
        <f>520+700+53933</f>
        <v>55153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461543</v>
      </c>
      <c r="C19" s="1876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874">
        <f t="shared" ref="Q19" si="14">Q15+Q16+Q17-Q18</f>
        <v>564</v>
      </c>
      <c r="R19" s="1876"/>
      <c r="S19" s="327">
        <f>S15+S16-S17-S18</f>
        <v>0</v>
      </c>
      <c r="T19" s="1869" t="s">
        <v>48</v>
      </c>
      <c r="U19" s="49" t="s">
        <v>58</v>
      </c>
      <c r="V19" s="1877">
        <v>550973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444235.13750000001</v>
      </c>
      <c r="C20" s="1904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135924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987272.33750000002</v>
      </c>
      <c r="C21" s="1910"/>
      <c r="O21" s="336"/>
      <c r="P21" s="336"/>
      <c r="Q21" s="336"/>
      <c r="R21" s="336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706443</v>
      </c>
      <c r="D22" s="1908">
        <v>550973</v>
      </c>
      <c r="E22" s="1908">
        <v>320000</v>
      </c>
      <c r="F22" s="1908">
        <f>C22-D22+E22</f>
        <v>475470</v>
      </c>
      <c r="G22" s="336"/>
      <c r="Q22" s="336"/>
      <c r="R22" s="336"/>
      <c r="T22" s="1863" t="s">
        <v>83</v>
      </c>
      <c r="U22" s="50" t="s">
        <v>60</v>
      </c>
      <c r="V22" s="1877">
        <v>396550</v>
      </c>
      <c r="W22" s="1877"/>
      <c r="X22" s="1877"/>
      <c r="Y22" s="1883"/>
    </row>
    <row r="23" spans="1:25" ht="39.75" customHeight="1" x14ac:dyDescent="0.25">
      <c r="A23" s="336"/>
      <c r="B23" s="1906"/>
      <c r="C23" s="1909"/>
      <c r="D23" s="1909"/>
      <c r="E23" s="1909"/>
      <c r="F23" s="1909"/>
      <c r="G23" s="336"/>
      <c r="Q23" s="336"/>
      <c r="R23" s="336"/>
      <c r="T23" s="1864"/>
      <c r="U23" s="50" t="s">
        <v>61</v>
      </c>
      <c r="V23" s="1877">
        <v>550973</v>
      </c>
      <c r="W23" s="1877"/>
      <c r="X23" s="1877"/>
      <c r="Y23" s="1883"/>
    </row>
    <row r="24" spans="1:25" ht="48" customHeight="1" x14ac:dyDescent="0.25">
      <c r="A24" s="33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849" t="s">
        <v>47</v>
      </c>
      <c r="U24" s="51" t="s">
        <v>62</v>
      </c>
      <c r="V24" s="1879">
        <f>V14+V16+V17-V18-V19-V20-V22+V23-V21</f>
        <v>10742.052499999991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48722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36"/>
      <c r="J33" s="33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842" t="s">
        <v>309</v>
      </c>
      <c r="U3" s="1842"/>
      <c r="V3" s="1842"/>
      <c r="W3" s="1842"/>
      <c r="X3" s="1842"/>
      <c r="Y3" s="1842"/>
    </row>
    <row r="4" spans="1:25" s="33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37" customFormat="1" ht="25.5" customHeight="1" x14ac:dyDescent="0.25">
      <c r="A5" s="1843"/>
      <c r="B5" s="184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886" t="s">
        <v>301</v>
      </c>
      <c r="R14" s="1886"/>
      <c r="S14" s="346"/>
      <c r="T14" s="1849" t="s">
        <v>46</v>
      </c>
      <c r="U14" s="338" t="s">
        <v>176</v>
      </c>
      <c r="V14" s="1874">
        <v>10742</v>
      </c>
      <c r="W14" s="1875"/>
      <c r="X14" s="1876"/>
    </row>
    <row r="15" spans="1:25" ht="22.5" customHeight="1" x14ac:dyDescent="0.25">
      <c r="A15" s="100" t="s">
        <v>38</v>
      </c>
      <c r="B15" s="1874">
        <v>461543</v>
      </c>
      <c r="C15" s="1876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877">
        <v>564</v>
      </c>
      <c r="R15" s="1877"/>
      <c r="S15" s="338">
        <v>0</v>
      </c>
      <c r="T15" s="1849"/>
      <c r="U15" s="338" t="s">
        <v>64</v>
      </c>
      <c r="V15" s="1877">
        <v>48722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855"/>
      <c r="R16" s="1855"/>
      <c r="S16" s="343"/>
      <c r="T16" s="1871" t="s">
        <v>55</v>
      </c>
      <c r="U16" s="1871"/>
      <c r="V16" s="1878">
        <f>Y12</f>
        <v>271115.24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855"/>
      <c r="R17" s="1855"/>
      <c r="S17" s="340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138864</v>
      </c>
      <c r="C18" s="1876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877"/>
      <c r="R18" s="1877"/>
      <c r="S18" s="338"/>
      <c r="T18" s="1871" t="s">
        <v>57</v>
      </c>
      <c r="U18" s="1871"/>
      <c r="V18" s="1877">
        <v>670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322679</v>
      </c>
      <c r="C19" s="1876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874">
        <f t="shared" ref="Q19" si="14">Q15+Q16+Q17-Q18</f>
        <v>564</v>
      </c>
      <c r="R19" s="1876"/>
      <c r="S19" s="338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310578.53750000003</v>
      </c>
      <c r="C20" s="1904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135924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1142208.5375000001</v>
      </c>
      <c r="C21" s="1910"/>
      <c r="O21" s="347"/>
      <c r="P21" s="347"/>
      <c r="Q21" s="347"/>
      <c r="R21" s="347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475470</v>
      </c>
      <c r="D22" s="1908"/>
      <c r="E22" s="1908">
        <v>422639</v>
      </c>
      <c r="F22" s="1908">
        <f>C22-D22+E22</f>
        <v>898109</v>
      </c>
      <c r="G22" s="347"/>
      <c r="Q22" s="347"/>
      <c r="R22" s="347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347"/>
      <c r="B23" s="1906"/>
      <c r="C23" s="1909"/>
      <c r="D23" s="1909"/>
      <c r="E23" s="1909"/>
      <c r="F23" s="1909"/>
      <c r="G23" s="347"/>
      <c r="Q23" s="347"/>
      <c r="R23" s="347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34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849" t="s">
        <v>47</v>
      </c>
      <c r="U24" s="51" t="s">
        <v>62</v>
      </c>
      <c r="V24" s="1879">
        <f>V14+V16+V17-V18-V19-V20-V22+V23-V21</f>
        <v>281187.24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48722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47"/>
      <c r="J33" s="347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842" t="s">
        <v>310</v>
      </c>
      <c r="U3" s="1842"/>
      <c r="V3" s="1842"/>
      <c r="W3" s="1842"/>
      <c r="X3" s="1842"/>
      <c r="Y3" s="1842"/>
    </row>
    <row r="4" spans="1:25" s="33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37" customFormat="1" ht="25.5" customHeight="1" x14ac:dyDescent="0.25">
      <c r="A5" s="1843"/>
      <c r="B5" s="1843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886" t="s">
        <v>301</v>
      </c>
      <c r="R14" s="1886"/>
      <c r="S14" s="346"/>
      <c r="T14" s="1849" t="s">
        <v>46</v>
      </c>
      <c r="U14" s="338" t="s">
        <v>176</v>
      </c>
      <c r="V14" s="1874">
        <v>281187</v>
      </c>
      <c r="W14" s="1875"/>
      <c r="X14" s="1876"/>
    </row>
    <row r="15" spans="1:25" ht="22.5" customHeight="1" x14ac:dyDescent="0.25">
      <c r="A15" s="100" t="s">
        <v>38</v>
      </c>
      <c r="B15" s="1874">
        <v>322679</v>
      </c>
      <c r="C15" s="1876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877">
        <v>564</v>
      </c>
      <c r="R15" s="1877"/>
      <c r="S15" s="338">
        <v>0</v>
      </c>
      <c r="T15" s="1849"/>
      <c r="U15" s="338" t="s">
        <v>64</v>
      </c>
      <c r="V15" s="1877">
        <v>48722</v>
      </c>
      <c r="W15" s="1877"/>
      <c r="X15" s="1877"/>
    </row>
    <row r="16" spans="1:25" ht="24.75" customHeight="1" x14ac:dyDescent="0.25">
      <c r="A16" s="100" t="s">
        <v>39</v>
      </c>
      <c r="B16" s="1874">
        <v>124675</v>
      </c>
      <c r="C16" s="1876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855"/>
      <c r="R16" s="1855"/>
      <c r="S16" s="343"/>
      <c r="T16" s="1871" t="s">
        <v>55</v>
      </c>
      <c r="U16" s="1871"/>
      <c r="V16" s="1878">
        <f>Y12</f>
        <v>212842.17249999999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855"/>
      <c r="R17" s="1855"/>
      <c r="S17" s="340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152321</v>
      </c>
      <c r="C18" s="1876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877"/>
      <c r="R18" s="1877"/>
      <c r="S18" s="338"/>
      <c r="T18" s="1871" t="s">
        <v>57</v>
      </c>
      <c r="U18" s="1871"/>
      <c r="V18" s="1877">
        <v>470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295033</v>
      </c>
      <c r="C19" s="1876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874">
        <f t="shared" ref="Q19" si="14">Q15+Q16+Q17-Q18</f>
        <v>564</v>
      </c>
      <c r="R19" s="1876"/>
      <c r="S19" s="338">
        <f>S15+S16-S17-S18</f>
        <v>0</v>
      </c>
      <c r="T19" s="1869" t="s">
        <v>48</v>
      </c>
      <c r="U19" s="49" t="s">
        <v>58</v>
      </c>
      <c r="V19" s="1877">
        <v>320000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283969.26250000001</v>
      </c>
      <c r="C20" s="1904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135924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1051487.7625</v>
      </c>
      <c r="C21" s="1910"/>
      <c r="O21" s="347"/>
      <c r="P21" s="347"/>
      <c r="Q21" s="347"/>
      <c r="R21" s="347"/>
      <c r="T21" s="1900" t="s">
        <v>167</v>
      </c>
      <c r="U21" s="1901"/>
      <c r="V21" s="1911">
        <v>150000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898109</v>
      </c>
      <c r="D22" s="1908">
        <v>320000</v>
      </c>
      <c r="E22" s="1908">
        <v>120000</v>
      </c>
      <c r="F22" s="1908">
        <f>C22-D22+E22</f>
        <v>698109</v>
      </c>
      <c r="G22" s="347"/>
      <c r="Q22" s="347"/>
      <c r="R22" s="347"/>
      <c r="T22" s="1863" t="s">
        <v>83</v>
      </c>
      <c r="U22" s="50" t="s">
        <v>60</v>
      </c>
      <c r="V22" s="1877">
        <v>483570</v>
      </c>
      <c r="W22" s="1877"/>
      <c r="X22" s="1877"/>
      <c r="Y22" s="1883"/>
    </row>
    <row r="23" spans="1:25" ht="39.75" customHeight="1" x14ac:dyDescent="0.25">
      <c r="A23" s="347"/>
      <c r="B23" s="1906"/>
      <c r="C23" s="1909"/>
      <c r="D23" s="1909"/>
      <c r="E23" s="1909"/>
      <c r="F23" s="1909"/>
      <c r="G23" s="347"/>
      <c r="Q23" s="347"/>
      <c r="R23" s="347"/>
      <c r="T23" s="1864"/>
      <c r="U23" s="50" t="s">
        <v>61</v>
      </c>
      <c r="V23" s="1877">
        <v>470000</v>
      </c>
      <c r="W23" s="1877"/>
      <c r="X23" s="1877"/>
      <c r="Y23" s="1883"/>
    </row>
    <row r="24" spans="1:25" ht="48" customHeight="1" x14ac:dyDescent="0.25">
      <c r="A24" s="34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849" t="s">
        <v>47</v>
      </c>
      <c r="U24" s="51" t="s">
        <v>62</v>
      </c>
      <c r="V24" s="1879">
        <f>V14+V16+V17-V18-V19-V20-V22+V23-V21</f>
        <v>9989.172499999986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62292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47"/>
      <c r="J33" s="347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842" t="s">
        <v>311</v>
      </c>
      <c r="U3" s="1842"/>
      <c r="V3" s="1842"/>
      <c r="W3" s="1842"/>
      <c r="X3" s="1842"/>
      <c r="Y3" s="1842"/>
    </row>
    <row r="4" spans="1:25" s="35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53" customFormat="1" ht="25.5" customHeight="1" x14ac:dyDescent="0.25">
      <c r="A5" s="1843"/>
      <c r="B5" s="1843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886" t="s">
        <v>301</v>
      </c>
      <c r="R14" s="1886"/>
      <c r="S14" s="357"/>
      <c r="T14" s="1849" t="s">
        <v>46</v>
      </c>
      <c r="U14" s="351" t="s">
        <v>176</v>
      </c>
      <c r="V14" s="1874">
        <v>9989</v>
      </c>
      <c r="W14" s="1875"/>
      <c r="X14" s="1876"/>
    </row>
    <row r="15" spans="1:25" ht="22.5" customHeight="1" x14ac:dyDescent="0.25">
      <c r="A15" s="100" t="s">
        <v>38</v>
      </c>
      <c r="B15" s="1874">
        <v>295033</v>
      </c>
      <c r="C15" s="1876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877">
        <v>564</v>
      </c>
      <c r="R15" s="1877"/>
      <c r="S15" s="351">
        <v>0</v>
      </c>
      <c r="T15" s="1849"/>
      <c r="U15" s="351" t="s">
        <v>64</v>
      </c>
      <c r="V15" s="1877">
        <v>62292</v>
      </c>
      <c r="W15" s="1877"/>
      <c r="X15" s="1877"/>
    </row>
    <row r="16" spans="1:25" ht="24.75" customHeight="1" x14ac:dyDescent="0.25">
      <c r="A16" s="100" t="s">
        <v>39</v>
      </c>
      <c r="B16" s="1874">
        <v>155771</v>
      </c>
      <c r="C16" s="1876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855"/>
      <c r="R16" s="1855"/>
      <c r="S16" s="354"/>
      <c r="T16" s="1871" t="s">
        <v>55</v>
      </c>
      <c r="U16" s="1871"/>
      <c r="V16" s="1878">
        <f>Y12</f>
        <v>243533.27000000002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855"/>
      <c r="R17" s="1855"/>
      <c r="S17" s="350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141372</v>
      </c>
      <c r="C18" s="1876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877"/>
      <c r="R18" s="1877"/>
      <c r="S18" s="351"/>
      <c r="T18" s="1871" t="s">
        <v>57</v>
      </c>
      <c r="U18" s="1871"/>
      <c r="V18" s="1877">
        <v>620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309432</v>
      </c>
      <c r="C19" s="1876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874">
        <f t="shared" ref="Q19" si="14">Q15+Q16+Q17-Q18</f>
        <v>564</v>
      </c>
      <c r="R19" s="1876"/>
      <c r="S19" s="351">
        <f>S15+S16-S17-S18</f>
        <v>0</v>
      </c>
      <c r="T19" s="1869" t="s">
        <v>48</v>
      </c>
      <c r="U19" s="49" t="s">
        <v>58</v>
      </c>
      <c r="V19" s="1877">
        <v>120000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297828.3</v>
      </c>
      <c r="C20" s="1904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135924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1094352.2</v>
      </c>
      <c r="C21" s="1910"/>
      <c r="O21" s="358"/>
      <c r="P21" s="358"/>
      <c r="Q21" s="358"/>
      <c r="R21" s="358"/>
      <c r="T21" s="1900" t="s">
        <v>167</v>
      </c>
      <c r="U21" s="1901"/>
      <c r="V21" s="1911">
        <v>50000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698109</v>
      </c>
      <c r="D22" s="1908">
        <v>120000</v>
      </c>
      <c r="E22" s="1908">
        <v>283800</v>
      </c>
      <c r="F22" s="1908">
        <f>C22-D22+E22</f>
        <v>861909</v>
      </c>
      <c r="G22" s="358"/>
      <c r="Q22" s="358"/>
      <c r="R22" s="358"/>
      <c r="T22" s="1863" t="s">
        <v>83</v>
      </c>
      <c r="U22" s="50" t="s">
        <v>60</v>
      </c>
      <c r="V22" s="1877">
        <v>238280</v>
      </c>
      <c r="W22" s="1877"/>
      <c r="X22" s="1877"/>
      <c r="Y22" s="1883"/>
    </row>
    <row r="23" spans="1:25" ht="39.75" customHeight="1" x14ac:dyDescent="0.25">
      <c r="A23" s="358"/>
      <c r="B23" s="1906"/>
      <c r="C23" s="1909"/>
      <c r="D23" s="1909"/>
      <c r="E23" s="1909"/>
      <c r="F23" s="1909"/>
      <c r="G23" s="358"/>
      <c r="Q23" s="358"/>
      <c r="R23" s="358"/>
      <c r="T23" s="1864"/>
      <c r="U23" s="50" t="s">
        <v>61</v>
      </c>
      <c r="V23" s="1877">
        <v>170000</v>
      </c>
      <c r="W23" s="1877"/>
      <c r="X23" s="1877"/>
      <c r="Y23" s="1883"/>
    </row>
    <row r="24" spans="1:25" ht="48" customHeight="1" x14ac:dyDescent="0.25">
      <c r="A24" s="35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849" t="s">
        <v>47</v>
      </c>
      <c r="U24" s="51" t="s">
        <v>62</v>
      </c>
      <c r="V24" s="1879">
        <f>V14+V16+V17-V18-V19-V20-V22+V23-V21</f>
        <v>14622.270000000019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130572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58"/>
      <c r="J33" s="35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842" t="s">
        <v>312</v>
      </c>
      <c r="U3" s="1842"/>
      <c r="V3" s="1842"/>
      <c r="W3" s="1842"/>
      <c r="X3" s="1842"/>
      <c r="Y3" s="1842"/>
    </row>
    <row r="4" spans="1:25" s="35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59" customFormat="1" ht="25.5" customHeight="1" x14ac:dyDescent="0.25">
      <c r="A5" s="1843"/>
      <c r="B5" s="1843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886" t="s">
        <v>301</v>
      </c>
      <c r="R14" s="1886"/>
      <c r="S14" s="368"/>
      <c r="T14" s="1849" t="s">
        <v>46</v>
      </c>
      <c r="U14" s="360" t="s">
        <v>176</v>
      </c>
      <c r="V14" s="1874">
        <v>14622</v>
      </c>
      <c r="W14" s="1875"/>
      <c r="X14" s="1876"/>
    </row>
    <row r="15" spans="1:25" ht="22.5" customHeight="1" x14ac:dyDescent="0.25">
      <c r="A15" s="100" t="s">
        <v>38</v>
      </c>
      <c r="B15" s="1874">
        <v>309432</v>
      </c>
      <c r="C15" s="1876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877">
        <v>564</v>
      </c>
      <c r="R15" s="1877"/>
      <c r="S15" s="360">
        <v>0</v>
      </c>
      <c r="T15" s="1849"/>
      <c r="U15" s="360" t="s">
        <v>64</v>
      </c>
      <c r="V15" s="1877">
        <v>130572</v>
      </c>
      <c r="W15" s="1877"/>
      <c r="X15" s="1877"/>
    </row>
    <row r="16" spans="1:25" ht="24.75" customHeight="1" x14ac:dyDescent="0.25">
      <c r="A16" s="100" t="s">
        <v>39</v>
      </c>
      <c r="B16" s="1874">
        <v>124675</v>
      </c>
      <c r="C16" s="1876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855"/>
      <c r="R16" s="1855"/>
      <c r="S16" s="365"/>
      <c r="T16" s="1871" t="s">
        <v>55</v>
      </c>
      <c r="U16" s="1871"/>
      <c r="V16" s="1878">
        <f>Y12</f>
        <v>190846.50750000001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855"/>
      <c r="R17" s="1855"/>
      <c r="S17" s="362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143727</v>
      </c>
      <c r="C18" s="1876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877"/>
      <c r="R18" s="1877"/>
      <c r="S18" s="360"/>
      <c r="T18" s="1871" t="s">
        <v>57</v>
      </c>
      <c r="U18" s="1871"/>
      <c r="V18" s="1877">
        <v>620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290380</v>
      </c>
      <c r="C19" s="1876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874">
        <f t="shared" ref="Q19" si="14">Q15+Q16+Q17-Q18</f>
        <v>564</v>
      </c>
      <c r="R19" s="1876"/>
      <c r="S19" s="360">
        <f>S15+S16-S17-S18</f>
        <v>0</v>
      </c>
      <c r="T19" s="1869" t="s">
        <v>48</v>
      </c>
      <c r="U19" s="49" t="s">
        <v>58</v>
      </c>
      <c r="V19" s="1877">
        <v>326400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279490.75</v>
      </c>
      <c r="C20" s="1904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135924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1025427.15</v>
      </c>
      <c r="C21" s="1910"/>
      <c r="O21" s="369"/>
      <c r="P21" s="369"/>
      <c r="Q21" s="369"/>
      <c r="R21" s="369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861909</v>
      </c>
      <c r="D22" s="1908">
        <v>326400</v>
      </c>
      <c r="E22" s="1908">
        <v>120000</v>
      </c>
      <c r="F22" s="1908">
        <f>C22-D22+E22</f>
        <v>655509</v>
      </c>
      <c r="G22" s="369"/>
      <c r="Q22" s="369"/>
      <c r="R22" s="369"/>
      <c r="T22" s="1863" t="s">
        <v>83</v>
      </c>
      <c r="U22" s="50" t="s">
        <v>60</v>
      </c>
      <c r="V22" s="1877">
        <v>204640</v>
      </c>
      <c r="W22" s="1877"/>
      <c r="X22" s="1877"/>
      <c r="Y22" s="1883"/>
    </row>
    <row r="23" spans="1:25" ht="39.75" customHeight="1" x14ac:dyDescent="0.25">
      <c r="A23" s="369"/>
      <c r="B23" s="1906"/>
      <c r="C23" s="1909"/>
      <c r="D23" s="1909"/>
      <c r="E23" s="1909"/>
      <c r="F23" s="1909"/>
      <c r="G23" s="369"/>
      <c r="Q23" s="369"/>
      <c r="R23" s="369"/>
      <c r="T23" s="1864"/>
      <c r="U23" s="50" t="s">
        <v>61</v>
      </c>
      <c r="V23" s="1877">
        <v>326400</v>
      </c>
      <c r="W23" s="1877"/>
      <c r="X23" s="1877"/>
      <c r="Y23" s="1883"/>
    </row>
    <row r="24" spans="1:25" ht="48" customHeight="1" x14ac:dyDescent="0.25">
      <c r="A24" s="36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849" t="s">
        <v>47</v>
      </c>
      <c r="U24" s="51" t="s">
        <v>62</v>
      </c>
      <c r="V24" s="1879">
        <f>V14+V16+V17-V18-V19-V20-V22+V23-V21</f>
        <v>208.50750000000698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8812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69"/>
      <c r="J33" s="369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842" t="s">
        <v>313</v>
      </c>
      <c r="U3" s="1842"/>
      <c r="V3" s="1842"/>
      <c r="W3" s="1842"/>
      <c r="X3" s="1842"/>
      <c r="Y3" s="1842"/>
    </row>
    <row r="4" spans="1:25" s="37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75" customFormat="1" ht="25.5" customHeight="1" x14ac:dyDescent="0.25">
      <c r="A5" s="1843"/>
      <c r="B5" s="184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886" t="s">
        <v>301</v>
      </c>
      <c r="R14" s="1886"/>
      <c r="S14" s="379"/>
      <c r="T14" s="1849" t="s">
        <v>46</v>
      </c>
      <c r="U14" s="373" t="s">
        <v>176</v>
      </c>
      <c r="V14" s="1874">
        <v>209</v>
      </c>
      <c r="W14" s="1875"/>
      <c r="X14" s="1876"/>
    </row>
    <row r="15" spans="1:25" ht="22.5" customHeight="1" x14ac:dyDescent="0.25">
      <c r="A15" s="100" t="s">
        <v>38</v>
      </c>
      <c r="B15" s="1874">
        <v>290380</v>
      </c>
      <c r="C15" s="1876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877">
        <v>564</v>
      </c>
      <c r="R15" s="1877"/>
      <c r="S15" s="373">
        <v>0</v>
      </c>
      <c r="T15" s="1849"/>
      <c r="U15" s="373" t="s">
        <v>64</v>
      </c>
      <c r="V15" s="1877">
        <v>8812</v>
      </c>
      <c r="W15" s="1877"/>
      <c r="X15" s="1877"/>
    </row>
    <row r="16" spans="1:25" ht="24.75" customHeight="1" x14ac:dyDescent="0.25">
      <c r="A16" s="100" t="s">
        <v>39</v>
      </c>
      <c r="B16" s="1874">
        <v>124675</v>
      </c>
      <c r="C16" s="1876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855"/>
      <c r="R16" s="1855"/>
      <c r="S16" s="376"/>
      <c r="T16" s="1871" t="s">
        <v>55</v>
      </c>
      <c r="U16" s="1871"/>
      <c r="V16" s="1878">
        <f>Y12</f>
        <v>153712.47999999998</v>
      </c>
      <c r="W16" s="1878"/>
      <c r="X16" s="1877"/>
    </row>
    <row r="17" spans="1:25" ht="28.5" customHeight="1" x14ac:dyDescent="0.25">
      <c r="A17" s="101" t="s">
        <v>44</v>
      </c>
      <c r="B17" s="1874">
        <v>270346</v>
      </c>
      <c r="C17" s="1876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855"/>
      <c r="R17" s="1855"/>
      <c r="S17" s="372"/>
      <c r="T17" s="1900" t="s">
        <v>296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129728</v>
      </c>
      <c r="C18" s="1876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877"/>
      <c r="R18" s="1877"/>
      <c r="S18" s="373"/>
      <c r="T18" s="1871" t="s">
        <v>57</v>
      </c>
      <c r="U18" s="1871"/>
      <c r="V18" s="1877">
        <v>720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555673</v>
      </c>
      <c r="C19" s="1876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874">
        <f t="shared" ref="Q19" si="14">Q15+Q16+Q17-Q18</f>
        <v>564</v>
      </c>
      <c r="R19" s="1876"/>
      <c r="S19" s="373">
        <f>S15+S16-S17-S18</f>
        <v>0</v>
      </c>
      <c r="T19" s="1869" t="s">
        <v>48</v>
      </c>
      <c r="U19" s="49" t="s">
        <v>58</v>
      </c>
      <c r="V19" s="1877">
        <v>120000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534835.26250000007</v>
      </c>
      <c r="C20" s="1904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903">
        <f>241*Q19</f>
        <v>135924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1253466.6625000001</v>
      </c>
      <c r="C21" s="1910"/>
      <c r="O21" s="380"/>
      <c r="P21" s="380"/>
      <c r="Q21" s="380"/>
      <c r="R21" s="380"/>
      <c r="T21" s="1900" t="s">
        <v>167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655509</v>
      </c>
      <c r="D22" s="1908">
        <v>120000</v>
      </c>
      <c r="E22" s="1908">
        <v>120000</v>
      </c>
      <c r="F22" s="1908">
        <f>C22-D22+E22</f>
        <v>655509</v>
      </c>
      <c r="G22" s="380"/>
      <c r="Q22" s="380"/>
      <c r="R22" s="380"/>
      <c r="T22" s="1863" t="s">
        <v>83</v>
      </c>
      <c r="U22" s="50" t="s">
        <v>60</v>
      </c>
      <c r="V22" s="1877">
        <v>153120</v>
      </c>
      <c r="W22" s="1877"/>
      <c r="X22" s="1877"/>
      <c r="Y22" s="1883"/>
    </row>
    <row r="23" spans="1:25" ht="39.75" customHeight="1" x14ac:dyDescent="0.25">
      <c r="A23" s="380"/>
      <c r="B23" s="1906"/>
      <c r="C23" s="1909"/>
      <c r="D23" s="1909"/>
      <c r="E23" s="1909"/>
      <c r="F23" s="1909"/>
      <c r="G23" s="380"/>
      <c r="Q23" s="380"/>
      <c r="R23" s="380"/>
      <c r="T23" s="1864"/>
      <c r="U23" s="50" t="s">
        <v>61</v>
      </c>
      <c r="V23" s="1877">
        <v>120000</v>
      </c>
      <c r="W23" s="1877"/>
      <c r="X23" s="1877"/>
      <c r="Y23" s="1883"/>
    </row>
    <row r="24" spans="1:25" ht="48" customHeight="1" x14ac:dyDescent="0.25">
      <c r="A24" s="38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849" t="s">
        <v>47</v>
      </c>
      <c r="U24" s="51" t="s">
        <v>62</v>
      </c>
      <c r="V24" s="1879">
        <f>V14+V16+V17-V18-V19-V20-V22+V23-V21</f>
        <v>81.479999999981374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41932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80"/>
      <c r="J33" s="38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842" t="s">
        <v>314</v>
      </c>
      <c r="U3" s="1842"/>
      <c r="V3" s="1842"/>
      <c r="W3" s="1842"/>
      <c r="X3" s="1842"/>
      <c r="Y3" s="1842"/>
    </row>
    <row r="4" spans="1:25" s="37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75" customFormat="1" ht="25.5" customHeight="1" x14ac:dyDescent="0.25">
      <c r="A5" s="1843"/>
      <c r="B5" s="184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886"/>
      <c r="R14" s="1886"/>
      <c r="S14" s="379"/>
      <c r="T14" s="1849" t="s">
        <v>46</v>
      </c>
      <c r="U14" s="373" t="s">
        <v>176</v>
      </c>
      <c r="V14" s="1874">
        <v>81</v>
      </c>
      <c r="W14" s="1875"/>
      <c r="X14" s="1876"/>
    </row>
    <row r="15" spans="1:25" ht="22.5" customHeight="1" x14ac:dyDescent="0.25">
      <c r="A15" s="100" t="s">
        <v>38</v>
      </c>
      <c r="B15" s="1874">
        <v>555673</v>
      </c>
      <c r="C15" s="1876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877"/>
      <c r="R15" s="1877"/>
      <c r="S15" s="373">
        <v>0</v>
      </c>
      <c r="T15" s="1849"/>
      <c r="U15" s="373" t="s">
        <v>64</v>
      </c>
      <c r="V15" s="1877">
        <v>41932</v>
      </c>
      <c r="W15" s="1877"/>
      <c r="X15" s="1877"/>
    </row>
    <row r="16" spans="1:25" ht="24.75" customHeight="1" x14ac:dyDescent="0.25">
      <c r="A16" s="100" t="s">
        <v>39</v>
      </c>
      <c r="B16" s="1874">
        <v>93506</v>
      </c>
      <c r="C16" s="1876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855"/>
      <c r="R16" s="1855"/>
      <c r="S16" s="376"/>
      <c r="T16" s="1871" t="s">
        <v>55</v>
      </c>
      <c r="U16" s="1871"/>
      <c r="V16" s="1878">
        <f>Y12</f>
        <v>388606.01250000001</v>
      </c>
      <c r="W16" s="1878"/>
      <c r="X16" s="1877"/>
    </row>
    <row r="17" spans="1:25" ht="28.5" customHeight="1" x14ac:dyDescent="0.25">
      <c r="A17" s="101" t="s">
        <v>44</v>
      </c>
      <c r="B17" s="1874">
        <v>4935</v>
      </c>
      <c r="C17" s="1876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855"/>
      <c r="R17" s="1855"/>
      <c r="S17" s="372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189745</v>
      </c>
      <c r="C18" s="1876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877"/>
      <c r="R18" s="1877"/>
      <c r="S18" s="373"/>
      <c r="T18" s="1871" t="s">
        <v>57</v>
      </c>
      <c r="U18" s="1871"/>
      <c r="V18" s="1877">
        <f>68473+137519</f>
        <v>205992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464369</v>
      </c>
      <c r="C19" s="1876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874">
        <f t="shared" ref="Q19" si="14">Q15+Q16+Q17-Q18</f>
        <v>0</v>
      </c>
      <c r="R19" s="1876"/>
      <c r="S19" s="373">
        <f>S15+S16-S17-S18</f>
        <v>0</v>
      </c>
      <c r="T19" s="1869" t="s">
        <v>48</v>
      </c>
      <c r="U19" s="49" t="s">
        <v>58</v>
      </c>
      <c r="V19" s="1877">
        <v>120000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446955.16250000003</v>
      </c>
      <c r="C20" s="1904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864272.16250000009</v>
      </c>
      <c r="C21" s="1910"/>
      <c r="O21" s="380"/>
      <c r="P21" s="380"/>
      <c r="Q21" s="380"/>
      <c r="R21" s="380"/>
      <c r="T21" s="1900" t="s">
        <v>315</v>
      </c>
      <c r="U21" s="1901"/>
      <c r="V21" s="1911">
        <v>36000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655509</v>
      </c>
      <c r="D22" s="1908">
        <v>120000</v>
      </c>
      <c r="E22" s="1908">
        <v>90000</v>
      </c>
      <c r="F22" s="1908">
        <f>C22-D22+E22</f>
        <v>625509</v>
      </c>
      <c r="G22" s="380"/>
      <c r="Q22" s="380"/>
      <c r="R22" s="380"/>
      <c r="T22" s="1863" t="s">
        <v>83</v>
      </c>
      <c r="U22" s="50" t="s">
        <v>60</v>
      </c>
      <c r="V22" s="1877">
        <v>143350</v>
      </c>
      <c r="W22" s="1877"/>
      <c r="X22" s="1877"/>
      <c r="Y22" s="1883"/>
    </row>
    <row r="23" spans="1:25" ht="39.75" customHeight="1" x14ac:dyDescent="0.25">
      <c r="A23" s="380"/>
      <c r="B23" s="1906"/>
      <c r="C23" s="1909"/>
      <c r="D23" s="1909"/>
      <c r="E23" s="1909"/>
      <c r="F23" s="1909"/>
      <c r="G23" s="380"/>
      <c r="Q23" s="380"/>
      <c r="R23" s="380"/>
      <c r="T23" s="1864"/>
      <c r="U23" s="50" t="s">
        <v>61</v>
      </c>
      <c r="V23" s="1877">
        <v>120000</v>
      </c>
      <c r="W23" s="1877"/>
      <c r="X23" s="1877"/>
      <c r="Y23" s="1883"/>
    </row>
    <row r="24" spans="1:25" ht="48" customHeight="1" x14ac:dyDescent="0.25">
      <c r="A24" s="38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849" t="s">
        <v>47</v>
      </c>
      <c r="U24" s="51" t="s">
        <v>62</v>
      </c>
      <c r="V24" s="1879">
        <f>V14+V16+V17-V18-V19-V20-V22+V23-V21</f>
        <v>3345.0125000000116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65282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80"/>
      <c r="J33" s="38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842" t="s">
        <v>316</v>
      </c>
      <c r="U3" s="1842"/>
      <c r="V3" s="1842"/>
      <c r="W3" s="1842"/>
      <c r="X3" s="1842"/>
      <c r="Y3" s="1842"/>
    </row>
    <row r="4" spans="1:25" s="37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75" customFormat="1" ht="25.5" customHeight="1" x14ac:dyDescent="0.25">
      <c r="A5" s="1843"/>
      <c r="B5" s="1843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886"/>
      <c r="R14" s="1886"/>
      <c r="S14" s="379"/>
      <c r="T14" s="1849" t="s">
        <v>46</v>
      </c>
      <c r="U14" s="373" t="s">
        <v>176</v>
      </c>
      <c r="V14" s="1874">
        <v>3345</v>
      </c>
      <c r="W14" s="1875"/>
      <c r="X14" s="1876"/>
    </row>
    <row r="15" spans="1:25" ht="22.5" customHeight="1" x14ac:dyDescent="0.25">
      <c r="A15" s="100" t="s">
        <v>38</v>
      </c>
      <c r="B15" s="1874">
        <v>464369</v>
      </c>
      <c r="C15" s="1876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877"/>
      <c r="R15" s="1877"/>
      <c r="S15" s="373">
        <v>0</v>
      </c>
      <c r="T15" s="1849"/>
      <c r="U15" s="373" t="s">
        <v>64</v>
      </c>
      <c r="V15" s="1877">
        <v>65282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855"/>
      <c r="R16" s="1855"/>
      <c r="S16" s="376"/>
      <c r="T16" s="1871" t="s">
        <v>55</v>
      </c>
      <c r="U16" s="1871"/>
      <c r="V16" s="1878">
        <f>Y12</f>
        <v>142885.01499999998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855"/>
      <c r="R17" s="1855"/>
      <c r="S17" s="372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131454</v>
      </c>
      <c r="C18" s="1876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877"/>
      <c r="R18" s="1877"/>
      <c r="S18" s="373"/>
      <c r="T18" s="1871" t="s">
        <v>57</v>
      </c>
      <c r="U18" s="1871"/>
      <c r="V18" s="1877">
        <v>3000</v>
      </c>
      <c r="W18" s="1877"/>
      <c r="X18" s="1877"/>
      <c r="Y18" s="1883" t="s">
        <v>291</v>
      </c>
    </row>
    <row r="19" spans="1:25" ht="25.5" customHeight="1" x14ac:dyDescent="0.25">
      <c r="A19" s="100" t="s">
        <v>41</v>
      </c>
      <c r="B19" s="1874">
        <f>B15+B16+B17-B18</f>
        <v>332915</v>
      </c>
      <c r="C19" s="1876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874">
        <f t="shared" ref="Q19" si="14">Q15+Q16+Q17-Q18</f>
        <v>0</v>
      </c>
      <c r="R19" s="1876"/>
      <c r="S19" s="373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320430.6875</v>
      </c>
      <c r="C20" s="1904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722806.1875</v>
      </c>
      <c r="C21" s="1910"/>
      <c r="O21" s="380"/>
      <c r="P21" s="380"/>
      <c r="Q21" s="380"/>
      <c r="R21" s="380"/>
      <c r="T21" s="1900" t="s">
        <v>315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625509</v>
      </c>
      <c r="D22" s="1908"/>
      <c r="E22" s="1908"/>
      <c r="F22" s="1908">
        <f>C22-D22+E22</f>
        <v>625509</v>
      </c>
      <c r="G22" s="380"/>
      <c r="Q22" s="380"/>
      <c r="R22" s="380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380"/>
      <c r="B23" s="1906"/>
      <c r="C23" s="1909"/>
      <c r="D23" s="1909"/>
      <c r="E23" s="1909"/>
      <c r="F23" s="1909"/>
      <c r="G23" s="380"/>
      <c r="Q23" s="380"/>
      <c r="R23" s="380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38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849" t="s">
        <v>47</v>
      </c>
      <c r="U24" s="51" t="s">
        <v>62</v>
      </c>
      <c r="V24" s="1879">
        <f>V14+V16+V17-V18-V19-V20-V22+V23-V21</f>
        <v>143230.01499999998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65282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80"/>
      <c r="J33" s="38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842" t="s">
        <v>317</v>
      </c>
      <c r="U3" s="1842"/>
      <c r="V3" s="1842"/>
      <c r="W3" s="1842"/>
      <c r="X3" s="1842"/>
      <c r="Y3" s="1842"/>
    </row>
    <row r="4" spans="1:25" s="38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86" customFormat="1" ht="25.5" customHeight="1" x14ac:dyDescent="0.25">
      <c r="A5" s="1843"/>
      <c r="B5" s="18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886"/>
      <c r="R14" s="1886"/>
      <c r="S14" s="390"/>
      <c r="T14" s="1849" t="s">
        <v>46</v>
      </c>
      <c r="U14" s="384" t="s">
        <v>176</v>
      </c>
      <c r="V14" s="1874">
        <v>143230</v>
      </c>
      <c r="W14" s="1875"/>
      <c r="X14" s="1876"/>
    </row>
    <row r="15" spans="1:25" ht="22.5" customHeight="1" x14ac:dyDescent="0.25">
      <c r="A15" s="100" t="s">
        <v>38</v>
      </c>
      <c r="B15" s="1874">
        <v>332915</v>
      </c>
      <c r="C15" s="1876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877"/>
      <c r="R15" s="1877"/>
      <c r="S15" s="384">
        <v>0</v>
      </c>
      <c r="T15" s="1849"/>
      <c r="U15" s="384" t="s">
        <v>64</v>
      </c>
      <c r="V15" s="1877">
        <v>65282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855"/>
      <c r="R16" s="1855"/>
      <c r="S16" s="387"/>
      <c r="T16" s="1871" t="s">
        <v>55</v>
      </c>
      <c r="U16" s="1871"/>
      <c r="V16" s="1878">
        <f>Y12</f>
        <v>163545.1225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55"/>
      <c r="R17" s="1855"/>
      <c r="S17" s="383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164541</v>
      </c>
      <c r="C18" s="1876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877"/>
      <c r="R18" s="1877"/>
      <c r="S18" s="384"/>
      <c r="T18" s="1871" t="s">
        <v>57</v>
      </c>
      <c r="U18" s="1871"/>
      <c r="V18" s="1877">
        <f>520+385+350</f>
        <v>1255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282659</v>
      </c>
      <c r="C19" s="1876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874">
        <f t="shared" ref="Q19" si="14">Q15+Q16+Q17-Q18</f>
        <v>0</v>
      </c>
      <c r="R19" s="1876"/>
      <c r="S19" s="384">
        <f>S15+S16-S17-S18</f>
        <v>0</v>
      </c>
      <c r="T19" s="1869" t="s">
        <v>48</v>
      </c>
      <c r="U19" s="49" t="s">
        <v>58</v>
      </c>
      <c r="V19" s="1877">
        <v>90000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272059.28750000003</v>
      </c>
      <c r="C20" s="1904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670911.48750000005</v>
      </c>
      <c r="C21" s="1910"/>
      <c r="O21" s="391"/>
      <c r="P21" s="391"/>
      <c r="Q21" s="391"/>
      <c r="R21" s="391"/>
      <c r="T21" s="1900" t="s">
        <v>315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625509</v>
      </c>
      <c r="D22" s="1908">
        <v>90000</v>
      </c>
      <c r="E22" s="1908">
        <v>110000</v>
      </c>
      <c r="F22" s="1908">
        <f>C22-D22+E22</f>
        <v>645509</v>
      </c>
      <c r="G22" s="391"/>
      <c r="Q22" s="391"/>
      <c r="R22" s="391"/>
      <c r="T22" s="1863" t="s">
        <v>83</v>
      </c>
      <c r="U22" s="50" t="s">
        <v>60</v>
      </c>
      <c r="V22" s="1877">
        <v>305070</v>
      </c>
      <c r="W22" s="1877"/>
      <c r="X22" s="1877"/>
      <c r="Y22" s="1883"/>
    </row>
    <row r="23" spans="1:25" ht="39.75" customHeight="1" x14ac:dyDescent="0.25">
      <c r="A23" s="391"/>
      <c r="B23" s="1906"/>
      <c r="C23" s="1909"/>
      <c r="D23" s="1909"/>
      <c r="E23" s="1909"/>
      <c r="F23" s="1909"/>
      <c r="G23" s="391"/>
      <c r="Q23" s="391"/>
      <c r="R23" s="391"/>
      <c r="T23" s="1864"/>
      <c r="U23" s="50" t="s">
        <v>61</v>
      </c>
      <c r="V23" s="1877">
        <v>90000</v>
      </c>
      <c r="W23" s="1877"/>
      <c r="X23" s="1877"/>
      <c r="Y23" s="1883"/>
    </row>
    <row r="24" spans="1:25" ht="48" customHeight="1" x14ac:dyDescent="0.25">
      <c r="A24" s="39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49" t="s">
        <v>47</v>
      </c>
      <c r="U24" s="51" t="s">
        <v>62</v>
      </c>
      <c r="V24" s="1879">
        <f>V14+V16+V17-V18-V19-V20-V22+V23-V21</f>
        <v>450.12249999999767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280352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91"/>
      <c r="J33" s="39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842" t="s">
        <v>318</v>
      </c>
      <c r="U3" s="1842"/>
      <c r="V3" s="1842"/>
      <c r="W3" s="1842"/>
      <c r="X3" s="1842"/>
      <c r="Y3" s="1842"/>
    </row>
    <row r="4" spans="1:25" s="38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86" customFormat="1" ht="25.5" customHeight="1" x14ac:dyDescent="0.25">
      <c r="A5" s="1843"/>
      <c r="B5" s="18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886"/>
      <c r="R14" s="1886"/>
      <c r="S14" s="390"/>
      <c r="T14" s="1849" t="s">
        <v>46</v>
      </c>
      <c r="U14" s="384" t="s">
        <v>176</v>
      </c>
      <c r="V14" s="1874">
        <v>450</v>
      </c>
      <c r="W14" s="1875"/>
      <c r="X14" s="1876"/>
    </row>
    <row r="15" spans="1:25" ht="22.5" customHeight="1" x14ac:dyDescent="0.25">
      <c r="A15" s="100" t="s">
        <v>38</v>
      </c>
      <c r="B15" s="1874">
        <v>282659</v>
      </c>
      <c r="C15" s="1876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877"/>
      <c r="R15" s="1877"/>
      <c r="S15" s="384">
        <v>0</v>
      </c>
      <c r="T15" s="1849"/>
      <c r="U15" s="384" t="s">
        <v>64</v>
      </c>
      <c r="V15" s="1877">
        <v>280352</v>
      </c>
      <c r="W15" s="1877"/>
      <c r="X15" s="1877"/>
    </row>
    <row r="16" spans="1:25" ht="24.75" customHeight="1" x14ac:dyDescent="0.25">
      <c r="A16" s="100" t="s">
        <v>39</v>
      </c>
      <c r="B16" s="1874">
        <v>124600</v>
      </c>
      <c r="C16" s="1876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855"/>
      <c r="R16" s="1855"/>
      <c r="S16" s="387"/>
      <c r="T16" s="1871" t="s">
        <v>55</v>
      </c>
      <c r="U16" s="1871"/>
      <c r="V16" s="1878">
        <f>Y12</f>
        <v>135933.2475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55"/>
      <c r="R17" s="1855"/>
      <c r="S17" s="383"/>
      <c r="T17" s="1900" t="s">
        <v>319</v>
      </c>
      <c r="U17" s="1901"/>
      <c r="V17" s="1902">
        <v>70000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131191</v>
      </c>
      <c r="C18" s="1876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877"/>
      <c r="R18" s="1877"/>
      <c r="S18" s="384"/>
      <c r="T18" s="1871" t="s">
        <v>57</v>
      </c>
      <c r="U18" s="1871"/>
      <c r="V18" s="1877">
        <f>620+150+300+4750</f>
        <v>5820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276068</v>
      </c>
      <c r="C19" s="1876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874">
        <f t="shared" ref="Q19" si="14">Q15+Q16+Q17-Q18</f>
        <v>0</v>
      </c>
      <c r="R19" s="1876"/>
      <c r="S19" s="384">
        <f>S15+S16-S17-S18</f>
        <v>0</v>
      </c>
      <c r="T19" s="1869" t="s">
        <v>48</v>
      </c>
      <c r="U19" s="49" t="s">
        <v>58</v>
      </c>
      <c r="V19" s="1877">
        <v>454564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265715.45</v>
      </c>
      <c r="C20" s="1904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829704.05</v>
      </c>
      <c r="C21" s="1910"/>
      <c r="O21" s="391"/>
      <c r="P21" s="391"/>
      <c r="Q21" s="391"/>
      <c r="R21" s="391"/>
      <c r="T21" s="1900" t="s">
        <v>315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645509</v>
      </c>
      <c r="D22" s="1908">
        <v>454564</v>
      </c>
      <c r="E22" s="1908">
        <v>293403</v>
      </c>
      <c r="F22" s="1908">
        <f>C22-D22+E22</f>
        <v>484348</v>
      </c>
      <c r="G22" s="391"/>
      <c r="Q22" s="391"/>
      <c r="R22" s="391"/>
      <c r="T22" s="1863" t="s">
        <v>83</v>
      </c>
      <c r="U22" s="50" t="s">
        <v>60</v>
      </c>
      <c r="V22" s="1877">
        <v>187610</v>
      </c>
      <c r="W22" s="1877"/>
      <c r="X22" s="1877"/>
      <c r="Y22" s="1883"/>
    </row>
    <row r="23" spans="1:25" ht="39.75" customHeight="1" x14ac:dyDescent="0.25">
      <c r="A23" s="391"/>
      <c r="B23" s="1906"/>
      <c r="C23" s="1909"/>
      <c r="D23" s="1909"/>
      <c r="E23" s="1909"/>
      <c r="F23" s="1909"/>
      <c r="G23" s="391"/>
      <c r="Q23" s="391"/>
      <c r="R23" s="391"/>
      <c r="T23" s="1864"/>
      <c r="U23" s="50" t="s">
        <v>61</v>
      </c>
      <c r="V23" s="1877">
        <v>454564</v>
      </c>
      <c r="W23" s="1877"/>
      <c r="X23" s="1877"/>
      <c r="Y23" s="1883"/>
    </row>
    <row r="24" spans="1:25" ht="48" customHeight="1" x14ac:dyDescent="0.25">
      <c r="A24" s="39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49" t="s">
        <v>47</v>
      </c>
      <c r="U24" s="51" t="s">
        <v>62</v>
      </c>
      <c r="V24" s="1879">
        <f>V14+V16+V17-V18-V19-V20-V22+V23-V21</f>
        <v>12953.247499999998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13398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91"/>
      <c r="J33" s="39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842" t="s">
        <v>320</v>
      </c>
      <c r="U3" s="1842"/>
      <c r="V3" s="1842"/>
      <c r="W3" s="1842"/>
      <c r="X3" s="1842"/>
      <c r="Y3" s="1842"/>
    </row>
    <row r="4" spans="1:25" s="38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86" customFormat="1" ht="25.5" customHeight="1" x14ac:dyDescent="0.25">
      <c r="A5" s="1843"/>
      <c r="B5" s="18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886"/>
      <c r="R14" s="1886"/>
      <c r="S14" s="390"/>
      <c r="T14" s="1849" t="s">
        <v>46</v>
      </c>
      <c r="U14" s="384" t="s">
        <v>176</v>
      </c>
      <c r="V14" s="1874">
        <v>12953</v>
      </c>
      <c r="W14" s="1875"/>
      <c r="X14" s="1876"/>
    </row>
    <row r="15" spans="1:25" ht="22.5" customHeight="1" x14ac:dyDescent="0.25">
      <c r="A15" s="100" t="s">
        <v>38</v>
      </c>
      <c r="B15" s="1874">
        <v>276068</v>
      </c>
      <c r="C15" s="1876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877"/>
      <c r="R15" s="1877"/>
      <c r="S15" s="384">
        <v>0</v>
      </c>
      <c r="T15" s="1849"/>
      <c r="U15" s="384" t="s">
        <v>64</v>
      </c>
      <c r="V15" s="1877">
        <v>13398</v>
      </c>
      <c r="W15" s="1877"/>
      <c r="X15" s="1877"/>
    </row>
    <row r="16" spans="1:25" ht="24.75" customHeight="1" x14ac:dyDescent="0.25">
      <c r="A16" s="100" t="s">
        <v>39</v>
      </c>
      <c r="B16" s="1874">
        <v>316883</v>
      </c>
      <c r="C16" s="1876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855"/>
      <c r="R16" s="1855"/>
      <c r="S16" s="387"/>
      <c r="T16" s="1871" t="s">
        <v>55</v>
      </c>
      <c r="U16" s="1871"/>
      <c r="V16" s="1878">
        <f>Y12</f>
        <v>147042.8175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55"/>
      <c r="R17" s="1855"/>
      <c r="S17" s="383"/>
      <c r="T17" s="1900" t="s">
        <v>321</v>
      </c>
      <c r="U17" s="1901"/>
      <c r="V17" s="1902">
        <v>150000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138843</v>
      </c>
      <c r="C18" s="1876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877"/>
      <c r="R18" s="1877"/>
      <c r="S18" s="384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454108</v>
      </c>
      <c r="C19" s="1876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874">
        <f t="shared" ref="Q19" si="14">Q15+Q16+Q17-Q18</f>
        <v>0</v>
      </c>
      <c r="R19" s="1876"/>
      <c r="S19" s="384">
        <f>S15+S16-S17-S18</f>
        <v>0</v>
      </c>
      <c r="T19" s="1869" t="s">
        <v>48</v>
      </c>
      <c r="U19" s="49" t="s">
        <v>58</v>
      </c>
      <c r="V19" s="1877">
        <v>293475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437078.95</v>
      </c>
      <c r="C20" s="1904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989117.95</v>
      </c>
      <c r="C21" s="1910"/>
      <c r="O21" s="391"/>
      <c r="P21" s="391"/>
      <c r="Q21" s="391"/>
      <c r="R21" s="391"/>
      <c r="T21" s="1900" t="s">
        <v>322</v>
      </c>
      <c r="U21" s="1901"/>
      <c r="V21" s="1911">
        <v>13900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484348</v>
      </c>
      <c r="D22" s="1908">
        <v>293475</v>
      </c>
      <c r="E22" s="1908">
        <v>305000</v>
      </c>
      <c r="F22" s="1908">
        <f>C22-D22+E22</f>
        <v>495873</v>
      </c>
      <c r="G22" s="391"/>
      <c r="Q22" s="391"/>
      <c r="R22" s="391"/>
      <c r="T22" s="1863" t="s">
        <v>83</v>
      </c>
      <c r="U22" s="50" t="s">
        <v>60</v>
      </c>
      <c r="V22" s="1877">
        <v>295130</v>
      </c>
      <c r="W22" s="1877"/>
      <c r="X22" s="1877"/>
      <c r="Y22" s="1883"/>
    </row>
    <row r="23" spans="1:25" ht="39.75" customHeight="1" x14ac:dyDescent="0.25">
      <c r="A23" s="391"/>
      <c r="B23" s="1906"/>
      <c r="C23" s="1909"/>
      <c r="D23" s="1909"/>
      <c r="E23" s="1909"/>
      <c r="F23" s="1909"/>
      <c r="G23" s="391"/>
      <c r="Q23" s="391"/>
      <c r="R23" s="391"/>
      <c r="T23" s="1864"/>
      <c r="U23" s="50" t="s">
        <v>61</v>
      </c>
      <c r="V23" s="1877">
        <v>293475</v>
      </c>
      <c r="W23" s="1877"/>
      <c r="X23" s="1877"/>
      <c r="Y23" s="1883"/>
    </row>
    <row r="24" spans="1:25" ht="48" customHeight="1" x14ac:dyDescent="0.25">
      <c r="A24" s="39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49" t="s">
        <v>47</v>
      </c>
      <c r="U24" s="51" t="s">
        <v>62</v>
      </c>
      <c r="V24" s="1879">
        <f>V14+V16+V17-V18-V19-V20-V22+V23-V21</f>
        <v>445.81750000000466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15053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91"/>
      <c r="J33" s="39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842" t="s">
        <v>323</v>
      </c>
      <c r="U3" s="1842"/>
      <c r="V3" s="1842"/>
      <c r="W3" s="1842"/>
      <c r="X3" s="1842"/>
      <c r="Y3" s="1842"/>
    </row>
    <row r="4" spans="1:25" s="38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86" customFormat="1" ht="25.5" customHeight="1" x14ac:dyDescent="0.25">
      <c r="A5" s="1843"/>
      <c r="B5" s="18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886"/>
      <c r="R14" s="1886"/>
      <c r="S14" s="390"/>
      <c r="T14" s="1849" t="s">
        <v>46</v>
      </c>
      <c r="U14" s="384" t="s">
        <v>176</v>
      </c>
      <c r="V14" s="1874">
        <v>446</v>
      </c>
      <c r="W14" s="1875"/>
      <c r="X14" s="1876"/>
    </row>
    <row r="15" spans="1:25" ht="22.5" customHeight="1" x14ac:dyDescent="0.25">
      <c r="A15" s="100" t="s">
        <v>38</v>
      </c>
      <c r="B15" s="1874">
        <v>454108</v>
      </c>
      <c r="C15" s="1876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877"/>
      <c r="R15" s="1877"/>
      <c r="S15" s="384">
        <v>0</v>
      </c>
      <c r="T15" s="1849"/>
      <c r="U15" s="384" t="s">
        <v>64</v>
      </c>
      <c r="V15" s="1877">
        <v>15053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855"/>
      <c r="R16" s="1855"/>
      <c r="S16" s="387"/>
      <c r="T16" s="1871" t="s">
        <v>55</v>
      </c>
      <c r="U16" s="1871"/>
      <c r="V16" s="1878">
        <f>Y12</f>
        <v>226651.85750000001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55"/>
      <c r="R17" s="1855"/>
      <c r="S17" s="383"/>
      <c r="T17" s="1900" t="s">
        <v>324</v>
      </c>
      <c r="U17" s="1901"/>
      <c r="V17" s="1902">
        <v>5460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179387</v>
      </c>
      <c r="C18" s="1876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877"/>
      <c r="R18" s="1877"/>
      <c r="S18" s="384"/>
      <c r="T18" s="1871" t="s">
        <v>57</v>
      </c>
      <c r="U18" s="1871"/>
      <c r="V18" s="1877">
        <f>620+270+3530</f>
        <v>4420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274721</v>
      </c>
      <c r="C19" s="1876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874">
        <f t="shared" ref="Q19" si="14">Q15+Q16+Q17-Q18</f>
        <v>0</v>
      </c>
      <c r="R19" s="1876"/>
      <c r="S19" s="384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264418.96250000002</v>
      </c>
      <c r="C20" s="1904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764767.96250000002</v>
      </c>
      <c r="C21" s="1910"/>
      <c r="O21" s="391"/>
      <c r="P21" s="391"/>
      <c r="Q21" s="391"/>
      <c r="R21" s="391"/>
      <c r="T21" s="1900" t="s">
        <v>325</v>
      </c>
      <c r="U21" s="1901"/>
      <c r="V21" s="1911">
        <v>5460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495873</v>
      </c>
      <c r="D22" s="1908"/>
      <c r="E22" s="1908"/>
      <c r="F22" s="1908">
        <f>C22-D22+E22</f>
        <v>495873</v>
      </c>
      <c r="G22" s="391"/>
      <c r="Q22" s="391"/>
      <c r="R22" s="391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391"/>
      <c r="B23" s="1906"/>
      <c r="C23" s="1909"/>
      <c r="D23" s="1909"/>
      <c r="E23" s="1909"/>
      <c r="F23" s="1909"/>
      <c r="G23" s="391"/>
      <c r="Q23" s="391"/>
      <c r="R23" s="391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39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49" t="s">
        <v>47</v>
      </c>
      <c r="U24" s="51" t="s">
        <v>62</v>
      </c>
      <c r="V24" s="1879">
        <f>V14+V16+V17-V18-V19-V20-V22+V23-V21</f>
        <v>222677.85750000001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15053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91"/>
      <c r="J33" s="39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842" t="s">
        <v>326</v>
      </c>
      <c r="U3" s="1842"/>
      <c r="V3" s="1842"/>
      <c r="W3" s="1842"/>
      <c r="X3" s="1842"/>
      <c r="Y3" s="1842"/>
    </row>
    <row r="4" spans="1:25" s="38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86" customFormat="1" ht="25.5" customHeight="1" x14ac:dyDescent="0.25">
      <c r="A5" s="1843"/>
      <c r="B5" s="1843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886"/>
      <c r="R14" s="1886"/>
      <c r="S14" s="390"/>
      <c r="T14" s="1849" t="s">
        <v>46</v>
      </c>
      <c r="U14" s="384" t="s">
        <v>176</v>
      </c>
      <c r="V14" s="1874">
        <v>222678</v>
      </c>
      <c r="W14" s="1875"/>
      <c r="X14" s="1876"/>
    </row>
    <row r="15" spans="1:25" ht="22.5" customHeight="1" x14ac:dyDescent="0.25">
      <c r="A15" s="100" t="s">
        <v>38</v>
      </c>
      <c r="B15" s="1874">
        <v>274721</v>
      </c>
      <c r="C15" s="1876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877"/>
      <c r="R15" s="1877"/>
      <c r="S15" s="384">
        <v>0</v>
      </c>
      <c r="T15" s="1849"/>
      <c r="U15" s="384" t="s">
        <v>64</v>
      </c>
      <c r="V15" s="1877">
        <v>15053</v>
      </c>
      <c r="W15" s="1877"/>
      <c r="X15" s="1877"/>
    </row>
    <row r="16" spans="1:25" ht="24.75" customHeight="1" x14ac:dyDescent="0.25">
      <c r="A16" s="100" t="s">
        <v>39</v>
      </c>
      <c r="B16" s="1874">
        <v>328883</v>
      </c>
      <c r="C16" s="1876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855"/>
      <c r="R16" s="1855"/>
      <c r="S16" s="387"/>
      <c r="T16" s="1871" t="s">
        <v>55</v>
      </c>
      <c r="U16" s="1871"/>
      <c r="V16" s="1878">
        <f>Y12</f>
        <v>321576.935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855"/>
      <c r="R17" s="1855"/>
      <c r="S17" s="383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205566</v>
      </c>
      <c r="C18" s="1876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877"/>
      <c r="R18" s="1877"/>
      <c r="S18" s="384"/>
      <c r="T18" s="1871" t="s">
        <v>57</v>
      </c>
      <c r="U18" s="1871"/>
      <c r="V18" s="1877">
        <f>520+400</f>
        <v>920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398038</v>
      </c>
      <c r="C19" s="1876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874">
        <f t="shared" ref="Q19" si="14">Q15+Q16+Q17-Q18</f>
        <v>0</v>
      </c>
      <c r="R19" s="1876"/>
      <c r="S19" s="384">
        <f>S15+S16-S17-S18</f>
        <v>0</v>
      </c>
      <c r="T19" s="1869" t="s">
        <v>48</v>
      </c>
      <c r="U19" s="49" t="s">
        <v>58</v>
      </c>
      <c r="V19" s="1877">
        <v>305000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383111.57500000001</v>
      </c>
      <c r="C20" s="1904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998483.57499999995</v>
      </c>
      <c r="C21" s="1910"/>
      <c r="O21" s="391"/>
      <c r="P21" s="391"/>
      <c r="Q21" s="391"/>
      <c r="R21" s="391"/>
      <c r="T21" s="1900" t="s">
        <v>327</v>
      </c>
      <c r="U21" s="1901"/>
      <c r="V21" s="1911">
        <v>206100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495873</v>
      </c>
      <c r="D22" s="1908">
        <v>305000</v>
      </c>
      <c r="E22" s="1908">
        <v>551896</v>
      </c>
      <c r="F22" s="1908">
        <f>C22-D22+E22</f>
        <v>742769</v>
      </c>
      <c r="G22" s="391"/>
      <c r="Q22" s="391"/>
      <c r="R22" s="391"/>
      <c r="T22" s="1863" t="s">
        <v>83</v>
      </c>
      <c r="U22" s="50" t="s">
        <v>60</v>
      </c>
      <c r="V22" s="1877">
        <v>301570</v>
      </c>
      <c r="W22" s="1877"/>
      <c r="X22" s="1877"/>
      <c r="Y22" s="1883"/>
    </row>
    <row r="23" spans="1:25" ht="39.75" customHeight="1" x14ac:dyDescent="0.25">
      <c r="A23" s="391"/>
      <c r="B23" s="1906"/>
      <c r="C23" s="1909"/>
      <c r="D23" s="1909"/>
      <c r="E23" s="1909"/>
      <c r="F23" s="1909"/>
      <c r="G23" s="391"/>
      <c r="Q23" s="391"/>
      <c r="R23" s="391"/>
      <c r="T23" s="1864"/>
      <c r="U23" s="50" t="s">
        <v>61</v>
      </c>
      <c r="V23" s="1877">
        <v>305000</v>
      </c>
      <c r="W23" s="1877"/>
      <c r="X23" s="1877"/>
      <c r="Y23" s="1883"/>
    </row>
    <row r="24" spans="1:25" ht="48" customHeight="1" x14ac:dyDescent="0.25">
      <c r="A24" s="39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849" t="s">
        <v>47</v>
      </c>
      <c r="U24" s="51" t="s">
        <v>62</v>
      </c>
      <c r="V24" s="1879">
        <f>V14+V16+V17-V18-V19-V20-V22+V23-V21</f>
        <v>35664.935000000056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11623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391"/>
      <c r="J33" s="39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842" t="s">
        <v>328</v>
      </c>
      <c r="U3" s="1842"/>
      <c r="V3" s="1842"/>
      <c r="W3" s="1842"/>
      <c r="X3" s="1842"/>
      <c r="Y3" s="1842"/>
    </row>
    <row r="4" spans="1:25" s="39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392" customFormat="1" ht="25.5" customHeight="1" x14ac:dyDescent="0.25">
      <c r="A5" s="1843"/>
      <c r="B5" s="1843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886"/>
      <c r="R14" s="1886"/>
      <c r="S14" s="401"/>
      <c r="T14" s="1849" t="s">
        <v>46</v>
      </c>
      <c r="U14" s="393" t="s">
        <v>176</v>
      </c>
      <c r="V14" s="1874">
        <v>35665</v>
      </c>
      <c r="W14" s="1875"/>
      <c r="X14" s="1876"/>
    </row>
    <row r="15" spans="1:25" ht="22.5" customHeight="1" x14ac:dyDescent="0.25">
      <c r="A15" s="100" t="s">
        <v>38</v>
      </c>
      <c r="B15" s="1874">
        <v>398038</v>
      </c>
      <c r="C15" s="1876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877"/>
      <c r="R15" s="1877"/>
      <c r="S15" s="393">
        <v>0</v>
      </c>
      <c r="T15" s="1849"/>
      <c r="U15" s="393" t="s">
        <v>64</v>
      </c>
      <c r="V15" s="1877">
        <v>11623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855"/>
      <c r="R16" s="1855"/>
      <c r="S16" s="398"/>
      <c r="T16" s="1871" t="s">
        <v>55</v>
      </c>
      <c r="U16" s="1871"/>
      <c r="V16" s="1878">
        <f>Y12</f>
        <v>168117.35250000001</v>
      </c>
      <c r="W16" s="1878"/>
      <c r="X16" s="1877"/>
    </row>
    <row r="17" spans="1:25" ht="28.5" customHeight="1" x14ac:dyDescent="0.25">
      <c r="A17" s="101" t="s">
        <v>44</v>
      </c>
      <c r="B17" s="1874">
        <v>74301</v>
      </c>
      <c r="C17" s="1876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855"/>
      <c r="R17" s="1855"/>
      <c r="S17" s="395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88969</v>
      </c>
      <c r="C18" s="1876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877"/>
      <c r="R18" s="1877"/>
      <c r="S18" s="393"/>
      <c r="T18" s="1871" t="s">
        <v>57</v>
      </c>
      <c r="U18" s="1871"/>
      <c r="V18" s="1877">
        <v>720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383370</v>
      </c>
      <c r="C19" s="1876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874">
        <f t="shared" ref="Q19" si="14">Q15+Q16+Q17-Q18</f>
        <v>0</v>
      </c>
      <c r="R19" s="1876"/>
      <c r="S19" s="393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368993.625</v>
      </c>
      <c r="C20" s="1904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903693.52500000002</v>
      </c>
      <c r="C21" s="1910"/>
      <c r="O21" s="402"/>
      <c r="P21" s="402"/>
      <c r="Q21" s="402"/>
      <c r="R21" s="402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742769</v>
      </c>
      <c r="D22" s="1908"/>
      <c r="E22" s="1908"/>
      <c r="F22" s="1908">
        <f>C22-D22+E22</f>
        <v>742769</v>
      </c>
      <c r="G22" s="402"/>
      <c r="Q22" s="402"/>
      <c r="R22" s="40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402"/>
      <c r="B23" s="1906"/>
      <c r="C23" s="1909"/>
      <c r="D23" s="1909"/>
      <c r="E23" s="1909"/>
      <c r="F23" s="1909"/>
      <c r="G23" s="402"/>
      <c r="Q23" s="402"/>
      <c r="R23" s="40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40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849" t="s">
        <v>47</v>
      </c>
      <c r="U24" s="51" t="s">
        <v>62</v>
      </c>
      <c r="V24" s="1879">
        <f>V14+V16+V17-V18-V19-V20-V22+V23-V21</f>
        <v>203062.35250000001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11623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02"/>
      <c r="J33" s="40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842" t="s">
        <v>329</v>
      </c>
      <c r="U3" s="1842"/>
      <c r="V3" s="1842"/>
      <c r="W3" s="1842"/>
      <c r="X3" s="1842"/>
      <c r="Y3" s="1842"/>
    </row>
    <row r="4" spans="1:25" s="40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08" customFormat="1" ht="25.5" customHeight="1" x14ac:dyDescent="0.25">
      <c r="A5" s="1843"/>
      <c r="B5" s="1843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886"/>
      <c r="R14" s="1886"/>
      <c r="S14" s="412"/>
      <c r="T14" s="1849" t="s">
        <v>46</v>
      </c>
      <c r="U14" s="406" t="s">
        <v>176</v>
      </c>
      <c r="V14" s="1874">
        <v>203062</v>
      </c>
      <c r="W14" s="1875"/>
      <c r="X14" s="1876"/>
    </row>
    <row r="15" spans="1:25" ht="22.5" customHeight="1" x14ac:dyDescent="0.25">
      <c r="A15" s="100" t="s">
        <v>38</v>
      </c>
      <c r="B15" s="1874">
        <v>383370</v>
      </c>
      <c r="C15" s="1876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877"/>
      <c r="R15" s="1877"/>
      <c r="S15" s="406">
        <v>0</v>
      </c>
      <c r="T15" s="1849"/>
      <c r="U15" s="406" t="s">
        <v>64</v>
      </c>
      <c r="V15" s="1877">
        <v>11623</v>
      </c>
      <c r="W15" s="1877"/>
      <c r="X15" s="1877"/>
    </row>
    <row r="16" spans="1:25" ht="24.75" customHeight="1" x14ac:dyDescent="0.25">
      <c r="A16" s="100" t="s">
        <v>39</v>
      </c>
      <c r="B16" s="1874">
        <v>51948</v>
      </c>
      <c r="C16" s="1876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855"/>
      <c r="R16" s="1855"/>
      <c r="S16" s="409"/>
      <c r="T16" s="1871" t="s">
        <v>55</v>
      </c>
      <c r="U16" s="1871"/>
      <c r="V16" s="1878">
        <f>Y12</f>
        <v>211327.39750000002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855"/>
      <c r="R17" s="1855"/>
      <c r="S17" s="405"/>
      <c r="T17" s="1900" t="s">
        <v>330</v>
      </c>
      <c r="U17" s="1901"/>
      <c r="V17" s="1902">
        <v>35000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155731</v>
      </c>
      <c r="C18" s="1876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877"/>
      <c r="R18" s="1877"/>
      <c r="S18" s="406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279587</v>
      </c>
      <c r="C19" s="1876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874">
        <f t="shared" ref="Q19" si="14">Q15+Q16+Q17-Q18</f>
        <v>0</v>
      </c>
      <c r="R19" s="1876"/>
      <c r="S19" s="406">
        <f>S15+S16-S17-S18</f>
        <v>0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269102.48749999999</v>
      </c>
      <c r="C20" s="1904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744644.28749999998</v>
      </c>
      <c r="C21" s="1910"/>
      <c r="O21" s="413"/>
      <c r="P21" s="413"/>
      <c r="Q21" s="413"/>
      <c r="R21" s="413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742769</v>
      </c>
      <c r="D22" s="1908">
        <v>400000</v>
      </c>
      <c r="E22" s="1908">
        <v>50000</v>
      </c>
      <c r="F22" s="1908">
        <f>C22-D22+E22</f>
        <v>392769</v>
      </c>
      <c r="G22" s="413"/>
      <c r="Q22" s="413"/>
      <c r="R22" s="413"/>
      <c r="T22" s="1863" t="s">
        <v>83</v>
      </c>
      <c r="U22" s="50" t="s">
        <v>60</v>
      </c>
      <c r="V22" s="1877">
        <v>407600</v>
      </c>
      <c r="W22" s="1877"/>
      <c r="X22" s="1877"/>
      <c r="Y22" s="1883"/>
    </row>
    <row r="23" spans="1:25" ht="39.75" customHeight="1" x14ac:dyDescent="0.25">
      <c r="A23" s="413"/>
      <c r="B23" s="1906"/>
      <c r="C23" s="1909"/>
      <c r="D23" s="1909"/>
      <c r="E23" s="1909"/>
      <c r="F23" s="1909"/>
      <c r="G23" s="413"/>
      <c r="Q23" s="413"/>
      <c r="R23" s="413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41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849" t="s">
        <v>47</v>
      </c>
      <c r="U24" s="51" t="s">
        <v>62</v>
      </c>
      <c r="V24" s="1879">
        <f>V14+V16+V17-V18-V19-V20-V22+V23-V21</f>
        <v>41169.397500000021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19223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13"/>
      <c r="J33" s="413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842" t="s">
        <v>331</v>
      </c>
      <c r="U3" s="1842"/>
      <c r="V3" s="1842"/>
      <c r="W3" s="1842"/>
      <c r="X3" s="1842"/>
      <c r="Y3" s="1842"/>
    </row>
    <row r="4" spans="1:25" s="41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19" customFormat="1" ht="25.5" customHeight="1" x14ac:dyDescent="0.25">
      <c r="A5" s="1843"/>
      <c r="B5" s="184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886"/>
      <c r="R14" s="1886"/>
      <c r="S14" s="423"/>
      <c r="T14" s="1849" t="s">
        <v>46</v>
      </c>
      <c r="U14" s="417" t="s">
        <v>176</v>
      </c>
      <c r="V14" s="1874">
        <v>41169</v>
      </c>
      <c r="W14" s="1875"/>
      <c r="X14" s="1876"/>
    </row>
    <row r="15" spans="1:25" ht="22.5" customHeight="1" x14ac:dyDescent="0.25">
      <c r="A15" s="100" t="s">
        <v>38</v>
      </c>
      <c r="B15" s="1874">
        <v>279587</v>
      </c>
      <c r="C15" s="1876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877"/>
      <c r="R15" s="1877"/>
      <c r="S15" s="417">
        <v>0</v>
      </c>
      <c r="T15" s="1849"/>
      <c r="U15" s="417" t="s">
        <v>64</v>
      </c>
      <c r="V15" s="1877">
        <v>19223</v>
      </c>
      <c r="W15" s="1877"/>
      <c r="X15" s="1877"/>
    </row>
    <row r="16" spans="1:25" ht="24.75" customHeight="1" x14ac:dyDescent="0.25">
      <c r="A16" s="100" t="s">
        <v>39</v>
      </c>
      <c r="B16" s="1874">
        <v>83116</v>
      </c>
      <c r="C16" s="1876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855"/>
      <c r="R16" s="1855"/>
      <c r="S16" s="420"/>
      <c r="T16" s="1871" t="s">
        <v>55</v>
      </c>
      <c r="U16" s="1871"/>
      <c r="V16" s="1878">
        <f>Y12</f>
        <v>31185.157500000001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855"/>
      <c r="R17" s="1855"/>
      <c r="S17" s="416"/>
      <c r="T17" s="1900" t="s">
        <v>330</v>
      </c>
      <c r="U17" s="1901"/>
      <c r="V17" s="1902">
        <v>350000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32067</v>
      </c>
      <c r="C18" s="1876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877"/>
      <c r="R18" s="1877"/>
      <c r="S18" s="417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330636</v>
      </c>
      <c r="C19" s="1876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874">
        <f t="shared" ref="Q19" si="14">Q15+Q16+Q17-Q18</f>
        <v>0</v>
      </c>
      <c r="R19" s="1876"/>
      <c r="S19" s="417">
        <f>S15+S16-S17-S18</f>
        <v>0</v>
      </c>
      <c r="T19" s="1869" t="s">
        <v>48</v>
      </c>
      <c r="U19" s="49" t="s">
        <v>58</v>
      </c>
      <c r="V19" s="1877">
        <v>392769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318237.15000000002</v>
      </c>
      <c r="C20" s="1904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793778.95</v>
      </c>
      <c r="C21" s="1910"/>
      <c r="O21" s="424"/>
      <c r="P21" s="424"/>
      <c r="Q21" s="424"/>
      <c r="R21" s="424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392769</v>
      </c>
      <c r="D22" s="1908">
        <v>392769</v>
      </c>
      <c r="E22" s="1908">
        <v>80000</v>
      </c>
      <c r="F22" s="1908">
        <f>C22-D22+E22</f>
        <v>80000</v>
      </c>
      <c r="G22" s="424"/>
      <c r="Q22" s="424"/>
      <c r="R22" s="424"/>
      <c r="T22" s="1863" t="s">
        <v>83</v>
      </c>
      <c r="U22" s="50" t="s">
        <v>60</v>
      </c>
      <c r="V22" s="1877">
        <v>416510</v>
      </c>
      <c r="W22" s="1877"/>
      <c r="X22" s="1877"/>
      <c r="Y22" s="1883"/>
    </row>
    <row r="23" spans="1:25" ht="39.75" customHeight="1" x14ac:dyDescent="0.25">
      <c r="A23" s="424"/>
      <c r="B23" s="1906"/>
      <c r="C23" s="1909"/>
      <c r="D23" s="1909"/>
      <c r="E23" s="1909"/>
      <c r="F23" s="1909"/>
      <c r="G23" s="424"/>
      <c r="Q23" s="424"/>
      <c r="R23" s="424"/>
      <c r="T23" s="1864"/>
      <c r="U23" s="50" t="s">
        <v>61</v>
      </c>
      <c r="V23" s="1877">
        <v>392769</v>
      </c>
      <c r="W23" s="1877"/>
      <c r="X23" s="1877"/>
      <c r="Y23" s="1883"/>
    </row>
    <row r="24" spans="1:25" ht="48" customHeight="1" x14ac:dyDescent="0.25">
      <c r="A24" s="42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849" t="s">
        <v>47</v>
      </c>
      <c r="U24" s="51" t="s">
        <v>62</v>
      </c>
      <c r="V24" s="1879">
        <f>V14+V16+V17-V18-V19-V20-V22+V23-V21</f>
        <v>5324.1574999999721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42964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24"/>
      <c r="J33" s="42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842" t="s">
        <v>332</v>
      </c>
      <c r="U3" s="1842"/>
      <c r="V3" s="1842"/>
      <c r="W3" s="1842"/>
      <c r="X3" s="1842"/>
      <c r="Y3" s="1842"/>
    </row>
    <row r="4" spans="1:25" s="41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19" customFormat="1" ht="25.5" customHeight="1" x14ac:dyDescent="0.25">
      <c r="A5" s="1843"/>
      <c r="B5" s="1843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886"/>
      <c r="R14" s="1886"/>
      <c r="S14" s="423"/>
      <c r="T14" s="1849" t="s">
        <v>46</v>
      </c>
      <c r="U14" s="417" t="s">
        <v>176</v>
      </c>
      <c r="V14" s="1874">
        <v>5324</v>
      </c>
      <c r="W14" s="1875"/>
      <c r="X14" s="1876"/>
    </row>
    <row r="15" spans="1:25" ht="22.5" customHeight="1" x14ac:dyDescent="0.25">
      <c r="A15" s="100" t="s">
        <v>38</v>
      </c>
      <c r="B15" s="1874">
        <v>330636</v>
      </c>
      <c r="C15" s="1876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877"/>
      <c r="R15" s="1877"/>
      <c r="S15" s="417">
        <v>0</v>
      </c>
      <c r="T15" s="1849"/>
      <c r="U15" s="417" t="s">
        <v>64</v>
      </c>
      <c r="V15" s="1877">
        <v>42964</v>
      </c>
      <c r="W15" s="1877"/>
      <c r="X15" s="1877"/>
    </row>
    <row r="16" spans="1:25" ht="24.75" customHeight="1" x14ac:dyDescent="0.25">
      <c r="A16" s="100" t="s">
        <v>39</v>
      </c>
      <c r="B16" s="1874">
        <v>408684</v>
      </c>
      <c r="C16" s="1876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855"/>
      <c r="R16" s="1855"/>
      <c r="S16" s="420"/>
      <c r="T16" s="1871" t="s">
        <v>55</v>
      </c>
      <c r="U16" s="1871"/>
      <c r="V16" s="1878">
        <f>Y12</f>
        <v>343038.53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855"/>
      <c r="R17" s="1855"/>
      <c r="S17" s="416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340708</v>
      </c>
      <c r="C18" s="1876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877"/>
      <c r="R18" s="1877"/>
      <c r="S18" s="417"/>
      <c r="T18" s="1871" t="s">
        <v>57</v>
      </c>
      <c r="U18" s="1871"/>
      <c r="V18" s="1877">
        <v>2450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398612</v>
      </c>
      <c r="C19" s="1876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874">
        <f t="shared" ref="Q19" si="14">Q15+Q16+Q17-Q18</f>
        <v>0</v>
      </c>
      <c r="R19" s="1876"/>
      <c r="S19" s="417">
        <f>S15+S16-S17-S18</f>
        <v>0</v>
      </c>
      <c r="T19" s="1869" t="s">
        <v>48</v>
      </c>
      <c r="U19" s="49" t="s">
        <v>58</v>
      </c>
      <c r="V19" s="1877">
        <v>80000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383664.05</v>
      </c>
      <c r="C20" s="1904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848953.05</v>
      </c>
      <c r="C21" s="1910"/>
      <c r="O21" s="424"/>
      <c r="P21" s="424"/>
      <c r="Q21" s="424"/>
      <c r="R21" s="424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80000</v>
      </c>
      <c r="D22" s="1908">
        <v>80000</v>
      </c>
      <c r="E22" s="1908">
        <v>400000</v>
      </c>
      <c r="F22" s="1908">
        <f>C22-D22+E22</f>
        <v>400000</v>
      </c>
      <c r="G22" s="424"/>
      <c r="Q22" s="424"/>
      <c r="R22" s="424"/>
      <c r="T22" s="1863" t="s">
        <v>83</v>
      </c>
      <c r="U22" s="50" t="s">
        <v>60</v>
      </c>
      <c r="V22" s="1877">
        <v>302740</v>
      </c>
      <c r="W22" s="1877"/>
      <c r="X22" s="1877"/>
      <c r="Y22" s="1883"/>
    </row>
    <row r="23" spans="1:25" ht="39.75" customHeight="1" x14ac:dyDescent="0.25">
      <c r="A23" s="424"/>
      <c r="B23" s="1906"/>
      <c r="C23" s="1909"/>
      <c r="D23" s="1909"/>
      <c r="E23" s="1909"/>
      <c r="F23" s="1909"/>
      <c r="G23" s="424"/>
      <c r="Q23" s="424"/>
      <c r="R23" s="424"/>
      <c r="T23" s="1864"/>
      <c r="U23" s="50" t="s">
        <v>61</v>
      </c>
      <c r="V23" s="1877">
        <v>80000</v>
      </c>
      <c r="W23" s="1877"/>
      <c r="X23" s="1877"/>
      <c r="Y23" s="1883"/>
    </row>
    <row r="24" spans="1:25" ht="48" customHeight="1" x14ac:dyDescent="0.25">
      <c r="A24" s="42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849" t="s">
        <v>47</v>
      </c>
      <c r="U24" s="51" t="s">
        <v>62</v>
      </c>
      <c r="V24" s="1879">
        <f>V14+V16+V17-V18-V19-V20-V22+V23-V21</f>
        <v>43172.530000000028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265704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24"/>
      <c r="J33" s="42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842" t="s">
        <v>334</v>
      </c>
      <c r="U3" s="1842"/>
      <c r="V3" s="1842"/>
      <c r="W3" s="1842"/>
      <c r="X3" s="1842"/>
      <c r="Y3" s="1842"/>
    </row>
    <row r="4" spans="1:25" s="42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25" customFormat="1" ht="25.5" customHeight="1" x14ac:dyDescent="0.25">
      <c r="A5" s="1843"/>
      <c r="B5" s="184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886"/>
      <c r="R14" s="1886"/>
      <c r="S14" s="434"/>
      <c r="T14" s="1849" t="s">
        <v>46</v>
      </c>
      <c r="U14" s="426" t="s">
        <v>176</v>
      </c>
      <c r="V14" s="1874">
        <v>43173</v>
      </c>
      <c r="W14" s="1875"/>
      <c r="X14" s="1876"/>
    </row>
    <row r="15" spans="1:25" ht="22.5" customHeight="1" x14ac:dyDescent="0.25">
      <c r="A15" s="100" t="s">
        <v>38</v>
      </c>
      <c r="B15" s="1874">
        <v>398612</v>
      </c>
      <c r="C15" s="1876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877"/>
      <c r="R15" s="1877"/>
      <c r="S15" s="426">
        <v>0</v>
      </c>
      <c r="T15" s="1849"/>
      <c r="U15" s="426" t="s">
        <v>64</v>
      </c>
      <c r="V15" s="1877">
        <v>265704</v>
      </c>
      <c r="W15" s="1877"/>
      <c r="X15" s="1877"/>
    </row>
    <row r="16" spans="1:25" ht="24.75" customHeight="1" x14ac:dyDescent="0.25">
      <c r="A16" s="100" t="s">
        <v>39</v>
      </c>
      <c r="B16" s="1874">
        <v>575646</v>
      </c>
      <c r="C16" s="1876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855"/>
      <c r="R16" s="1855"/>
      <c r="S16" s="431"/>
      <c r="T16" s="1871" t="s">
        <v>55</v>
      </c>
      <c r="U16" s="1871"/>
      <c r="V16" s="1878">
        <f>Y12</f>
        <v>687807.97000000009</v>
      </c>
      <c r="W16" s="1878"/>
      <c r="X16" s="1877"/>
    </row>
    <row r="17" spans="1:25" ht="28.5" customHeight="1" x14ac:dyDescent="0.25">
      <c r="A17" s="101" t="s">
        <v>44</v>
      </c>
      <c r="B17" s="1874">
        <v>75396</v>
      </c>
      <c r="C17" s="1876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855"/>
      <c r="R17" s="1855"/>
      <c r="S17" s="428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704292</v>
      </c>
      <c r="C18" s="1876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877"/>
      <c r="R18" s="1877"/>
      <c r="S18" s="426"/>
      <c r="T18" s="1871" t="s">
        <v>57</v>
      </c>
      <c r="U18" s="1871"/>
      <c r="V18" s="1877">
        <f>720+8414</f>
        <v>9134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345362</v>
      </c>
      <c r="C19" s="1876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874">
        <f t="shared" ref="Q19" si="14">Q15+Q16+Q17-Q18</f>
        <v>0</v>
      </c>
      <c r="R19" s="1876"/>
      <c r="S19" s="426">
        <f>S15+S16-S17-S18</f>
        <v>0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332410.92499999999</v>
      </c>
      <c r="C20" s="1904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>
        <v>214060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794905.92500000005</v>
      </c>
      <c r="C21" s="1910"/>
      <c r="O21" s="435"/>
      <c r="P21" s="435"/>
      <c r="Q21" s="435"/>
      <c r="R21" s="435"/>
      <c r="T21" s="1900" t="s">
        <v>340</v>
      </c>
      <c r="U21" s="1901"/>
      <c r="V21" s="1911">
        <v>100000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340000</v>
      </c>
      <c r="F22" s="1908">
        <f>C22-D22+E22</f>
        <v>340000</v>
      </c>
      <c r="G22" s="435"/>
      <c r="Q22" s="435"/>
      <c r="R22" s="435"/>
      <c r="T22" s="1863" t="s">
        <v>83</v>
      </c>
      <c r="U22" s="50" t="s">
        <v>60</v>
      </c>
      <c r="V22" s="1877">
        <v>145000</v>
      </c>
      <c r="W22" s="1877"/>
      <c r="X22" s="1877"/>
      <c r="Y22" s="1883"/>
    </row>
    <row r="23" spans="1:25" ht="39.75" customHeight="1" x14ac:dyDescent="0.25">
      <c r="A23" s="435"/>
      <c r="B23" s="1906"/>
      <c r="C23" s="1909"/>
      <c r="D23" s="1909"/>
      <c r="E23" s="1909"/>
      <c r="F23" s="1909"/>
      <c r="G23" s="435"/>
      <c r="Q23" s="435"/>
      <c r="R23" s="435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43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849" t="s">
        <v>47</v>
      </c>
      <c r="U24" s="51" t="s">
        <v>62</v>
      </c>
      <c r="V24" s="1879">
        <f>V14+V16+V17-V18-V19-V20-V22+V23-V21</f>
        <v>262786.97000000009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10704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35"/>
      <c r="J33" s="43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842" t="s">
        <v>336</v>
      </c>
      <c r="U3" s="1842"/>
      <c r="V3" s="1842"/>
      <c r="W3" s="1842"/>
      <c r="X3" s="1842"/>
      <c r="Y3" s="1842"/>
    </row>
    <row r="4" spans="1:25" s="42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25" customFormat="1" ht="25.5" customHeight="1" x14ac:dyDescent="0.25">
      <c r="A5" s="1843"/>
      <c r="B5" s="1843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886"/>
      <c r="R14" s="1886"/>
      <c r="S14" s="434"/>
      <c r="T14" s="1849" t="s">
        <v>46</v>
      </c>
      <c r="U14" s="426" t="s">
        <v>176</v>
      </c>
      <c r="V14" s="1874">
        <v>262787</v>
      </c>
      <c r="W14" s="1875"/>
      <c r="X14" s="1876"/>
    </row>
    <row r="15" spans="1:25" ht="22.5" customHeight="1" x14ac:dyDescent="0.25">
      <c r="A15" s="100" t="s">
        <v>38</v>
      </c>
      <c r="B15" s="1874">
        <v>345362</v>
      </c>
      <c r="C15" s="1876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877"/>
      <c r="R15" s="1877"/>
      <c r="S15" s="426">
        <v>0</v>
      </c>
      <c r="T15" s="1849"/>
      <c r="U15" s="426" t="s">
        <v>64</v>
      </c>
      <c r="V15" s="1877">
        <v>10704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855"/>
      <c r="R16" s="1855"/>
      <c r="S16" s="431"/>
      <c r="T16" s="1871" t="s">
        <v>55</v>
      </c>
      <c r="U16" s="1871"/>
      <c r="V16" s="1878">
        <f>Y12</f>
        <v>172952.69750000001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855"/>
      <c r="R17" s="1855"/>
      <c r="S17" s="428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28411</v>
      </c>
      <c r="C18" s="1876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877"/>
      <c r="R18" s="1877"/>
      <c r="S18" s="426"/>
      <c r="T18" s="1871" t="s">
        <v>57</v>
      </c>
      <c r="U18" s="1871"/>
      <c r="V18" s="1877">
        <f>470+138910</f>
        <v>139380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316951</v>
      </c>
      <c r="C19" s="1876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874">
        <f t="shared" ref="Q19" si="14">Q15+Q16+Q17-Q18</f>
        <v>0</v>
      </c>
      <c r="R19" s="1876"/>
      <c r="S19" s="426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305065.33750000002</v>
      </c>
      <c r="C20" s="1904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>
        <v>17834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1683787.3374999999</v>
      </c>
      <c r="C21" s="1910"/>
      <c r="O21" s="435"/>
      <c r="P21" s="435"/>
      <c r="Q21" s="435"/>
      <c r="R21" s="435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340000</v>
      </c>
      <c r="D22" s="1908"/>
      <c r="E22" s="1908">
        <v>1042385</v>
      </c>
      <c r="F22" s="1908">
        <f>C22-D22+E22</f>
        <v>1382385</v>
      </c>
      <c r="G22" s="435"/>
      <c r="Q22" s="435"/>
      <c r="R22" s="435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435"/>
      <c r="B23" s="1906"/>
      <c r="C23" s="1909"/>
      <c r="D23" s="1909"/>
      <c r="E23" s="1909"/>
      <c r="F23" s="1909"/>
      <c r="G23" s="435"/>
      <c r="Q23" s="435"/>
      <c r="R23" s="435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43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849" t="s">
        <v>47</v>
      </c>
      <c r="U24" s="51" t="s">
        <v>62</v>
      </c>
      <c r="V24" s="1879">
        <f>V14+V16+V17-V18-V19-V20-V22+V23-V21</f>
        <v>278525.69750000001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10704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35"/>
      <c r="J33" s="43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842" t="s">
        <v>338</v>
      </c>
      <c r="U3" s="1842"/>
      <c r="V3" s="1842"/>
      <c r="W3" s="1842"/>
      <c r="X3" s="1842"/>
      <c r="Y3" s="1842"/>
    </row>
    <row r="4" spans="1:25" s="43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36" customFormat="1" ht="25.5" customHeight="1" x14ac:dyDescent="0.25">
      <c r="A5" s="1843"/>
      <c r="B5" s="1843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886"/>
      <c r="R14" s="1886"/>
      <c r="S14" s="445"/>
      <c r="T14" s="1849" t="s">
        <v>46</v>
      </c>
      <c r="U14" s="437" t="s">
        <v>176</v>
      </c>
      <c r="V14" s="1874">
        <v>278526</v>
      </c>
      <c r="W14" s="1875"/>
      <c r="X14" s="1876"/>
    </row>
    <row r="15" spans="1:25" ht="22.5" customHeight="1" x14ac:dyDescent="0.25">
      <c r="A15" s="100" t="s">
        <v>38</v>
      </c>
      <c r="B15" s="1874">
        <v>316951</v>
      </c>
      <c r="C15" s="1876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877"/>
      <c r="R15" s="1877"/>
      <c r="S15" s="437">
        <v>0</v>
      </c>
      <c r="T15" s="1849"/>
      <c r="U15" s="437" t="s">
        <v>64</v>
      </c>
      <c r="V15" s="1877">
        <v>10704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855"/>
      <c r="R16" s="1855"/>
      <c r="S16" s="442"/>
      <c r="T16" s="1871" t="s">
        <v>55</v>
      </c>
      <c r="U16" s="1871"/>
      <c r="V16" s="1878">
        <f>Y12</f>
        <v>46823.880000000005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855"/>
      <c r="R17" s="1855"/>
      <c r="S17" s="439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47568</v>
      </c>
      <c r="C18" s="1876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877"/>
      <c r="R18" s="1877"/>
      <c r="S18" s="437"/>
      <c r="T18" s="1871" t="s">
        <v>57</v>
      </c>
      <c r="U18" s="1871"/>
      <c r="V18" s="1877">
        <f>520+1655</f>
        <v>2175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269383</v>
      </c>
      <c r="C19" s="1876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874">
        <f t="shared" ref="Q19" si="14">Q15+Q16+Q17-Q18</f>
        <v>0</v>
      </c>
      <c r="R19" s="1876"/>
      <c r="S19" s="437">
        <f>S15+S16-S17-S18</f>
        <v>0</v>
      </c>
      <c r="T19" s="1869" t="s">
        <v>48</v>
      </c>
      <c r="U19" s="49" t="s">
        <v>58</v>
      </c>
      <c r="V19" s="1877">
        <v>196000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259281.13750000001</v>
      </c>
      <c r="C20" s="1904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1642724.1375</v>
      </c>
      <c r="C21" s="1910"/>
      <c r="O21" s="446"/>
      <c r="P21" s="446"/>
      <c r="Q21" s="446"/>
      <c r="R21" s="446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1382385</v>
      </c>
      <c r="D22" s="1908">
        <v>196000</v>
      </c>
      <c r="E22" s="1908"/>
      <c r="F22" s="1908">
        <f>C22-D22+E22</f>
        <v>1186385</v>
      </c>
      <c r="G22" s="446"/>
      <c r="Q22" s="446"/>
      <c r="R22" s="446"/>
      <c r="T22" s="1863" t="s">
        <v>83</v>
      </c>
      <c r="U22" s="50" t="s">
        <v>60</v>
      </c>
      <c r="V22" s="1877">
        <v>196430</v>
      </c>
      <c r="W22" s="1877"/>
      <c r="X22" s="1877"/>
      <c r="Y22" s="1883"/>
    </row>
    <row r="23" spans="1:25" ht="39.75" customHeight="1" x14ac:dyDescent="0.25">
      <c r="A23" s="446"/>
      <c r="B23" s="1906"/>
      <c r="C23" s="1909"/>
      <c r="D23" s="1909"/>
      <c r="E23" s="1909"/>
      <c r="F23" s="1909"/>
      <c r="G23" s="446"/>
      <c r="Q23" s="446"/>
      <c r="R23" s="446"/>
      <c r="T23" s="1864"/>
      <c r="U23" s="50" t="s">
        <v>61</v>
      </c>
      <c r="V23" s="1877">
        <v>196000</v>
      </c>
      <c r="W23" s="1877"/>
      <c r="X23" s="1877"/>
      <c r="Y23" s="1883"/>
    </row>
    <row r="24" spans="1:25" ht="48" customHeight="1" x14ac:dyDescent="0.25">
      <c r="A24" s="44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849" t="s">
        <v>47</v>
      </c>
      <c r="U24" s="51" t="s">
        <v>62</v>
      </c>
      <c r="V24" s="1879">
        <f>V14+V16+V17-V18-V19-V20-V22+V23-V21</f>
        <v>126744.88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11134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46"/>
      <c r="J33" s="44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842" t="s">
        <v>337</v>
      </c>
      <c r="U3" s="1842"/>
      <c r="V3" s="1842"/>
      <c r="W3" s="1842"/>
      <c r="X3" s="1842"/>
      <c r="Y3" s="1842"/>
    </row>
    <row r="4" spans="1:25" s="45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28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52" customFormat="1" ht="25.5" customHeight="1" x14ac:dyDescent="0.25">
      <c r="A5" s="1843"/>
      <c r="B5" s="1843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886"/>
      <c r="R14" s="1886"/>
      <c r="S14" s="456"/>
      <c r="T14" s="1849" t="s">
        <v>46</v>
      </c>
      <c r="U14" s="450" t="s">
        <v>176</v>
      </c>
      <c r="V14" s="1874">
        <v>126745</v>
      </c>
      <c r="W14" s="1875"/>
      <c r="X14" s="1876"/>
    </row>
    <row r="15" spans="1:25" ht="22.5" customHeight="1" x14ac:dyDescent="0.25">
      <c r="A15" s="100" t="s">
        <v>38</v>
      </c>
      <c r="B15" s="1874">
        <v>269383</v>
      </c>
      <c r="C15" s="1876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877"/>
      <c r="R15" s="1877"/>
      <c r="S15" s="450">
        <v>0</v>
      </c>
      <c r="T15" s="1849"/>
      <c r="U15" s="450" t="s">
        <v>64</v>
      </c>
      <c r="V15" s="1877">
        <v>11134</v>
      </c>
      <c r="W15" s="1877"/>
      <c r="X15" s="1877"/>
    </row>
    <row r="16" spans="1:25" ht="24.75" customHeight="1" x14ac:dyDescent="0.25">
      <c r="A16" s="100" t="s">
        <v>39</v>
      </c>
      <c r="B16" s="1874">
        <v>155844</v>
      </c>
      <c r="C16" s="1876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855"/>
      <c r="R16" s="1855"/>
      <c r="S16" s="453"/>
      <c r="T16" s="1871" t="s">
        <v>55</v>
      </c>
      <c r="U16" s="1871"/>
      <c r="V16" s="1878">
        <f>Y12</f>
        <v>386262.65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855"/>
      <c r="R17" s="1855"/>
      <c r="S17" s="449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117940</v>
      </c>
      <c r="C18" s="1876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877"/>
      <c r="R18" s="1877"/>
      <c r="S18" s="450"/>
      <c r="T18" s="1871" t="s">
        <v>57</v>
      </c>
      <c r="U18" s="1871"/>
      <c r="V18" s="1877">
        <v>770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307287</v>
      </c>
      <c r="C19" s="1876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874">
        <f t="shared" ref="Q19" si="14">Q15+Q16+Q17-Q18</f>
        <v>0</v>
      </c>
      <c r="R19" s="1876"/>
      <c r="S19" s="450">
        <f>S15+S16-S17-S18</f>
        <v>0</v>
      </c>
      <c r="T19" s="1869" t="s">
        <v>48</v>
      </c>
      <c r="U19" s="49" t="s">
        <v>58</v>
      </c>
      <c r="V19" s="1877">
        <v>144000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295763.73749999999</v>
      </c>
      <c r="C20" s="1904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1461368.8374999999</v>
      </c>
      <c r="C21" s="1910"/>
      <c r="O21" s="457"/>
      <c r="P21" s="457"/>
      <c r="Q21" s="457"/>
      <c r="R21" s="457"/>
      <c r="T21" s="1900" t="s">
        <v>340</v>
      </c>
      <c r="U21" s="1901"/>
      <c r="V21" s="1911">
        <v>261000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1186385</v>
      </c>
      <c r="D22" s="1908">
        <v>144000</v>
      </c>
      <c r="E22" s="1908">
        <v>201241</v>
      </c>
      <c r="F22" s="1908">
        <f>C22-D22+E22</f>
        <v>1243626</v>
      </c>
      <c r="G22" s="457"/>
      <c r="Q22" s="457"/>
      <c r="R22" s="457"/>
      <c r="T22" s="1863" t="s">
        <v>83</v>
      </c>
      <c r="U22" s="50" t="s">
        <v>60</v>
      </c>
      <c r="V22" s="1877">
        <v>434680</v>
      </c>
      <c r="W22" s="1877"/>
      <c r="X22" s="1877"/>
      <c r="Y22" s="1883"/>
    </row>
    <row r="23" spans="1:25" ht="39.75" customHeight="1" x14ac:dyDescent="0.25">
      <c r="A23" s="457"/>
      <c r="B23" s="1906"/>
      <c r="C23" s="1909"/>
      <c r="D23" s="1909"/>
      <c r="E23" s="1909"/>
      <c r="F23" s="1909"/>
      <c r="G23" s="457"/>
      <c r="Q23" s="457"/>
      <c r="R23" s="457"/>
      <c r="T23" s="1864"/>
      <c r="U23" s="50" t="s">
        <v>61</v>
      </c>
      <c r="V23" s="1877">
        <v>405000</v>
      </c>
      <c r="W23" s="1877"/>
      <c r="X23" s="1877"/>
      <c r="Y23" s="1883"/>
    </row>
    <row r="24" spans="1:25" ht="48" customHeight="1" x14ac:dyDescent="0.25">
      <c r="A24" s="45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849" t="s">
        <v>47</v>
      </c>
      <c r="U24" s="51" t="s">
        <v>62</v>
      </c>
      <c r="V24" s="1879">
        <f>V14+V16+V17-V18-V19-V20-V22+V23-V21</f>
        <v>77557.650000000023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40814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57"/>
      <c r="J33" s="45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842" t="s">
        <v>341</v>
      </c>
      <c r="U3" s="1842"/>
      <c r="V3" s="1842"/>
      <c r="W3" s="1842"/>
      <c r="X3" s="1842"/>
      <c r="Y3" s="1842"/>
    </row>
    <row r="4" spans="1:25" s="45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58" customFormat="1" ht="25.5" customHeight="1" x14ac:dyDescent="0.25">
      <c r="A5" s="1843"/>
      <c r="B5" s="184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886"/>
      <c r="R14" s="1886"/>
      <c r="S14" s="467"/>
      <c r="T14" s="1849" t="s">
        <v>46</v>
      </c>
      <c r="U14" s="459" t="s">
        <v>176</v>
      </c>
      <c r="V14" s="1874">
        <v>77558</v>
      </c>
      <c r="W14" s="1875"/>
      <c r="X14" s="1876"/>
    </row>
    <row r="15" spans="1:25" ht="22.5" customHeight="1" x14ac:dyDescent="0.25">
      <c r="A15" s="100" t="s">
        <v>38</v>
      </c>
      <c r="B15" s="1874">
        <v>307287</v>
      </c>
      <c r="C15" s="1876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877"/>
      <c r="R15" s="1877"/>
      <c r="S15" s="459">
        <v>0</v>
      </c>
      <c r="T15" s="1849"/>
      <c r="U15" s="459" t="s">
        <v>64</v>
      </c>
      <c r="V15" s="1877">
        <v>40814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855"/>
      <c r="R16" s="1855"/>
      <c r="S16" s="464"/>
      <c r="T16" s="1871" t="s">
        <v>55</v>
      </c>
      <c r="U16" s="1871"/>
      <c r="V16" s="1878">
        <f>Y12</f>
        <v>262566.27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855"/>
      <c r="R17" s="1855"/>
      <c r="S17" s="461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98572</v>
      </c>
      <c r="C18" s="1876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877"/>
      <c r="R18" s="1877"/>
      <c r="S18" s="459"/>
      <c r="T18" s="1871" t="s">
        <v>57</v>
      </c>
      <c r="U18" s="1871"/>
      <c r="V18" s="1877">
        <v>570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312611</v>
      </c>
      <c r="C19" s="1876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874">
        <f t="shared" ref="Q19" si="14">Q15+Q16+Q17-Q18</f>
        <v>0</v>
      </c>
      <c r="R19" s="1876"/>
      <c r="S19" s="459">
        <f>S15+S16-S17-S18</f>
        <v>0</v>
      </c>
      <c r="T19" s="1869" t="s">
        <v>48</v>
      </c>
      <c r="U19" s="49" t="s">
        <v>58</v>
      </c>
      <c r="V19" s="1877">
        <v>201241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300888.08750000002</v>
      </c>
      <c r="C20" s="1904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1374487.6875</v>
      </c>
      <c r="C21" s="1910"/>
      <c r="O21" s="468"/>
      <c r="P21" s="468"/>
      <c r="Q21" s="468"/>
      <c r="R21" s="468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1243626</v>
      </c>
      <c r="D22" s="1908">
        <v>201241</v>
      </c>
      <c r="E22" s="1908">
        <v>173051</v>
      </c>
      <c r="F22" s="1908">
        <f>C22-D22+E22</f>
        <v>1215436</v>
      </c>
      <c r="G22" s="468"/>
      <c r="Q22" s="468"/>
      <c r="R22" s="468"/>
      <c r="T22" s="1863" t="s">
        <v>83</v>
      </c>
      <c r="U22" s="50" t="s">
        <v>60</v>
      </c>
      <c r="V22" s="1877">
        <v>282090</v>
      </c>
      <c r="W22" s="1877"/>
      <c r="X22" s="1877"/>
      <c r="Y22" s="1883"/>
    </row>
    <row r="23" spans="1:25" ht="39.75" customHeight="1" x14ac:dyDescent="0.25">
      <c r="A23" s="468"/>
      <c r="B23" s="1906"/>
      <c r="C23" s="1909"/>
      <c r="D23" s="1909"/>
      <c r="E23" s="1909"/>
      <c r="F23" s="1909"/>
      <c r="G23" s="468"/>
      <c r="Q23" s="468"/>
      <c r="R23" s="468"/>
      <c r="T23" s="1864"/>
      <c r="U23" s="50" t="s">
        <v>61</v>
      </c>
      <c r="V23" s="1877">
        <v>201241</v>
      </c>
      <c r="W23" s="1877"/>
      <c r="X23" s="1877"/>
      <c r="Y23" s="1883"/>
    </row>
    <row r="24" spans="1:25" ht="48" customHeight="1" x14ac:dyDescent="0.25">
      <c r="A24" s="46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849" t="s">
        <v>47</v>
      </c>
      <c r="U24" s="51" t="s">
        <v>62</v>
      </c>
      <c r="V24" s="1879">
        <f>V14+V16+V17-V18-V19-V20-V22+V23-V21</f>
        <v>57464.270000000019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121663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68"/>
      <c r="J33" s="46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842" t="s">
        <v>343</v>
      </c>
      <c r="U3" s="1842"/>
      <c r="V3" s="1842"/>
      <c r="W3" s="1842"/>
      <c r="X3" s="1842"/>
      <c r="Y3" s="1842"/>
    </row>
    <row r="4" spans="1:25" s="45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58" customFormat="1" ht="25.5" customHeight="1" x14ac:dyDescent="0.25">
      <c r="A5" s="1843"/>
      <c r="B5" s="1843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886"/>
      <c r="R14" s="1886"/>
      <c r="S14" s="467"/>
      <c r="T14" s="1849" t="s">
        <v>46</v>
      </c>
      <c r="U14" s="459" t="s">
        <v>176</v>
      </c>
      <c r="V14" s="1874">
        <v>57464</v>
      </c>
      <c r="W14" s="1875"/>
      <c r="X14" s="1876"/>
    </row>
    <row r="15" spans="1:25" ht="22.5" customHeight="1" x14ac:dyDescent="0.25">
      <c r="A15" s="100" t="s">
        <v>38</v>
      </c>
      <c r="B15" s="1874">
        <v>312611</v>
      </c>
      <c r="C15" s="1876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877"/>
      <c r="R15" s="1877"/>
      <c r="S15" s="459">
        <v>0</v>
      </c>
      <c r="T15" s="1849"/>
      <c r="U15" s="459" t="s">
        <v>64</v>
      </c>
      <c r="V15" s="1877">
        <v>121663</v>
      </c>
      <c r="W15" s="1877"/>
      <c r="X15" s="1877"/>
    </row>
    <row r="16" spans="1:25" ht="24.75" customHeight="1" x14ac:dyDescent="0.25">
      <c r="A16" s="100" t="s">
        <v>39</v>
      </c>
      <c r="B16" s="1874">
        <v>119480</v>
      </c>
      <c r="C16" s="1876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855"/>
      <c r="R16" s="1855"/>
      <c r="S16" s="464"/>
      <c r="T16" s="1871" t="s">
        <v>55</v>
      </c>
      <c r="U16" s="1871"/>
      <c r="V16" s="1878">
        <f>Y12</f>
        <v>224811.44750000004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855"/>
      <c r="R17" s="1855"/>
      <c r="S17" s="461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99511</v>
      </c>
      <c r="C18" s="1876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877"/>
      <c r="R18" s="1877"/>
      <c r="S18" s="459"/>
      <c r="T18" s="1871" t="s">
        <v>57</v>
      </c>
      <c r="U18" s="1871"/>
      <c r="V18" s="1877">
        <f>620+1155</f>
        <v>1775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332580</v>
      </c>
      <c r="C19" s="1876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874">
        <f t="shared" ref="Q19" si="14">Q15+Q16+Q17-Q18</f>
        <v>0</v>
      </c>
      <c r="R19" s="1876"/>
      <c r="S19" s="459">
        <f>S15+S16-S17-S18</f>
        <v>0</v>
      </c>
      <c r="T19" s="1869" t="s">
        <v>48</v>
      </c>
      <c r="U19" s="49" t="s">
        <v>58</v>
      </c>
      <c r="V19" s="1877">
        <v>173051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320108.25</v>
      </c>
      <c r="C20" s="1904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1340678.45</v>
      </c>
      <c r="C21" s="1910"/>
      <c r="O21" s="468"/>
      <c r="P21" s="468"/>
      <c r="Q21" s="468"/>
      <c r="R21" s="468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1215436</v>
      </c>
      <c r="D22" s="1908">
        <v>173051</v>
      </c>
      <c r="E22" s="1908">
        <v>188240</v>
      </c>
      <c r="F22" s="1908">
        <f>C22-D22+E22</f>
        <v>1230625</v>
      </c>
      <c r="G22" s="468"/>
      <c r="Q22" s="468"/>
      <c r="R22" s="468"/>
      <c r="T22" s="1863" t="s">
        <v>83</v>
      </c>
      <c r="U22" s="50" t="s">
        <v>60</v>
      </c>
      <c r="V22" s="1877">
        <v>222440</v>
      </c>
      <c r="W22" s="1877"/>
      <c r="X22" s="1877"/>
      <c r="Y22" s="1883"/>
    </row>
    <row r="23" spans="1:25" ht="39.75" customHeight="1" x14ac:dyDescent="0.25">
      <c r="A23" s="468"/>
      <c r="B23" s="1906"/>
      <c r="C23" s="1909"/>
      <c r="D23" s="1909"/>
      <c r="E23" s="1909"/>
      <c r="F23" s="1909"/>
      <c r="G23" s="468"/>
      <c r="Q23" s="468"/>
      <c r="R23" s="468"/>
      <c r="T23" s="1864"/>
      <c r="U23" s="50" t="s">
        <v>61</v>
      </c>
      <c r="V23" s="1877">
        <v>173051</v>
      </c>
      <c r="W23" s="1877"/>
      <c r="X23" s="1877"/>
      <c r="Y23" s="1883"/>
    </row>
    <row r="24" spans="1:25" ht="48" customHeight="1" x14ac:dyDescent="0.25">
      <c r="A24" s="46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849" t="s">
        <v>47</v>
      </c>
      <c r="U24" s="51" t="s">
        <v>62</v>
      </c>
      <c r="V24" s="1879">
        <f>V14+V16+V17-V18-V19-V20-V22+V23-V21</f>
        <v>58060.447500000009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171052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68"/>
      <c r="J33" s="46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842" t="s">
        <v>344</v>
      </c>
      <c r="U3" s="1842"/>
      <c r="V3" s="1842"/>
      <c r="W3" s="1842"/>
      <c r="X3" s="1842"/>
      <c r="Y3" s="1842"/>
    </row>
    <row r="4" spans="1:25" s="47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75" customFormat="1" ht="25.5" customHeight="1" x14ac:dyDescent="0.25">
      <c r="A5" s="1843"/>
      <c r="B5" s="1843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886"/>
      <c r="R14" s="1886"/>
      <c r="S14" s="479"/>
      <c r="T14" s="1849" t="s">
        <v>46</v>
      </c>
      <c r="U14" s="473" t="s">
        <v>176</v>
      </c>
      <c r="V14" s="1874">
        <v>58060</v>
      </c>
      <c r="W14" s="1875"/>
      <c r="X14" s="1876"/>
    </row>
    <row r="15" spans="1:25" ht="22.5" customHeight="1" x14ac:dyDescent="0.25">
      <c r="A15" s="100" t="s">
        <v>38</v>
      </c>
      <c r="B15" s="1874">
        <v>332580</v>
      </c>
      <c r="C15" s="1876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877"/>
      <c r="R15" s="1877"/>
      <c r="S15" s="473">
        <v>0</v>
      </c>
      <c r="T15" s="1849"/>
      <c r="U15" s="473" t="s">
        <v>64</v>
      </c>
      <c r="V15" s="1877">
        <v>171052</v>
      </c>
      <c r="W15" s="1877"/>
      <c r="X15" s="1877"/>
    </row>
    <row r="16" spans="1:25" ht="24.75" customHeight="1" x14ac:dyDescent="0.25">
      <c r="A16" s="100" t="s">
        <v>39</v>
      </c>
      <c r="B16" s="1874">
        <v>311688</v>
      </c>
      <c r="C16" s="1876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855"/>
      <c r="R16" s="1855"/>
      <c r="S16" s="476"/>
      <c r="T16" s="1871" t="s">
        <v>55</v>
      </c>
      <c r="U16" s="1871"/>
      <c r="V16" s="1878">
        <f>Y12</f>
        <v>246647.0925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855"/>
      <c r="R17" s="1855"/>
      <c r="S17" s="472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186433</v>
      </c>
      <c r="C18" s="1876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877"/>
      <c r="R18" s="1877"/>
      <c r="S18" s="473"/>
      <c r="T18" s="1871" t="s">
        <v>57</v>
      </c>
      <c r="U18" s="1871"/>
      <c r="V18" s="1877">
        <v>2050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457835</v>
      </c>
      <c r="C19" s="1876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874">
        <f t="shared" ref="Q19" si="14">Q15+Q16+Q17-Q18</f>
        <v>0</v>
      </c>
      <c r="R19" s="1876"/>
      <c r="S19" s="473">
        <f>S15+S16-S17-S18</f>
        <v>0</v>
      </c>
      <c r="T19" s="1869" t="s">
        <v>48</v>
      </c>
      <c r="U19" s="49" t="s">
        <v>58</v>
      </c>
      <c r="V19" s="1877">
        <v>188240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440666.1875</v>
      </c>
      <c r="C20" s="1904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1825675.7875000001</v>
      </c>
      <c r="C21" s="1910"/>
      <c r="O21" s="480"/>
      <c r="P21" s="480"/>
      <c r="Q21" s="480"/>
      <c r="R21" s="480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1230625</v>
      </c>
      <c r="D22" s="1908">
        <v>188240</v>
      </c>
      <c r="E22" s="1908">
        <v>728400</v>
      </c>
      <c r="F22" s="1908">
        <f>C22-D22+E22</f>
        <v>1770785</v>
      </c>
      <c r="G22" s="480"/>
      <c r="Q22" s="480"/>
      <c r="R22" s="480"/>
      <c r="T22" s="1863" t="s">
        <v>83</v>
      </c>
      <c r="U22" s="50" t="s">
        <v>60</v>
      </c>
      <c r="V22" s="1877">
        <v>218530</v>
      </c>
      <c r="W22" s="1877"/>
      <c r="X22" s="1877"/>
      <c r="Y22" s="1883"/>
    </row>
    <row r="23" spans="1:25" ht="39.75" customHeight="1" x14ac:dyDescent="0.25">
      <c r="A23" s="480"/>
      <c r="B23" s="1906"/>
      <c r="C23" s="1909"/>
      <c r="D23" s="1909"/>
      <c r="E23" s="1909"/>
      <c r="F23" s="1909"/>
      <c r="G23" s="480"/>
      <c r="Q23" s="480"/>
      <c r="R23" s="480"/>
      <c r="T23" s="1864"/>
      <c r="U23" s="50" t="s">
        <v>61</v>
      </c>
      <c r="V23" s="1877">
        <v>188240</v>
      </c>
      <c r="W23" s="1877"/>
      <c r="X23" s="1877"/>
      <c r="Y23" s="1883"/>
    </row>
    <row r="24" spans="1:25" ht="48" customHeight="1" x14ac:dyDescent="0.25">
      <c r="A24" s="48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849" t="s">
        <v>47</v>
      </c>
      <c r="U24" s="51" t="s">
        <v>62</v>
      </c>
      <c r="V24" s="1879">
        <f>V14+V16+V17-V18-V19-V20-V22+V23-V21</f>
        <v>84127.092500000028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201342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80"/>
      <c r="J33" s="48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842" t="s">
        <v>345</v>
      </c>
      <c r="U3" s="1842"/>
      <c r="V3" s="1842"/>
      <c r="W3" s="1842"/>
      <c r="X3" s="1842"/>
      <c r="Y3" s="1842"/>
    </row>
    <row r="4" spans="1:25" s="48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81" customFormat="1" ht="25.5" customHeight="1" x14ac:dyDescent="0.25">
      <c r="A5" s="1843"/>
      <c r="B5" s="184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886"/>
      <c r="R14" s="1886"/>
      <c r="S14" s="490"/>
      <c r="T14" s="1849" t="s">
        <v>46</v>
      </c>
      <c r="U14" s="482" t="s">
        <v>176</v>
      </c>
      <c r="V14" s="1874">
        <v>84127</v>
      </c>
      <c r="W14" s="1875"/>
      <c r="X14" s="1876"/>
    </row>
    <row r="15" spans="1:25" ht="22.5" customHeight="1" x14ac:dyDescent="0.25">
      <c r="A15" s="100" t="s">
        <v>38</v>
      </c>
      <c r="B15" s="1874">
        <v>457835</v>
      </c>
      <c r="C15" s="1876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877"/>
      <c r="R15" s="1877"/>
      <c r="S15" s="482">
        <v>0</v>
      </c>
      <c r="T15" s="1849"/>
      <c r="U15" s="482" t="s">
        <v>64</v>
      </c>
      <c r="V15" s="1877">
        <v>201342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855"/>
      <c r="R16" s="1855"/>
      <c r="S16" s="487"/>
      <c r="T16" s="1871" t="s">
        <v>55</v>
      </c>
      <c r="U16" s="1871"/>
      <c r="V16" s="1878">
        <f>Y12</f>
        <v>147165.7525</v>
      </c>
      <c r="W16" s="1878"/>
      <c r="X16" s="1877"/>
    </row>
    <row r="17" spans="1:25" ht="28.5" customHeight="1" x14ac:dyDescent="0.25">
      <c r="A17" s="101" t="s">
        <v>44</v>
      </c>
      <c r="B17" s="1874">
        <v>39746</v>
      </c>
      <c r="C17" s="1876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855"/>
      <c r="R17" s="1855"/>
      <c r="S17" s="484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89609</v>
      </c>
      <c r="C18" s="1876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877"/>
      <c r="R18" s="1877"/>
      <c r="S18" s="482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407972</v>
      </c>
      <c r="C19" s="1876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874">
        <f t="shared" ref="Q19" si="14">Q15+Q16+Q17-Q18</f>
        <v>0</v>
      </c>
      <c r="R19" s="1876"/>
      <c r="S19" s="482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392673.05</v>
      </c>
      <c r="C20" s="1904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1718799.5499999998</v>
      </c>
      <c r="C21" s="1910"/>
      <c r="O21" s="491"/>
      <c r="P21" s="491"/>
      <c r="Q21" s="491"/>
      <c r="R21" s="491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1770785</v>
      </c>
      <c r="D22" s="1908"/>
      <c r="E22" s="1908"/>
      <c r="F22" s="1908">
        <f>C22-D22+E22</f>
        <v>1770785</v>
      </c>
      <c r="G22" s="491"/>
      <c r="Q22" s="491"/>
      <c r="R22" s="491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491"/>
      <c r="B23" s="1906"/>
      <c r="C23" s="1909"/>
      <c r="D23" s="1909"/>
      <c r="E23" s="1909"/>
      <c r="F23" s="1909"/>
      <c r="G23" s="491"/>
      <c r="Q23" s="491"/>
      <c r="R23" s="491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49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849" t="s">
        <v>47</v>
      </c>
      <c r="U24" s="51" t="s">
        <v>62</v>
      </c>
      <c r="V24" s="1879">
        <f>V14+V16+V17-V18-V19-V20-V22+V23-V21</f>
        <v>230672.7525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201342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91"/>
      <c r="J33" s="49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842" t="s">
        <v>346</v>
      </c>
      <c r="U3" s="1842"/>
      <c r="V3" s="1842"/>
      <c r="W3" s="1842"/>
      <c r="X3" s="1842"/>
      <c r="Y3" s="1842"/>
    </row>
    <row r="4" spans="1:25" s="48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81" customFormat="1" ht="25.5" customHeight="1" x14ac:dyDescent="0.25">
      <c r="A5" s="1843"/>
      <c r="B5" s="1843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886"/>
      <c r="R14" s="1886"/>
      <c r="S14" s="490"/>
      <c r="T14" s="1849" t="s">
        <v>46</v>
      </c>
      <c r="U14" s="482" t="s">
        <v>176</v>
      </c>
      <c r="V14" s="1874">
        <v>230673</v>
      </c>
      <c r="W14" s="1875"/>
      <c r="X14" s="1876"/>
    </row>
    <row r="15" spans="1:25" ht="22.5" customHeight="1" x14ac:dyDescent="0.25">
      <c r="A15" s="100" t="s">
        <v>38</v>
      </c>
      <c r="B15" s="1874">
        <v>407972</v>
      </c>
      <c r="C15" s="1876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877"/>
      <c r="R15" s="1877"/>
      <c r="S15" s="482">
        <v>0</v>
      </c>
      <c r="T15" s="1849"/>
      <c r="U15" s="482" t="s">
        <v>64</v>
      </c>
      <c r="V15" s="1877">
        <v>201342</v>
      </c>
      <c r="W15" s="1877"/>
      <c r="X15" s="1877"/>
    </row>
    <row r="16" spans="1:25" ht="24.75" customHeight="1" x14ac:dyDescent="0.25">
      <c r="A16" s="100" t="s">
        <v>39</v>
      </c>
      <c r="B16" s="1874">
        <v>25974</v>
      </c>
      <c r="C16" s="1876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855"/>
      <c r="R16" s="1855"/>
      <c r="S16" s="487"/>
      <c r="T16" s="1871" t="s">
        <v>55</v>
      </c>
      <c r="U16" s="1871"/>
      <c r="V16" s="1878">
        <f>Y12</f>
        <v>187196.94750000001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855"/>
      <c r="R17" s="1855"/>
      <c r="S17" s="484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117711</v>
      </c>
      <c r="C18" s="1876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877"/>
      <c r="R18" s="1877"/>
      <c r="S18" s="482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316235</v>
      </c>
      <c r="C19" s="1876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874">
        <f t="shared" ref="Q19" si="14">Q15+Q16+Q17-Q18</f>
        <v>0</v>
      </c>
      <c r="R19" s="1876"/>
      <c r="S19" s="482">
        <f>S15+S16-S17-S18</f>
        <v>0</v>
      </c>
      <c r="T19" s="1869" t="s">
        <v>48</v>
      </c>
      <c r="U19" s="49" t="s">
        <v>58</v>
      </c>
      <c r="V19" s="1877">
        <v>300000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304376.1875</v>
      </c>
      <c r="C20" s="1904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1559437.4875</v>
      </c>
      <c r="C21" s="1910"/>
      <c r="O21" s="491"/>
      <c r="P21" s="491"/>
      <c r="Q21" s="491"/>
      <c r="R21" s="491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1770785</v>
      </c>
      <c r="D22" s="1908">
        <v>300000</v>
      </c>
      <c r="E22" s="1908">
        <v>25000</v>
      </c>
      <c r="F22" s="1908">
        <f>C22-D22+E22</f>
        <v>1495785</v>
      </c>
      <c r="G22" s="491"/>
      <c r="Q22" s="491"/>
      <c r="R22" s="491"/>
      <c r="T22" s="1863" t="s">
        <v>83</v>
      </c>
      <c r="U22" s="50" t="s">
        <v>60</v>
      </c>
      <c r="V22" s="1877">
        <v>378970</v>
      </c>
      <c r="W22" s="1877"/>
      <c r="X22" s="1877"/>
      <c r="Y22" s="1883"/>
    </row>
    <row r="23" spans="1:25" ht="39.75" customHeight="1" x14ac:dyDescent="0.25">
      <c r="A23" s="491"/>
      <c r="B23" s="1906"/>
      <c r="C23" s="1909"/>
      <c r="D23" s="1909"/>
      <c r="E23" s="1909"/>
      <c r="F23" s="1909"/>
      <c r="G23" s="491"/>
      <c r="Q23" s="491"/>
      <c r="R23" s="491"/>
      <c r="T23" s="1864"/>
      <c r="U23" s="50" t="s">
        <v>61</v>
      </c>
      <c r="V23" s="1877">
        <v>300000</v>
      </c>
      <c r="W23" s="1877"/>
      <c r="X23" s="1877"/>
      <c r="Y23" s="1883"/>
    </row>
    <row r="24" spans="1:25" ht="48" customHeight="1" x14ac:dyDescent="0.25">
      <c r="A24" s="49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849" t="s">
        <v>47</v>
      </c>
      <c r="U24" s="51" t="s">
        <v>62</v>
      </c>
      <c r="V24" s="1879">
        <f>V14+V16+V17-V18-V19-V20-V22+V23-V21</f>
        <v>38379.947500000009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280312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491"/>
      <c r="J33" s="49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842" t="s">
        <v>347</v>
      </c>
      <c r="U3" s="1842"/>
      <c r="V3" s="1842"/>
      <c r="W3" s="1842"/>
      <c r="X3" s="1842"/>
      <c r="Y3" s="1842"/>
    </row>
    <row r="4" spans="1:25" s="49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497" customFormat="1" ht="25.5" customHeight="1" x14ac:dyDescent="0.25">
      <c r="A5" s="1843"/>
      <c r="B5" s="1843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886"/>
      <c r="R14" s="1886"/>
      <c r="S14" s="501"/>
      <c r="T14" s="1849" t="s">
        <v>46</v>
      </c>
      <c r="U14" s="495" t="s">
        <v>176</v>
      </c>
      <c r="V14" s="1874">
        <v>38695</v>
      </c>
      <c r="W14" s="1875"/>
      <c r="X14" s="1876"/>
    </row>
    <row r="15" spans="1:25" ht="22.5" customHeight="1" x14ac:dyDescent="0.25">
      <c r="A15" s="100" t="s">
        <v>38</v>
      </c>
      <c r="B15" s="1874">
        <v>316235</v>
      </c>
      <c r="C15" s="1876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877"/>
      <c r="R15" s="1877"/>
      <c r="S15" s="495">
        <v>0</v>
      </c>
      <c r="T15" s="1849"/>
      <c r="U15" s="495" t="s">
        <v>64</v>
      </c>
      <c r="V15" s="1877">
        <v>280312</v>
      </c>
      <c r="W15" s="1877"/>
      <c r="X15" s="1877"/>
    </row>
    <row r="16" spans="1:25" ht="24.75" customHeight="1" x14ac:dyDescent="0.25">
      <c r="A16" s="100" t="s">
        <v>39</v>
      </c>
      <c r="B16" s="1874">
        <v>415584</v>
      </c>
      <c r="C16" s="1876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855"/>
      <c r="R16" s="1855"/>
      <c r="S16" s="498"/>
      <c r="T16" s="1871" t="s">
        <v>55</v>
      </c>
      <c r="U16" s="1871"/>
      <c r="V16" s="1878">
        <f>Y12</f>
        <v>380904.40249999997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855"/>
      <c r="R17" s="1855"/>
      <c r="S17" s="494"/>
      <c r="T17" s="1900" t="s">
        <v>296</v>
      </c>
      <c r="U17" s="1901"/>
      <c r="V17" s="1902">
        <v>200000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231549</v>
      </c>
      <c r="C18" s="1876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877"/>
      <c r="R18" s="1877"/>
      <c r="S18" s="495"/>
      <c r="T18" s="1871" t="s">
        <v>57</v>
      </c>
      <c r="U18" s="1871"/>
      <c r="V18" s="1877">
        <v>720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500270</v>
      </c>
      <c r="C19" s="1876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874">
        <f t="shared" ref="Q19" si="14">Q15+Q16+Q17-Q18</f>
        <v>0</v>
      </c>
      <c r="R19" s="1876"/>
      <c r="S19" s="495">
        <f>S15+S16-S17-S18</f>
        <v>0</v>
      </c>
      <c r="T19" s="1869" t="s">
        <v>48</v>
      </c>
      <c r="U19" s="49" t="s">
        <v>58</v>
      </c>
      <c r="V19" s="1877">
        <v>884685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481509.875</v>
      </c>
      <c r="C20" s="1904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1582395.375</v>
      </c>
      <c r="C21" s="1910"/>
      <c r="O21" s="502"/>
      <c r="P21" s="502"/>
      <c r="Q21" s="502"/>
      <c r="R21" s="502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1495785</v>
      </c>
      <c r="D22" s="1908">
        <v>884685</v>
      </c>
      <c r="E22" s="1908">
        <v>400000</v>
      </c>
      <c r="F22" s="1908">
        <f>C22-D22+E22</f>
        <v>1011100</v>
      </c>
      <c r="G22" s="502"/>
      <c r="Q22" s="502"/>
      <c r="R22" s="502"/>
      <c r="T22" s="1863" t="s">
        <v>83</v>
      </c>
      <c r="U22" s="50" t="s">
        <v>60</v>
      </c>
      <c r="V22" s="1877">
        <v>613700</v>
      </c>
      <c r="W22" s="1877"/>
      <c r="X22" s="1877"/>
      <c r="Y22" s="1883"/>
    </row>
    <row r="23" spans="1:25" ht="39.75" customHeight="1" x14ac:dyDescent="0.25">
      <c r="A23" s="502"/>
      <c r="B23" s="1906"/>
      <c r="C23" s="1909"/>
      <c r="D23" s="1909"/>
      <c r="E23" s="1909"/>
      <c r="F23" s="1909"/>
      <c r="G23" s="502"/>
      <c r="Q23" s="502"/>
      <c r="R23" s="502"/>
      <c r="T23" s="1864"/>
      <c r="U23" s="50" t="s">
        <v>61</v>
      </c>
      <c r="V23" s="1877">
        <v>884685</v>
      </c>
      <c r="W23" s="1877"/>
      <c r="X23" s="1877"/>
      <c r="Y23" s="1883"/>
    </row>
    <row r="24" spans="1:25" ht="48" customHeight="1" x14ac:dyDescent="0.25">
      <c r="A24" s="50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849" t="s">
        <v>47</v>
      </c>
      <c r="U24" s="51" t="s">
        <v>62</v>
      </c>
      <c r="V24" s="1879">
        <f>V14+V16+V17-V18-V19-V20-V22+V23-V21</f>
        <v>5179.4024999999674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9327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502"/>
      <c r="J33" s="50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842" t="s">
        <v>348</v>
      </c>
      <c r="U3" s="1842"/>
      <c r="V3" s="1842"/>
      <c r="W3" s="1842"/>
      <c r="X3" s="1842"/>
      <c r="Y3" s="1842"/>
    </row>
    <row r="4" spans="1:25" s="50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03" customFormat="1" ht="25.5" customHeight="1" x14ac:dyDescent="0.25">
      <c r="A5" s="1843"/>
      <c r="B5" s="184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886"/>
      <c r="R14" s="1886"/>
      <c r="S14" s="512"/>
      <c r="T14" s="1849" t="s">
        <v>46</v>
      </c>
      <c r="U14" s="504" t="s">
        <v>176</v>
      </c>
      <c r="V14" s="1874">
        <v>5179</v>
      </c>
      <c r="W14" s="1875"/>
      <c r="X14" s="1876"/>
    </row>
    <row r="15" spans="1:25" ht="22.5" customHeight="1" x14ac:dyDescent="0.25">
      <c r="A15" s="100" t="s">
        <v>38</v>
      </c>
      <c r="B15" s="1874">
        <v>500270</v>
      </c>
      <c r="C15" s="1876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877"/>
      <c r="R15" s="1877"/>
      <c r="S15" s="504">
        <v>0</v>
      </c>
      <c r="T15" s="1849"/>
      <c r="U15" s="504" t="s">
        <v>64</v>
      </c>
      <c r="V15" s="1877">
        <v>9327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855"/>
      <c r="R16" s="1855"/>
      <c r="S16" s="509"/>
      <c r="T16" s="1871" t="s">
        <v>55</v>
      </c>
      <c r="U16" s="1871"/>
      <c r="V16" s="1878">
        <f>Y12</f>
        <v>142789.71</v>
      </c>
      <c r="W16" s="1878"/>
      <c r="X16" s="1877"/>
    </row>
    <row r="17" spans="1:25" ht="28.5" customHeight="1" x14ac:dyDescent="0.25">
      <c r="A17" s="101" t="s">
        <v>44</v>
      </c>
      <c r="B17" s="1874">
        <v>126589</v>
      </c>
      <c r="C17" s="1876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855"/>
      <c r="R17" s="1855"/>
      <c r="S17" s="506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119756</v>
      </c>
      <c r="C18" s="1876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877"/>
      <c r="R18" s="1877"/>
      <c r="S18" s="504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507103</v>
      </c>
      <c r="C19" s="1876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874">
        <f t="shared" ref="Q19" si="14">Q15+Q16+Q17-Q18</f>
        <v>0</v>
      </c>
      <c r="R19" s="1876"/>
      <c r="S19" s="504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488086.63750000001</v>
      </c>
      <c r="C20" s="1904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1563005.4375</v>
      </c>
      <c r="C21" s="1910"/>
      <c r="O21" s="513"/>
      <c r="P21" s="513"/>
      <c r="Q21" s="513"/>
      <c r="R21" s="513"/>
      <c r="T21" s="1900" t="s">
        <v>340</v>
      </c>
      <c r="U21" s="1901"/>
      <c r="V21" s="1911">
        <v>150000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1011100</v>
      </c>
      <c r="D22" s="1908"/>
      <c r="E22" s="1908"/>
      <c r="F22" s="1908">
        <f>C22-D22+E22</f>
        <v>1011100</v>
      </c>
      <c r="G22" s="513"/>
      <c r="Q22" s="513"/>
      <c r="R22" s="513"/>
      <c r="T22" s="1863" t="s">
        <v>83</v>
      </c>
      <c r="U22" s="50" t="s">
        <v>60</v>
      </c>
      <c r="V22" s="1877">
        <v>145680</v>
      </c>
      <c r="W22" s="1877"/>
      <c r="X22" s="1877"/>
      <c r="Y22" s="1883"/>
    </row>
    <row r="23" spans="1:25" ht="39.75" customHeight="1" x14ac:dyDescent="0.25">
      <c r="A23" s="513"/>
      <c r="B23" s="1906"/>
      <c r="C23" s="1909"/>
      <c r="D23" s="1909"/>
      <c r="E23" s="1909"/>
      <c r="F23" s="1909"/>
      <c r="G23" s="513"/>
      <c r="Q23" s="513"/>
      <c r="R23" s="513"/>
      <c r="T23" s="1864"/>
      <c r="U23" s="50" t="s">
        <v>61</v>
      </c>
      <c r="V23" s="1877">
        <v>150000</v>
      </c>
      <c r="W23" s="1877"/>
      <c r="X23" s="1877"/>
      <c r="Y23" s="1883"/>
    </row>
    <row r="24" spans="1:25" ht="48" customHeight="1" x14ac:dyDescent="0.25">
      <c r="A24" s="51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849" t="s">
        <v>47</v>
      </c>
      <c r="U24" s="51" t="s">
        <v>62</v>
      </c>
      <c r="V24" s="1879">
        <f>V14+V16+V17-V18-V19-V20-V22+V23-V21</f>
        <v>1668.7099999999919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5007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513"/>
      <c r="J33" s="51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842" t="s">
        <v>349</v>
      </c>
      <c r="U3" s="1842"/>
      <c r="V3" s="1842"/>
      <c r="W3" s="1842"/>
      <c r="X3" s="1842"/>
      <c r="Y3" s="1842"/>
    </row>
    <row r="4" spans="1:25" s="50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03" customFormat="1" ht="25.5" customHeight="1" x14ac:dyDescent="0.25">
      <c r="A5" s="1843"/>
      <c r="B5" s="1843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886"/>
      <c r="R14" s="1886"/>
      <c r="S14" s="512"/>
      <c r="T14" s="1849" t="s">
        <v>46</v>
      </c>
      <c r="U14" s="504" t="s">
        <v>176</v>
      </c>
      <c r="V14" s="1874">
        <v>1669</v>
      </c>
      <c r="W14" s="1875"/>
      <c r="X14" s="1876"/>
    </row>
    <row r="15" spans="1:25" ht="22.5" customHeight="1" x14ac:dyDescent="0.25">
      <c r="A15" s="100" t="s">
        <v>38</v>
      </c>
      <c r="B15" s="1874">
        <v>507103</v>
      </c>
      <c r="C15" s="1876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877"/>
      <c r="R15" s="1877"/>
      <c r="S15" s="504">
        <v>0</v>
      </c>
      <c r="T15" s="1849"/>
      <c r="U15" s="504" t="s">
        <v>64</v>
      </c>
      <c r="V15" s="1877">
        <v>5007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855"/>
      <c r="R16" s="1855"/>
      <c r="S16" s="509"/>
      <c r="T16" s="1871" t="s">
        <v>55</v>
      </c>
      <c r="U16" s="1871"/>
      <c r="V16" s="1878">
        <f>Y12</f>
        <v>155877.995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855"/>
      <c r="R17" s="1855"/>
      <c r="S17" s="506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117782</v>
      </c>
      <c r="C18" s="1876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877"/>
      <c r="R18" s="1877"/>
      <c r="S18" s="504"/>
      <c r="T18" s="1871" t="s">
        <v>57</v>
      </c>
      <c r="U18" s="1871"/>
      <c r="V18" s="1877">
        <f>620+2824</f>
        <v>3444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389321</v>
      </c>
      <c r="C19" s="1876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874">
        <f t="shared" ref="Q19" si="14">Q15+Q16+Q17-Q18</f>
        <v>0</v>
      </c>
      <c r="R19" s="1876"/>
      <c r="S19" s="504">
        <f>S15+S16-S17-S18</f>
        <v>0</v>
      </c>
      <c r="T19" s="1869" t="s">
        <v>48</v>
      </c>
      <c r="U19" s="49" t="s">
        <v>58</v>
      </c>
      <c r="V19" s="1877">
        <v>76000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374721.46250000002</v>
      </c>
      <c r="C20" s="1904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1408899.7625</v>
      </c>
      <c r="C21" s="1910"/>
      <c r="O21" s="513"/>
      <c r="P21" s="513"/>
      <c r="Q21" s="513"/>
      <c r="R21" s="513"/>
      <c r="T21" s="1900" t="s">
        <v>340</v>
      </c>
      <c r="U21" s="1901"/>
      <c r="V21" s="1911">
        <v>74000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1011100</v>
      </c>
      <c r="D22" s="1908">
        <v>76000</v>
      </c>
      <c r="E22" s="1908"/>
      <c r="F22" s="1908">
        <f>C22-D22+E22</f>
        <v>935100</v>
      </c>
      <c r="G22" s="513"/>
      <c r="Q22" s="513"/>
      <c r="R22" s="513"/>
      <c r="T22" s="1863" t="s">
        <v>83</v>
      </c>
      <c r="U22" s="50" t="s">
        <v>60</v>
      </c>
      <c r="V22" s="1877">
        <v>150240</v>
      </c>
      <c r="W22" s="1877"/>
      <c r="X22" s="1877"/>
      <c r="Y22" s="1883"/>
    </row>
    <row r="23" spans="1:25" ht="39.75" customHeight="1" x14ac:dyDescent="0.25">
      <c r="A23" s="513"/>
      <c r="B23" s="1906"/>
      <c r="C23" s="1909"/>
      <c r="D23" s="1909"/>
      <c r="E23" s="1909"/>
      <c r="F23" s="1909"/>
      <c r="G23" s="513"/>
      <c r="Q23" s="513"/>
      <c r="R23" s="513"/>
      <c r="T23" s="1864"/>
      <c r="U23" s="50" t="s">
        <v>61</v>
      </c>
      <c r="V23" s="1877">
        <v>150000</v>
      </c>
      <c r="W23" s="1877"/>
      <c r="X23" s="1877"/>
      <c r="Y23" s="1883"/>
    </row>
    <row r="24" spans="1:25" ht="48" customHeight="1" x14ac:dyDescent="0.25">
      <c r="A24" s="51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849" t="s">
        <v>47</v>
      </c>
      <c r="U24" s="51" t="s">
        <v>62</v>
      </c>
      <c r="V24" s="1879">
        <f>V14+V16+V17-V18-V19-V20-V22+V23-V21</f>
        <v>3862.9949999999953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5247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513"/>
      <c r="J33" s="51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842" t="s">
        <v>350</v>
      </c>
      <c r="U3" s="1842"/>
      <c r="V3" s="1842"/>
      <c r="W3" s="1842"/>
      <c r="X3" s="1842"/>
      <c r="Y3" s="1842"/>
    </row>
    <row r="4" spans="1:25" s="51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19" customFormat="1" ht="25.5" customHeight="1" x14ac:dyDescent="0.25">
      <c r="A5" s="1843"/>
      <c r="B5" s="1843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886"/>
      <c r="R14" s="1886"/>
      <c r="S14" s="523"/>
      <c r="T14" s="1849" t="s">
        <v>46</v>
      </c>
      <c r="U14" s="517" t="s">
        <v>176</v>
      </c>
      <c r="V14" s="1874">
        <v>3863</v>
      </c>
      <c r="W14" s="1875"/>
      <c r="X14" s="1876"/>
    </row>
    <row r="15" spans="1:25" ht="22.5" customHeight="1" x14ac:dyDescent="0.25">
      <c r="A15" s="100" t="s">
        <v>38</v>
      </c>
      <c r="B15" s="1874">
        <v>389321</v>
      </c>
      <c r="C15" s="1876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877"/>
      <c r="R15" s="1877"/>
      <c r="S15" s="517">
        <v>0</v>
      </c>
      <c r="T15" s="1849"/>
      <c r="U15" s="517" t="s">
        <v>64</v>
      </c>
      <c r="V15" s="1877">
        <v>5247</v>
      </c>
      <c r="W15" s="1877"/>
      <c r="X15" s="1877"/>
    </row>
    <row r="16" spans="1:25" ht="24.75" customHeight="1" x14ac:dyDescent="0.25">
      <c r="A16" s="100" t="s">
        <v>39</v>
      </c>
      <c r="B16" s="1874">
        <v>1038961</v>
      </c>
      <c r="C16" s="1876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855"/>
      <c r="R16" s="1855"/>
      <c r="S16" s="520"/>
      <c r="T16" s="1871" t="s">
        <v>55</v>
      </c>
      <c r="U16" s="1871"/>
      <c r="V16" s="1878">
        <f>Y12</f>
        <v>624380.50750000007</v>
      </c>
      <c r="W16" s="1878"/>
      <c r="X16" s="1877"/>
    </row>
    <row r="17" spans="1:25" ht="28.5" customHeight="1" x14ac:dyDescent="0.25">
      <c r="A17" s="101" t="s">
        <v>44</v>
      </c>
      <c r="B17" s="1874">
        <v>150345</v>
      </c>
      <c r="C17" s="1876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855"/>
      <c r="R17" s="1855"/>
      <c r="S17" s="516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350527</v>
      </c>
      <c r="C18" s="1876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877"/>
      <c r="R18" s="1877"/>
      <c r="S18" s="517"/>
      <c r="T18" s="1871" t="s">
        <v>57</v>
      </c>
      <c r="U18" s="1871"/>
      <c r="V18" s="1877">
        <f>43141+159827</f>
        <v>202968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1228100</v>
      </c>
      <c r="C19" s="1876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874">
        <f t="shared" ref="Q19" si="14">Q15+Q16+Q17-Q18</f>
        <v>0</v>
      </c>
      <c r="R19" s="1876"/>
      <c r="S19" s="517">
        <f>S15+S16-S17-S18</f>
        <v>0</v>
      </c>
      <c r="T19" s="1869" t="s">
        <v>48</v>
      </c>
      <c r="U19" s="49" t="s">
        <v>58</v>
      </c>
      <c r="V19" s="1877">
        <v>418500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1182046.25</v>
      </c>
      <c r="C20" s="1904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2025332.25</v>
      </c>
      <c r="C21" s="1910"/>
      <c r="O21" s="524"/>
      <c r="P21" s="524"/>
      <c r="Q21" s="524"/>
      <c r="R21" s="524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935100</v>
      </c>
      <c r="D22" s="1908">
        <v>418500</v>
      </c>
      <c r="E22" s="1908">
        <v>1092500</v>
      </c>
      <c r="F22" s="1908">
        <f>C22-D22+E22</f>
        <v>1609100</v>
      </c>
      <c r="G22" s="524"/>
      <c r="Q22" s="524"/>
      <c r="R22" s="524"/>
      <c r="T22" s="1863" t="s">
        <v>83</v>
      </c>
      <c r="U22" s="50" t="s">
        <v>60</v>
      </c>
      <c r="V22" s="1877">
        <v>423140</v>
      </c>
      <c r="W22" s="1877"/>
      <c r="X22" s="1877"/>
      <c r="Y22" s="1883"/>
    </row>
    <row r="23" spans="1:25" ht="39.75" customHeight="1" x14ac:dyDescent="0.25">
      <c r="A23" s="524"/>
      <c r="B23" s="1906"/>
      <c r="C23" s="1909"/>
      <c r="D23" s="1909"/>
      <c r="E23" s="1909"/>
      <c r="F23" s="1909"/>
      <c r="G23" s="524"/>
      <c r="Q23" s="524"/>
      <c r="R23" s="524"/>
      <c r="T23" s="1864"/>
      <c r="U23" s="50" t="s">
        <v>61</v>
      </c>
      <c r="V23" s="1877">
        <v>418500</v>
      </c>
      <c r="W23" s="1877"/>
      <c r="X23" s="1877"/>
      <c r="Y23" s="1883"/>
    </row>
    <row r="24" spans="1:25" ht="48" customHeight="1" x14ac:dyDescent="0.25">
      <c r="A24" s="52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849" t="s">
        <v>47</v>
      </c>
      <c r="U24" s="51" t="s">
        <v>62</v>
      </c>
      <c r="V24" s="1879">
        <f>V14+V16+V17-V18-V19-V20-V22+V23-V21</f>
        <v>2135.5075000000652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9887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524"/>
      <c r="J33" s="52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842" t="s">
        <v>351</v>
      </c>
      <c r="U3" s="1842"/>
      <c r="V3" s="1842"/>
      <c r="W3" s="1842"/>
      <c r="X3" s="1842"/>
      <c r="Y3" s="1842"/>
    </row>
    <row r="4" spans="1:25" s="52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25" customFormat="1" ht="25.5" customHeight="1" x14ac:dyDescent="0.25">
      <c r="A5" s="1843"/>
      <c r="B5" s="1843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886"/>
      <c r="R14" s="1886"/>
      <c r="S14" s="534"/>
      <c r="T14" s="1849" t="s">
        <v>46</v>
      </c>
      <c r="U14" s="526" t="s">
        <v>176</v>
      </c>
      <c r="V14" s="1874">
        <v>2136</v>
      </c>
      <c r="W14" s="1875"/>
      <c r="X14" s="1876"/>
    </row>
    <row r="15" spans="1:25" ht="22.5" customHeight="1" x14ac:dyDescent="0.25">
      <c r="A15" s="100" t="s">
        <v>38</v>
      </c>
      <c r="B15" s="1874">
        <v>1228100</v>
      </c>
      <c r="C15" s="1876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877"/>
      <c r="R15" s="1877"/>
      <c r="S15" s="526">
        <v>0</v>
      </c>
      <c r="T15" s="1849"/>
      <c r="U15" s="526" t="s">
        <v>64</v>
      </c>
      <c r="V15" s="1877">
        <v>9887</v>
      </c>
      <c r="W15" s="1877"/>
      <c r="X15" s="1877"/>
    </row>
    <row r="16" spans="1:25" ht="24.75" customHeight="1" x14ac:dyDescent="0.25">
      <c r="A16" s="100" t="s">
        <v>39</v>
      </c>
      <c r="B16" s="1874">
        <v>311688</v>
      </c>
      <c r="C16" s="1876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855"/>
      <c r="R16" s="1855"/>
      <c r="S16" s="531"/>
      <c r="T16" s="1871" t="s">
        <v>55</v>
      </c>
      <c r="U16" s="1871"/>
      <c r="V16" s="1878">
        <f>Y12</f>
        <v>702927.82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855"/>
      <c r="R17" s="1855"/>
      <c r="S17" s="528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664152</v>
      </c>
      <c r="C18" s="1876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877"/>
      <c r="R18" s="1877"/>
      <c r="S18" s="526"/>
      <c r="T18" s="1871" t="s">
        <v>57</v>
      </c>
      <c r="U18" s="1871"/>
      <c r="V18" s="1877">
        <v>98711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875636</v>
      </c>
      <c r="C19" s="1876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874">
        <f t="shared" ref="Q19" si="14">Q15+Q16+Q17-Q18</f>
        <v>0</v>
      </c>
      <c r="R19" s="1876"/>
      <c r="S19" s="526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842799.65</v>
      </c>
      <c r="C20" s="1904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1629045.65</v>
      </c>
      <c r="C21" s="1910"/>
      <c r="O21" s="535"/>
      <c r="P21" s="535"/>
      <c r="Q21" s="535"/>
      <c r="R21" s="535"/>
      <c r="T21" s="1900" t="s">
        <v>352</v>
      </c>
      <c r="U21" s="1901"/>
      <c r="V21" s="1911">
        <v>36000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1609100</v>
      </c>
      <c r="D22" s="1908"/>
      <c r="E22" s="1908">
        <v>300000</v>
      </c>
      <c r="F22" s="1908">
        <f>C22-D22+E22</f>
        <v>1909100</v>
      </c>
      <c r="G22" s="535"/>
      <c r="Q22" s="535"/>
      <c r="R22" s="535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535"/>
      <c r="B23" s="1906"/>
      <c r="C23" s="1909"/>
      <c r="D23" s="1909"/>
      <c r="E23" s="1909"/>
      <c r="F23" s="1909"/>
      <c r="G23" s="535"/>
      <c r="Q23" s="535"/>
      <c r="R23" s="535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53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849" t="s">
        <v>47</v>
      </c>
      <c r="U24" s="51" t="s">
        <v>62</v>
      </c>
      <c r="V24" s="1879">
        <f>V14+V16+V17-V18-V19-V20-V22+V23-V21</f>
        <v>570352.81999999995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9887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535"/>
      <c r="J33" s="53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842" t="s">
        <v>353</v>
      </c>
      <c r="U3" s="1842"/>
      <c r="V3" s="1842"/>
      <c r="W3" s="1842"/>
      <c r="X3" s="1842"/>
      <c r="Y3" s="1842"/>
    </row>
    <row r="4" spans="1:25" s="54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41" customFormat="1" ht="25.5" customHeight="1" x14ac:dyDescent="0.25">
      <c r="A5" s="1843"/>
      <c r="B5" s="1843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886"/>
      <c r="R14" s="1886"/>
      <c r="S14" s="545"/>
      <c r="T14" s="1849" t="s">
        <v>46</v>
      </c>
      <c r="U14" s="539" t="s">
        <v>176</v>
      </c>
      <c r="V14" s="1874">
        <v>570353</v>
      </c>
      <c r="W14" s="1875"/>
      <c r="X14" s="1876"/>
    </row>
    <row r="15" spans="1:25" ht="22.5" customHeight="1" x14ac:dyDescent="0.25">
      <c r="A15" s="100" t="s">
        <v>38</v>
      </c>
      <c r="B15" s="1874">
        <v>875636</v>
      </c>
      <c r="C15" s="1876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877"/>
      <c r="R15" s="1877"/>
      <c r="S15" s="539">
        <v>0</v>
      </c>
      <c r="T15" s="1849"/>
      <c r="U15" s="539" t="s">
        <v>64</v>
      </c>
      <c r="V15" s="1877">
        <v>9887</v>
      </c>
      <c r="W15" s="1877"/>
      <c r="X15" s="1877"/>
    </row>
    <row r="16" spans="1:25" ht="24.75" customHeight="1" x14ac:dyDescent="0.25">
      <c r="A16" s="100" t="s">
        <v>39</v>
      </c>
      <c r="B16" s="1874">
        <v>238961</v>
      </c>
      <c r="C16" s="1876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855"/>
      <c r="R16" s="1855"/>
      <c r="S16" s="542"/>
      <c r="T16" s="1871" t="s">
        <v>55</v>
      </c>
      <c r="U16" s="1871"/>
      <c r="V16" s="1878">
        <f>Y12</f>
        <v>778747.80750000011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855"/>
      <c r="R17" s="1855"/>
      <c r="S17" s="538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776807</v>
      </c>
      <c r="C18" s="1876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877"/>
      <c r="R18" s="1877"/>
      <c r="S18" s="539"/>
      <c r="T18" s="1871" t="s">
        <v>57</v>
      </c>
      <c r="U18" s="1871"/>
      <c r="V18" s="1877">
        <v>6466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337790</v>
      </c>
      <c r="C19" s="1876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874">
        <f t="shared" ref="Q19" si="14">Q15+Q16+Q17-Q18</f>
        <v>0</v>
      </c>
      <c r="R19" s="1876"/>
      <c r="S19" s="539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325122.875</v>
      </c>
      <c r="C20" s="1904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1088250.1749999998</v>
      </c>
      <c r="C21" s="1910"/>
      <c r="O21" s="546"/>
      <c r="P21" s="546"/>
      <c r="Q21" s="546"/>
      <c r="R21" s="546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1909100</v>
      </c>
      <c r="D22" s="1908"/>
      <c r="E22" s="1908">
        <v>230000</v>
      </c>
      <c r="F22" s="1908">
        <f>C22-D22+E22</f>
        <v>2139100</v>
      </c>
      <c r="G22" s="546"/>
      <c r="Q22" s="546"/>
      <c r="R22" s="546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546"/>
      <c r="B23" s="1906"/>
      <c r="C23" s="1909"/>
      <c r="D23" s="1909"/>
      <c r="E23" s="1909"/>
      <c r="F23" s="1909"/>
      <c r="G23" s="546"/>
      <c r="Q23" s="546"/>
      <c r="R23" s="546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54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849" t="s">
        <v>47</v>
      </c>
      <c r="U24" s="51" t="s">
        <v>62</v>
      </c>
      <c r="V24" s="1879">
        <f>V14+V16+V17-V18-V19-V20-V22+V23-V21</f>
        <v>1342634.8075000001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9887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546"/>
      <c r="J33" s="546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842" t="s">
        <v>354</v>
      </c>
      <c r="U3" s="1842"/>
      <c r="V3" s="1842"/>
      <c r="W3" s="1842"/>
      <c r="X3" s="1842"/>
      <c r="Y3" s="1842"/>
    </row>
    <row r="4" spans="1:25" s="55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52" customFormat="1" ht="25.5" customHeight="1" x14ac:dyDescent="0.25">
      <c r="A5" s="1843"/>
      <c r="B5" s="1843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886"/>
      <c r="R14" s="1886"/>
      <c r="S14" s="556"/>
      <c r="T14" s="1849" t="s">
        <v>46</v>
      </c>
      <c r="U14" s="550" t="s">
        <v>176</v>
      </c>
      <c r="V14" s="1874">
        <v>1342635</v>
      </c>
      <c r="W14" s="1875"/>
      <c r="X14" s="1876"/>
    </row>
    <row r="15" spans="1:25" ht="22.5" customHeight="1" x14ac:dyDescent="0.25">
      <c r="A15" s="100" t="s">
        <v>38</v>
      </c>
      <c r="B15" s="1874">
        <v>337790</v>
      </c>
      <c r="C15" s="1876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877"/>
      <c r="R15" s="1877"/>
      <c r="S15" s="550">
        <v>0</v>
      </c>
      <c r="T15" s="1849"/>
      <c r="U15" s="550" t="s">
        <v>64</v>
      </c>
      <c r="V15" s="1877">
        <v>9887</v>
      </c>
      <c r="W15" s="1877"/>
      <c r="X15" s="1877"/>
    </row>
    <row r="16" spans="1:25" ht="24.75" customHeight="1" x14ac:dyDescent="0.25">
      <c r="A16" s="100" t="s">
        <v>39</v>
      </c>
      <c r="B16" s="1874">
        <v>124675</v>
      </c>
      <c r="C16" s="1876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855"/>
      <c r="R16" s="1855"/>
      <c r="S16" s="553"/>
      <c r="T16" s="1871" t="s">
        <v>55</v>
      </c>
      <c r="U16" s="1871"/>
      <c r="V16" s="1878">
        <f>Y12</f>
        <v>187977.2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855"/>
      <c r="R17" s="1855"/>
      <c r="S17" s="549"/>
      <c r="T17" s="1900" t="s">
        <v>296</v>
      </c>
      <c r="U17" s="1901"/>
      <c r="V17" s="1902">
        <v>211090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118320</v>
      </c>
      <c r="C18" s="1876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877"/>
      <c r="R18" s="1877"/>
      <c r="S18" s="550"/>
      <c r="T18" s="1871" t="s">
        <v>57</v>
      </c>
      <c r="U18" s="1871"/>
      <c r="V18" s="1877">
        <v>720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344145</v>
      </c>
      <c r="C19" s="1876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874">
        <f t="shared" ref="Q19" si="14">Q15+Q16+Q17-Q18</f>
        <v>0</v>
      </c>
      <c r="R19" s="1876"/>
      <c r="S19" s="550">
        <f>S15+S16-S17-S18</f>
        <v>0</v>
      </c>
      <c r="T19" s="1869" t="s">
        <v>48</v>
      </c>
      <c r="U19" s="49" t="s">
        <v>58</v>
      </c>
      <c r="V19" s="1877">
        <v>1530000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331239.5625</v>
      </c>
      <c r="C20" s="1904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1159471.7625</v>
      </c>
      <c r="C21" s="1910"/>
      <c r="O21" s="557"/>
      <c r="P21" s="557"/>
      <c r="Q21" s="557"/>
      <c r="R21" s="557"/>
      <c r="T21" s="1900"/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2139100</v>
      </c>
      <c r="D22" s="1908">
        <v>1530000</v>
      </c>
      <c r="E22" s="1908">
        <v>257325</v>
      </c>
      <c r="F22" s="1908">
        <f>C22-D22+E22</f>
        <v>866425</v>
      </c>
      <c r="G22" s="557"/>
      <c r="Q22" s="557"/>
      <c r="R22" s="557"/>
      <c r="T22" s="1863" t="s">
        <v>83</v>
      </c>
      <c r="U22" s="50" t="s">
        <v>60</v>
      </c>
      <c r="V22" s="1877">
        <v>1530000</v>
      </c>
      <c r="W22" s="1877"/>
      <c r="X22" s="1877"/>
      <c r="Y22" s="1883"/>
    </row>
    <row r="23" spans="1:25" ht="39.75" customHeight="1" x14ac:dyDescent="0.25">
      <c r="A23" s="557"/>
      <c r="B23" s="1906"/>
      <c r="C23" s="1909"/>
      <c r="D23" s="1909"/>
      <c r="E23" s="1909"/>
      <c r="F23" s="1909"/>
      <c r="G23" s="557"/>
      <c r="Q23" s="557"/>
      <c r="R23" s="557"/>
      <c r="T23" s="1864"/>
      <c r="U23" s="50" t="s">
        <v>61</v>
      </c>
      <c r="V23" s="1877">
        <v>1530000</v>
      </c>
      <c r="W23" s="1877"/>
      <c r="X23" s="1877"/>
      <c r="Y23" s="1883"/>
    </row>
    <row r="24" spans="1:25" ht="48" customHeight="1" x14ac:dyDescent="0.25">
      <c r="A24" s="55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849" t="s">
        <v>47</v>
      </c>
      <c r="U24" s="51" t="s">
        <v>62</v>
      </c>
      <c r="V24" s="1879">
        <f>V14+V16+V17-V18-V19-V20-V22+V23-V21</f>
        <v>210982.19999999995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9887</v>
      </c>
      <c r="W25" s="1877"/>
      <c r="X25" s="1877"/>
    </row>
    <row r="26" spans="1:25" ht="36" customHeight="1" x14ac:dyDescent="0.25">
      <c r="K26" s="314"/>
    </row>
    <row r="32" spans="1:25" x14ac:dyDescent="0.25">
      <c r="I32" s="1894"/>
      <c r="J32" s="1894"/>
      <c r="K32" s="1894"/>
      <c r="L32" s="1894"/>
    </row>
    <row r="33" spans="9:12" x14ac:dyDescent="0.25">
      <c r="I33" s="557"/>
      <c r="J33" s="55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842" t="s">
        <v>355</v>
      </c>
      <c r="U3" s="1842"/>
      <c r="V3" s="1842"/>
      <c r="W3" s="1842"/>
      <c r="X3" s="1842"/>
      <c r="Y3" s="1842"/>
    </row>
    <row r="4" spans="1:25" s="55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58" customFormat="1" ht="25.5" customHeight="1" x14ac:dyDescent="0.25">
      <c r="A5" s="1843"/>
      <c r="B5" s="1843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886"/>
      <c r="R14" s="1886"/>
      <c r="S14" s="567"/>
      <c r="T14" s="1849" t="s">
        <v>46</v>
      </c>
      <c r="U14" s="559" t="s">
        <v>176</v>
      </c>
      <c r="V14" s="1874">
        <v>210982</v>
      </c>
      <c r="W14" s="1875"/>
      <c r="X14" s="1876"/>
    </row>
    <row r="15" spans="1:25" ht="22.5" customHeight="1" x14ac:dyDescent="0.25">
      <c r="A15" s="100" t="s">
        <v>38</v>
      </c>
      <c r="B15" s="1874">
        <v>344145</v>
      </c>
      <c r="C15" s="1876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877"/>
      <c r="R15" s="1877"/>
      <c r="S15" s="559">
        <v>0</v>
      </c>
      <c r="T15" s="1849"/>
      <c r="U15" s="559" t="s">
        <v>64</v>
      </c>
      <c r="V15" s="1877">
        <v>9887</v>
      </c>
      <c r="W15" s="1877"/>
      <c r="X15" s="1877"/>
    </row>
    <row r="16" spans="1:25" ht="24.75" customHeight="1" x14ac:dyDescent="0.25">
      <c r="A16" s="100" t="s">
        <v>39</v>
      </c>
      <c r="B16" s="1874">
        <v>62337</v>
      </c>
      <c r="C16" s="1876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855"/>
      <c r="R16" s="1855"/>
      <c r="S16" s="564"/>
      <c r="T16" s="1871" t="s">
        <v>55</v>
      </c>
      <c r="U16" s="1871"/>
      <c r="V16" s="1878">
        <f>Y12</f>
        <v>212229.55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855"/>
      <c r="R17" s="1855"/>
      <c r="S17" s="561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112380</v>
      </c>
      <c r="C18" s="1876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877"/>
      <c r="R18" s="1877"/>
      <c r="S18" s="559"/>
      <c r="T18" s="1871" t="s">
        <v>57</v>
      </c>
      <c r="U18" s="1871"/>
      <c r="V18" s="1877">
        <v>1572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294102</v>
      </c>
      <c r="C19" s="1876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874">
        <f t="shared" ref="Q19" si="14">Q15+Q16+Q17-Q18</f>
        <v>0</v>
      </c>
      <c r="R19" s="1876"/>
      <c r="S19" s="559">
        <f>S15+S16-S17-S18</f>
        <v>0</v>
      </c>
      <c r="T19" s="1869" t="s">
        <v>48</v>
      </c>
      <c r="U19" s="49" t="s">
        <v>58</v>
      </c>
      <c r="V19" s="1877">
        <v>257325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283073.17499999999</v>
      </c>
      <c r="C20" s="1904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1240153.7749999999</v>
      </c>
      <c r="C21" s="1910"/>
      <c r="O21" s="568"/>
      <c r="P21" s="568"/>
      <c r="Q21" s="568"/>
      <c r="R21" s="568"/>
      <c r="T21" s="1900" t="s">
        <v>356</v>
      </c>
      <c r="U21" s="1901"/>
      <c r="V21" s="1911">
        <v>120000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866425</v>
      </c>
      <c r="D22" s="1908">
        <v>257325</v>
      </c>
      <c r="E22" s="1908">
        <v>290884</v>
      </c>
      <c r="F22" s="1908">
        <f>C22-D22+E22</f>
        <v>899984</v>
      </c>
      <c r="G22" s="568"/>
      <c r="Q22" s="568"/>
      <c r="R22" s="568"/>
      <c r="T22" s="1863" t="s">
        <v>83</v>
      </c>
      <c r="U22" s="50" t="s">
        <v>60</v>
      </c>
      <c r="V22" s="1877">
        <v>258120</v>
      </c>
      <c r="W22" s="1877"/>
      <c r="X22" s="1877"/>
      <c r="Y22" s="1883"/>
    </row>
    <row r="23" spans="1:25" ht="39.75" customHeight="1" x14ac:dyDescent="0.25">
      <c r="A23" s="568"/>
      <c r="B23" s="1906"/>
      <c r="C23" s="1909"/>
      <c r="D23" s="1909"/>
      <c r="E23" s="1909"/>
      <c r="F23" s="1909"/>
      <c r="G23" s="568"/>
      <c r="Q23" s="568"/>
      <c r="R23" s="568"/>
      <c r="T23" s="1864"/>
      <c r="U23" s="50" t="s">
        <v>61</v>
      </c>
      <c r="V23" s="1877">
        <v>257325</v>
      </c>
      <c r="W23" s="1877"/>
      <c r="X23" s="1877"/>
      <c r="Y23" s="1883"/>
    </row>
    <row r="24" spans="1:25" ht="48" customHeight="1" x14ac:dyDescent="0.25">
      <c r="A24" s="56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849" t="s">
        <v>47</v>
      </c>
      <c r="U24" s="51" t="s">
        <v>62</v>
      </c>
      <c r="V24" s="1879">
        <f>V14+V16+V17-V18-V19-V20-V22+V23-V21</f>
        <v>43519.549999999988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10682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568"/>
      <c r="J33" s="56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842" t="s">
        <v>357</v>
      </c>
      <c r="U3" s="1842"/>
      <c r="V3" s="1842"/>
      <c r="W3" s="1842"/>
      <c r="X3" s="1842"/>
      <c r="Y3" s="1842"/>
    </row>
    <row r="4" spans="1:25" s="57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74" customFormat="1" ht="25.5" customHeight="1" x14ac:dyDescent="0.25">
      <c r="A5" s="1843"/>
      <c r="B5" s="184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886"/>
      <c r="R14" s="1886"/>
      <c r="S14" s="578"/>
      <c r="T14" s="1849" t="s">
        <v>46</v>
      </c>
      <c r="U14" s="572" t="s">
        <v>176</v>
      </c>
      <c r="V14" s="1874">
        <v>43520</v>
      </c>
      <c r="W14" s="1875"/>
      <c r="X14" s="1876"/>
    </row>
    <row r="15" spans="1:25" ht="22.5" customHeight="1" x14ac:dyDescent="0.25">
      <c r="A15" s="100" t="s">
        <v>38</v>
      </c>
      <c r="B15" s="1874">
        <v>294102</v>
      </c>
      <c r="C15" s="1876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877"/>
      <c r="R15" s="1877"/>
      <c r="S15" s="572">
        <v>0</v>
      </c>
      <c r="T15" s="1849"/>
      <c r="U15" s="572" t="s">
        <v>64</v>
      </c>
      <c r="V15" s="1877">
        <v>10682</v>
      </c>
      <c r="W15" s="1877"/>
      <c r="X15" s="1877"/>
    </row>
    <row r="16" spans="1:25" ht="24.75" customHeight="1" x14ac:dyDescent="0.25">
      <c r="A16" s="100" t="s">
        <v>39</v>
      </c>
      <c r="B16" s="1874">
        <v>119480</v>
      </c>
      <c r="C16" s="1876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855"/>
      <c r="R16" s="1855"/>
      <c r="S16" s="575"/>
      <c r="T16" s="1871" t="s">
        <v>55</v>
      </c>
      <c r="U16" s="1871"/>
      <c r="V16" s="1878">
        <f>Y12</f>
        <v>168000.0925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855"/>
      <c r="R17" s="1855"/>
      <c r="S17" s="571"/>
      <c r="T17" s="1900"/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121233</v>
      </c>
      <c r="C18" s="1876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877"/>
      <c r="R18" s="1877"/>
      <c r="S18" s="572"/>
      <c r="T18" s="1871" t="s">
        <v>57</v>
      </c>
      <c r="U18" s="1871"/>
      <c r="V18" s="1877">
        <v>12376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292349</v>
      </c>
      <c r="C19" s="1876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874">
        <f t="shared" ref="Q19" si="14">Q15+Q16+Q17-Q18</f>
        <v>0</v>
      </c>
      <c r="R19" s="1876"/>
      <c r="S19" s="572">
        <f>S15+S16-S17-S18</f>
        <v>0</v>
      </c>
      <c r="T19" s="1869" t="s">
        <v>48</v>
      </c>
      <c r="U19" s="49" t="s">
        <v>58</v>
      </c>
      <c r="V19" s="1877">
        <v>60000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281385.91250000003</v>
      </c>
      <c r="C20" s="1904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1191110.5125</v>
      </c>
      <c r="C21" s="1910"/>
      <c r="O21" s="579"/>
      <c r="P21" s="579"/>
      <c r="Q21" s="579"/>
      <c r="R21" s="579"/>
      <c r="T21" s="1900" t="s">
        <v>356</v>
      </c>
      <c r="U21" s="1901"/>
      <c r="V21" s="1911">
        <v>91090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899984</v>
      </c>
      <c r="D22" s="1908">
        <v>60000</v>
      </c>
      <c r="E22" s="1908">
        <v>117500</v>
      </c>
      <c r="F22" s="1908">
        <f>C22-D22+E22</f>
        <v>957484</v>
      </c>
      <c r="G22" s="579"/>
      <c r="Q22" s="579"/>
      <c r="R22" s="579"/>
      <c r="T22" s="1863" t="s">
        <v>83</v>
      </c>
      <c r="U22" s="50" t="s">
        <v>60</v>
      </c>
      <c r="V22" s="1877">
        <v>172910</v>
      </c>
      <c r="W22" s="1877"/>
      <c r="X22" s="1877"/>
      <c r="Y22" s="1883"/>
    </row>
    <row r="23" spans="1:25" ht="39.75" customHeight="1" x14ac:dyDescent="0.25">
      <c r="A23" s="579"/>
      <c r="B23" s="1906"/>
      <c r="C23" s="1909"/>
      <c r="D23" s="1909"/>
      <c r="E23" s="1909"/>
      <c r="F23" s="1909"/>
      <c r="G23" s="579"/>
      <c r="Q23" s="579"/>
      <c r="R23" s="579"/>
      <c r="T23" s="1864"/>
      <c r="U23" s="50" t="s">
        <v>61</v>
      </c>
      <c r="V23" s="1877">
        <v>151090</v>
      </c>
      <c r="W23" s="1877"/>
      <c r="X23" s="1877"/>
      <c r="Y23" s="1883"/>
    </row>
    <row r="24" spans="1:25" ht="48" customHeight="1" x14ac:dyDescent="0.25">
      <c r="A24" s="57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849" t="s">
        <v>47</v>
      </c>
      <c r="U24" s="51" t="s">
        <v>62</v>
      </c>
      <c r="V24" s="1879">
        <f>V14+V16+V17-V18-V19-V20-V22+V23-V21</f>
        <v>26234.092499999999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32502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579"/>
      <c r="J33" s="579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842" t="s">
        <v>358</v>
      </c>
      <c r="U3" s="1842"/>
      <c r="V3" s="1842"/>
      <c r="W3" s="1842"/>
      <c r="X3" s="1842"/>
      <c r="Y3" s="1842"/>
    </row>
    <row r="4" spans="1:25" s="57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74" customFormat="1" ht="25.5" customHeight="1" x14ac:dyDescent="0.25">
      <c r="A5" s="1843"/>
      <c r="B5" s="1843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886"/>
      <c r="R14" s="1886"/>
      <c r="S14" s="578"/>
      <c r="T14" s="1849" t="s">
        <v>46</v>
      </c>
      <c r="U14" s="572" t="s">
        <v>176</v>
      </c>
      <c r="V14" s="1874">
        <v>26234</v>
      </c>
      <c r="W14" s="1875"/>
      <c r="X14" s="1876"/>
    </row>
    <row r="15" spans="1:25" ht="22.5" customHeight="1" x14ac:dyDescent="0.25">
      <c r="A15" s="100" t="s">
        <v>38</v>
      </c>
      <c r="B15" s="1874">
        <v>292349</v>
      </c>
      <c r="C15" s="1876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877"/>
      <c r="R15" s="1877"/>
      <c r="S15" s="572">
        <v>0</v>
      </c>
      <c r="T15" s="1849"/>
      <c r="U15" s="572" t="s">
        <v>64</v>
      </c>
      <c r="V15" s="1877">
        <v>32502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855"/>
      <c r="R16" s="1855"/>
      <c r="S16" s="575"/>
      <c r="T16" s="1871" t="s">
        <v>55</v>
      </c>
      <c r="U16" s="1871"/>
      <c r="V16" s="1878">
        <f>Y12</f>
        <v>74889.452499999999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855"/>
      <c r="R17" s="1855"/>
      <c r="S17" s="571"/>
      <c r="T17" s="1900" t="s">
        <v>324</v>
      </c>
      <c r="U17" s="1901"/>
      <c r="V17" s="1902">
        <v>7960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74529</v>
      </c>
      <c r="C18" s="1876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877"/>
      <c r="R18" s="1877"/>
      <c r="S18" s="572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321716</v>
      </c>
      <c r="C19" s="1876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874">
        <f t="shared" ref="Q19" si="14">Q15+Q16+Q17-Q18</f>
        <v>0</v>
      </c>
      <c r="R19" s="1876"/>
      <c r="S19" s="572">
        <f>S15+S16-S17-S18</f>
        <v>0</v>
      </c>
      <c r="T19" s="1869" t="s">
        <v>48</v>
      </c>
      <c r="U19" s="49" t="s">
        <v>58</v>
      </c>
      <c r="V19" s="1877">
        <v>115000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309651.65000000002</v>
      </c>
      <c r="C20" s="1904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1216966.25</v>
      </c>
      <c r="C21" s="1910"/>
      <c r="O21" s="579"/>
      <c r="P21" s="579"/>
      <c r="Q21" s="579"/>
      <c r="R21" s="579"/>
      <c r="T21" s="1900" t="s">
        <v>359</v>
      </c>
      <c r="U21" s="1901"/>
      <c r="V21" s="1911">
        <v>7960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957484</v>
      </c>
      <c r="D22" s="1908">
        <v>115000</v>
      </c>
      <c r="E22" s="1908">
        <v>100000</v>
      </c>
      <c r="F22" s="1908">
        <f>C22-D22+E22</f>
        <v>942484</v>
      </c>
      <c r="G22" s="579"/>
      <c r="Q22" s="579"/>
      <c r="R22" s="579"/>
      <c r="T22" s="1863" t="s">
        <v>83</v>
      </c>
      <c r="U22" s="50" t="s">
        <v>60</v>
      </c>
      <c r="V22" s="1877">
        <v>89410</v>
      </c>
      <c r="W22" s="1877"/>
      <c r="X22" s="1877"/>
      <c r="Y22" s="1883"/>
    </row>
    <row r="23" spans="1:25" ht="39.75" customHeight="1" x14ac:dyDescent="0.25">
      <c r="A23" s="579"/>
      <c r="B23" s="1906"/>
      <c r="C23" s="1909"/>
      <c r="D23" s="1909"/>
      <c r="E23" s="1909"/>
      <c r="F23" s="1909"/>
      <c r="G23" s="579"/>
      <c r="Q23" s="579"/>
      <c r="R23" s="579"/>
      <c r="T23" s="1864"/>
      <c r="U23" s="50" t="s">
        <v>61</v>
      </c>
      <c r="V23" s="1877">
        <v>115000</v>
      </c>
      <c r="W23" s="1877"/>
      <c r="X23" s="1877"/>
      <c r="Y23" s="1883"/>
    </row>
    <row r="24" spans="1:25" ht="48" customHeight="1" x14ac:dyDescent="0.25">
      <c r="A24" s="57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849" t="s">
        <v>47</v>
      </c>
      <c r="U24" s="51" t="s">
        <v>62</v>
      </c>
      <c r="V24" s="1879">
        <f>V14+V16+V17-V18-V19-V20-V22+V23-V21</f>
        <v>11193.452499999999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6912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579"/>
      <c r="J33" s="579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842" t="s">
        <v>360</v>
      </c>
      <c r="U3" s="1842"/>
      <c r="V3" s="1842"/>
      <c r="W3" s="1842"/>
      <c r="X3" s="1842"/>
      <c r="Y3" s="1842"/>
    </row>
    <row r="4" spans="1:25" s="58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80" customFormat="1" ht="25.5" customHeight="1" x14ac:dyDescent="0.25">
      <c r="A5" s="1843"/>
      <c r="B5" s="1843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886"/>
      <c r="R14" s="1886"/>
      <c r="S14" s="589"/>
      <c r="T14" s="1849" t="s">
        <v>46</v>
      </c>
      <c r="U14" s="581" t="s">
        <v>176</v>
      </c>
      <c r="V14" s="1874">
        <v>11193</v>
      </c>
      <c r="W14" s="1875"/>
      <c r="X14" s="1876"/>
    </row>
    <row r="15" spans="1:25" ht="22.5" customHeight="1" x14ac:dyDescent="0.25">
      <c r="A15" s="100" t="s">
        <v>38</v>
      </c>
      <c r="B15" s="1874">
        <v>321716</v>
      </c>
      <c r="C15" s="1876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877"/>
      <c r="R15" s="1877"/>
      <c r="S15" s="581">
        <v>0</v>
      </c>
      <c r="T15" s="1849"/>
      <c r="U15" s="581" t="s">
        <v>64</v>
      </c>
      <c r="V15" s="1877">
        <v>6912</v>
      </c>
      <c r="W15" s="1877"/>
      <c r="X15" s="1877"/>
    </row>
    <row r="16" spans="1:25" ht="24.75" customHeight="1" x14ac:dyDescent="0.25">
      <c r="A16" s="100" t="s">
        <v>39</v>
      </c>
      <c r="B16" s="1874">
        <v>20779</v>
      </c>
      <c r="C16" s="1876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855"/>
      <c r="R16" s="1855"/>
      <c r="S16" s="586"/>
      <c r="T16" s="1871" t="s">
        <v>55</v>
      </c>
      <c r="U16" s="1871"/>
      <c r="V16" s="1878">
        <f>Y12</f>
        <v>227924.4075</v>
      </c>
      <c r="W16" s="1878"/>
      <c r="X16" s="1877"/>
    </row>
    <row r="17" spans="1:25" ht="28.5" customHeight="1" x14ac:dyDescent="0.25">
      <c r="A17" s="101" t="s">
        <v>44</v>
      </c>
      <c r="B17" s="1874">
        <v>85933</v>
      </c>
      <c r="C17" s="1876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855"/>
      <c r="R17" s="1855"/>
      <c r="S17" s="583"/>
      <c r="T17" s="1900" t="s">
        <v>362</v>
      </c>
      <c r="U17" s="1901"/>
      <c r="V17" s="1902">
        <v>450000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111767</v>
      </c>
      <c r="C18" s="1876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877"/>
      <c r="R18" s="1877"/>
      <c r="S18" s="581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316661</v>
      </c>
      <c r="C19" s="1876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874">
        <f t="shared" ref="Q19" si="14">Q15+Q16+Q17-Q18</f>
        <v>0</v>
      </c>
      <c r="R19" s="1876"/>
      <c r="S19" s="581">
        <f>S15+S16-S17-S18</f>
        <v>0</v>
      </c>
      <c r="T19" s="1869" t="s">
        <v>48</v>
      </c>
      <c r="U19" s="49" t="s">
        <v>58</v>
      </c>
      <c r="V19" s="1877">
        <v>602050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304786.21250000002</v>
      </c>
      <c r="C20" s="1904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1093924.3125</v>
      </c>
      <c r="C21" s="1910"/>
      <c r="O21" s="590"/>
      <c r="P21" s="590"/>
      <c r="Q21" s="590"/>
      <c r="R21" s="590"/>
      <c r="T21" s="1900" t="s">
        <v>361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942484</v>
      </c>
      <c r="D22" s="1908">
        <v>602050</v>
      </c>
      <c r="E22" s="1908">
        <v>20000</v>
      </c>
      <c r="F22" s="1908">
        <f>C22-D22+E22</f>
        <v>360434</v>
      </c>
      <c r="G22" s="590"/>
      <c r="Q22" s="590"/>
      <c r="R22" s="590"/>
      <c r="T22" s="1863" t="s">
        <v>83</v>
      </c>
      <c r="U22" s="50" t="s">
        <v>60</v>
      </c>
      <c r="V22" s="1877">
        <v>680820</v>
      </c>
      <c r="W22" s="1877"/>
      <c r="X22" s="1877"/>
      <c r="Y22" s="1883"/>
    </row>
    <row r="23" spans="1:25" ht="39.75" customHeight="1" x14ac:dyDescent="0.25">
      <c r="A23" s="590"/>
      <c r="B23" s="1906"/>
      <c r="C23" s="1909"/>
      <c r="D23" s="1909"/>
      <c r="E23" s="1909"/>
      <c r="F23" s="1909"/>
      <c r="G23" s="590"/>
      <c r="Q23" s="590"/>
      <c r="R23" s="590"/>
      <c r="T23" s="1864"/>
      <c r="U23" s="50" t="s">
        <v>61</v>
      </c>
      <c r="V23" s="1877">
        <v>602050</v>
      </c>
      <c r="W23" s="1877"/>
      <c r="X23" s="1877"/>
      <c r="Y23" s="1883"/>
    </row>
    <row r="24" spans="1:25" ht="48" customHeight="1" x14ac:dyDescent="0.25">
      <c r="A24" s="59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849" t="s">
        <v>47</v>
      </c>
      <c r="U24" s="51" t="s">
        <v>62</v>
      </c>
      <c r="V24" s="1879">
        <f>V14+V16+V17-V18-V19-V20-V22+V23-V21</f>
        <v>7677.4074999999721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85682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590"/>
      <c r="J33" s="59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842" t="s">
        <v>363</v>
      </c>
      <c r="U3" s="1842"/>
      <c r="V3" s="1842"/>
      <c r="W3" s="1842"/>
      <c r="X3" s="1842"/>
      <c r="Y3" s="1842"/>
    </row>
    <row r="4" spans="1:25" s="59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596" customFormat="1" ht="25.5" customHeight="1" x14ac:dyDescent="0.25">
      <c r="A5" s="1843"/>
      <c r="B5" s="1843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886"/>
      <c r="R14" s="1886"/>
      <c r="S14" s="600"/>
      <c r="T14" s="1849" t="s">
        <v>46</v>
      </c>
      <c r="U14" s="594" t="s">
        <v>176</v>
      </c>
      <c r="V14" s="1874">
        <v>7677</v>
      </c>
      <c r="W14" s="1875"/>
      <c r="X14" s="1876"/>
    </row>
    <row r="15" spans="1:25" ht="22.5" customHeight="1" x14ac:dyDescent="0.25">
      <c r="A15" s="100" t="s">
        <v>38</v>
      </c>
      <c r="B15" s="1874">
        <v>316661</v>
      </c>
      <c r="C15" s="1876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877"/>
      <c r="R15" s="1877"/>
      <c r="S15" s="594">
        <v>0</v>
      </c>
      <c r="T15" s="1849"/>
      <c r="U15" s="594" t="s">
        <v>64</v>
      </c>
      <c r="V15" s="1877">
        <v>85682</v>
      </c>
      <c r="W15" s="1877"/>
      <c r="X15" s="1877"/>
    </row>
    <row r="16" spans="1:25" ht="24.75" customHeight="1" x14ac:dyDescent="0.25">
      <c r="A16" s="100" t="s">
        <v>39</v>
      </c>
      <c r="B16" s="1874">
        <v>464971</v>
      </c>
      <c r="C16" s="1876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855"/>
      <c r="R16" s="1855"/>
      <c r="S16" s="597"/>
      <c r="T16" s="1871" t="s">
        <v>55</v>
      </c>
      <c r="U16" s="1871"/>
      <c r="V16" s="1878">
        <f>Y12</f>
        <v>252137.91999999998</v>
      </c>
      <c r="W16" s="1878"/>
      <c r="X16" s="1877"/>
    </row>
    <row r="17" spans="1:25" ht="28.5" customHeight="1" x14ac:dyDescent="0.25">
      <c r="A17" s="101" t="s">
        <v>44</v>
      </c>
      <c r="B17" s="1874">
        <v>15804</v>
      </c>
      <c r="C17" s="1876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855"/>
      <c r="R17" s="1855"/>
      <c r="S17" s="593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164912</v>
      </c>
      <c r="C18" s="1876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877"/>
      <c r="R18" s="1877"/>
      <c r="S18" s="594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632524</v>
      </c>
      <c r="C19" s="1876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874">
        <f t="shared" ref="Q19" si="14">Q15+Q16+Q17-Q18</f>
        <v>0</v>
      </c>
      <c r="R19" s="1876"/>
      <c r="S19" s="594">
        <f>S15+S16-S17-S18</f>
        <v>0</v>
      </c>
      <c r="T19" s="1869" t="s">
        <v>48</v>
      </c>
      <c r="U19" s="49" t="s">
        <v>58</v>
      </c>
      <c r="V19" s="1877">
        <v>250834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608804.35</v>
      </c>
      <c r="C20" s="1904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>
        <v>75000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1334383.6499999999</v>
      </c>
      <c r="C21" s="1910"/>
      <c r="O21" s="601"/>
      <c r="P21" s="601"/>
      <c r="Q21" s="601"/>
      <c r="R21" s="601"/>
      <c r="T21" s="1900" t="s">
        <v>361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360434</v>
      </c>
      <c r="D22" s="1908">
        <v>250834</v>
      </c>
      <c r="E22" s="1908">
        <v>400000</v>
      </c>
      <c r="F22" s="1908">
        <f>C22-D22+E22</f>
        <v>509600</v>
      </c>
      <c r="G22" s="601"/>
      <c r="Q22" s="601"/>
      <c r="R22" s="601"/>
      <c r="T22" s="1863" t="s">
        <v>83</v>
      </c>
      <c r="U22" s="50" t="s">
        <v>60</v>
      </c>
      <c r="V22" s="1877">
        <v>251110</v>
      </c>
      <c r="W22" s="1877"/>
      <c r="X22" s="1877"/>
      <c r="Y22" s="1883"/>
    </row>
    <row r="23" spans="1:25" ht="39.75" customHeight="1" x14ac:dyDescent="0.25">
      <c r="A23" s="601"/>
      <c r="B23" s="1906"/>
      <c r="C23" s="1909"/>
      <c r="D23" s="1909"/>
      <c r="E23" s="1909"/>
      <c r="F23" s="1909"/>
      <c r="G23" s="601"/>
      <c r="Q23" s="601"/>
      <c r="R23" s="601"/>
      <c r="T23" s="1864"/>
      <c r="U23" s="50" t="s">
        <v>61</v>
      </c>
      <c r="V23" s="1877">
        <v>325834</v>
      </c>
      <c r="W23" s="1877"/>
      <c r="X23" s="1877"/>
      <c r="Y23" s="1883"/>
    </row>
    <row r="24" spans="1:25" ht="48" customHeight="1" x14ac:dyDescent="0.25">
      <c r="A24" s="60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849" t="s">
        <v>47</v>
      </c>
      <c r="U24" s="51" t="s">
        <v>62</v>
      </c>
      <c r="V24" s="1879">
        <f>V14+V16+V17-V18-V19-V20-V22+V23-V21</f>
        <v>8184.9199999999837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10958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01"/>
      <c r="J33" s="60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842" t="s">
        <v>364</v>
      </c>
      <c r="U3" s="1842"/>
      <c r="V3" s="1842"/>
      <c r="W3" s="1842"/>
      <c r="X3" s="1842"/>
      <c r="Y3" s="1842"/>
    </row>
    <row r="4" spans="1:25" s="60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07" customFormat="1" ht="25.5" customHeight="1" x14ac:dyDescent="0.25">
      <c r="A5" s="1843"/>
      <c r="B5" s="184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886"/>
      <c r="R14" s="1886"/>
      <c r="S14" s="611"/>
      <c r="T14" s="1849" t="s">
        <v>46</v>
      </c>
      <c r="U14" s="605" t="s">
        <v>176</v>
      </c>
      <c r="V14" s="1874">
        <v>8185</v>
      </c>
      <c r="W14" s="1875"/>
      <c r="X14" s="1876"/>
    </row>
    <row r="15" spans="1:25" ht="22.5" customHeight="1" x14ac:dyDescent="0.25">
      <c r="A15" s="100" t="s">
        <v>38</v>
      </c>
      <c r="B15" s="1874">
        <v>632524</v>
      </c>
      <c r="C15" s="1876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877"/>
      <c r="R15" s="1877"/>
      <c r="S15" s="605">
        <v>0</v>
      </c>
      <c r="T15" s="1849"/>
      <c r="U15" s="605" t="s">
        <v>64</v>
      </c>
      <c r="V15" s="1877">
        <v>10958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855"/>
      <c r="R16" s="1855"/>
      <c r="S16" s="608"/>
      <c r="T16" s="1871" t="s">
        <v>55</v>
      </c>
      <c r="U16" s="1871"/>
      <c r="V16" s="1878">
        <f>Y12</f>
        <v>335093.33000000007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855"/>
      <c r="R17" s="1855"/>
      <c r="S17" s="604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207588</v>
      </c>
      <c r="C18" s="1876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877"/>
      <c r="R18" s="1877"/>
      <c r="S18" s="605"/>
      <c r="T18" s="1871" t="s">
        <v>57</v>
      </c>
      <c r="U18" s="1871"/>
      <c r="V18" s="1877">
        <v>84827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424936</v>
      </c>
      <c r="C19" s="1876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874">
        <f t="shared" ref="Q19" si="14">Q15+Q16+Q17-Q18</f>
        <v>0</v>
      </c>
      <c r="R19" s="1876"/>
      <c r="S19" s="605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409000.9</v>
      </c>
      <c r="C20" s="1904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1001870.8999999999</v>
      </c>
      <c r="C21" s="1910"/>
      <c r="O21" s="612"/>
      <c r="P21" s="612"/>
      <c r="Q21" s="612"/>
      <c r="R21" s="612"/>
      <c r="T21" s="1900" t="s">
        <v>361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509600</v>
      </c>
      <c r="D22" s="1908"/>
      <c r="E22" s="1908"/>
      <c r="F22" s="1908">
        <f>C22-D22+E22</f>
        <v>509600</v>
      </c>
      <c r="G22" s="612"/>
      <c r="Q22" s="612"/>
      <c r="R22" s="61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612"/>
      <c r="B23" s="1906"/>
      <c r="C23" s="1909"/>
      <c r="D23" s="1909"/>
      <c r="E23" s="1909"/>
      <c r="F23" s="1909"/>
      <c r="G23" s="612"/>
      <c r="Q23" s="612"/>
      <c r="R23" s="61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61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849" t="s">
        <v>47</v>
      </c>
      <c r="U24" s="51" t="s">
        <v>62</v>
      </c>
      <c r="V24" s="1879">
        <f>V14+V16+V17-V18-V19-V20-V22+V23-V21</f>
        <v>258451.33000000007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10958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12"/>
      <c r="J33" s="61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842" t="s">
        <v>365</v>
      </c>
      <c r="U3" s="1842"/>
      <c r="V3" s="1842"/>
      <c r="W3" s="1842"/>
      <c r="X3" s="1842"/>
      <c r="Y3" s="1842"/>
    </row>
    <row r="4" spans="1:25" s="60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07" customFormat="1" ht="25.5" customHeight="1" x14ac:dyDescent="0.25">
      <c r="A5" s="1843"/>
      <c r="B5" s="184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886"/>
      <c r="R14" s="1886"/>
      <c r="S14" s="611"/>
      <c r="T14" s="1849" t="s">
        <v>46</v>
      </c>
      <c r="U14" s="605" t="s">
        <v>176</v>
      </c>
      <c r="V14" s="1874">
        <v>258451</v>
      </c>
      <c r="W14" s="1875"/>
      <c r="X14" s="1876"/>
    </row>
    <row r="15" spans="1:25" ht="22.5" customHeight="1" x14ac:dyDescent="0.25">
      <c r="A15" s="100" t="s">
        <v>38</v>
      </c>
      <c r="B15" s="1874">
        <v>424936</v>
      </c>
      <c r="C15" s="1876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877"/>
      <c r="R15" s="1877"/>
      <c r="S15" s="605">
        <v>0</v>
      </c>
      <c r="T15" s="1849"/>
      <c r="U15" s="605" t="s">
        <v>64</v>
      </c>
      <c r="V15" s="1877">
        <v>10958</v>
      </c>
      <c r="W15" s="1877"/>
      <c r="X15" s="1877"/>
    </row>
    <row r="16" spans="1:25" ht="24.75" customHeight="1" x14ac:dyDescent="0.25">
      <c r="A16" s="100" t="s">
        <v>39</v>
      </c>
      <c r="B16" s="1874">
        <v>374025</v>
      </c>
      <c r="C16" s="1876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855"/>
      <c r="R16" s="1855"/>
      <c r="S16" s="608"/>
      <c r="T16" s="1871" t="s">
        <v>55</v>
      </c>
      <c r="U16" s="1871"/>
      <c r="V16" s="1878">
        <f>Y12</f>
        <v>417145.85000000003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855"/>
      <c r="R17" s="1855"/>
      <c r="S17" s="604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407060</v>
      </c>
      <c r="C18" s="1876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877"/>
      <c r="R18" s="1877"/>
      <c r="S18" s="605"/>
      <c r="T18" s="1871" t="s">
        <v>57</v>
      </c>
      <c r="U18" s="1871"/>
      <c r="V18" s="1877">
        <v>5377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391901</v>
      </c>
      <c r="C19" s="1876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874">
        <f t="shared" ref="Q19" si="14">Q15+Q16+Q17-Q18</f>
        <v>0</v>
      </c>
      <c r="R19" s="1876"/>
      <c r="S19" s="605">
        <f>S15+S16-S17-S18</f>
        <v>0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377204.71250000002</v>
      </c>
      <c r="C20" s="1904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948965.71249999991</v>
      </c>
      <c r="C21" s="1910"/>
      <c r="O21" s="612"/>
      <c r="P21" s="612"/>
      <c r="Q21" s="612"/>
      <c r="R21" s="612"/>
      <c r="T21" s="1900" t="s">
        <v>366</v>
      </c>
      <c r="U21" s="1901"/>
      <c r="V21" s="1911">
        <v>235000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509600</v>
      </c>
      <c r="D22" s="1908">
        <v>400000</v>
      </c>
      <c r="E22" s="1908">
        <v>360000</v>
      </c>
      <c r="F22" s="1908">
        <f>C22-D22+E22</f>
        <v>469600</v>
      </c>
      <c r="G22" s="612"/>
      <c r="Q22" s="612"/>
      <c r="R22" s="612"/>
      <c r="T22" s="1863" t="s">
        <v>83</v>
      </c>
      <c r="U22" s="50" t="s">
        <v>60</v>
      </c>
      <c r="V22" s="1877">
        <v>400000</v>
      </c>
      <c r="W22" s="1877"/>
      <c r="X22" s="1877"/>
      <c r="Y22" s="1883"/>
    </row>
    <row r="23" spans="1:25" ht="39.75" customHeight="1" x14ac:dyDescent="0.25">
      <c r="A23" s="612"/>
      <c r="B23" s="1906"/>
      <c r="C23" s="1909"/>
      <c r="D23" s="1909"/>
      <c r="E23" s="1909"/>
      <c r="F23" s="1909"/>
      <c r="G23" s="612"/>
      <c r="Q23" s="612"/>
      <c r="R23" s="612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61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849" t="s">
        <v>47</v>
      </c>
      <c r="U24" s="51" t="s">
        <v>62</v>
      </c>
      <c r="V24" s="1879">
        <f>V14+V16+V17-V18-V19-V20-V22+V23-V21</f>
        <v>35219.850000000093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10958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12"/>
      <c r="J33" s="61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842" t="s">
        <v>367</v>
      </c>
      <c r="U3" s="1842"/>
      <c r="V3" s="1842"/>
      <c r="W3" s="1842"/>
      <c r="X3" s="1842"/>
      <c r="Y3" s="1842"/>
    </row>
    <row r="4" spans="1:25" s="60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07" customFormat="1" ht="25.5" customHeight="1" x14ac:dyDescent="0.25">
      <c r="A5" s="1843"/>
      <c r="B5" s="1843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914" t="s">
        <v>339</v>
      </c>
      <c r="R14" s="1915"/>
      <c r="S14" s="611"/>
      <c r="T14" s="1849" t="s">
        <v>46</v>
      </c>
      <c r="U14" s="605" t="s">
        <v>176</v>
      </c>
      <c r="V14" s="1874">
        <v>35220</v>
      </c>
      <c r="W14" s="1875"/>
      <c r="X14" s="1876"/>
    </row>
    <row r="15" spans="1:25" ht="22.5" customHeight="1" x14ac:dyDescent="0.25">
      <c r="A15" s="100" t="s">
        <v>38</v>
      </c>
      <c r="B15" s="1874">
        <v>391901</v>
      </c>
      <c r="C15" s="1876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874">
        <v>47</v>
      </c>
      <c r="R15" s="1876"/>
      <c r="S15" s="605">
        <v>0</v>
      </c>
      <c r="T15" s="1849"/>
      <c r="U15" s="605" t="s">
        <v>64</v>
      </c>
      <c r="V15" s="1877">
        <v>10958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855"/>
      <c r="R16" s="1855"/>
      <c r="S16" s="608"/>
      <c r="T16" s="1871" t="s">
        <v>55</v>
      </c>
      <c r="U16" s="1871"/>
      <c r="V16" s="1878">
        <f>Y12</f>
        <v>116597.7375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855"/>
      <c r="R17" s="1855"/>
      <c r="S17" s="604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73355</v>
      </c>
      <c r="C18" s="1876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877"/>
      <c r="R18" s="1877"/>
      <c r="S18" s="605"/>
      <c r="T18" s="1871" t="s">
        <v>57</v>
      </c>
      <c r="U18" s="1871"/>
      <c r="V18" s="1877">
        <v>1385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318546</v>
      </c>
      <c r="C19" s="1876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874">
        <f t="shared" ref="Q19" si="14">Q15+Q16+Q17-Q18</f>
        <v>47</v>
      </c>
      <c r="R19" s="1876"/>
      <c r="S19" s="605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306600.52500000002</v>
      </c>
      <c r="C20" s="1904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903">
        <f>241*Q19</f>
        <v>11327</v>
      </c>
      <c r="R20" s="1904"/>
      <c r="S20" s="290">
        <f>241*S19</f>
        <v>0</v>
      </c>
      <c r="T20" s="1870"/>
      <c r="U20" s="49" t="s">
        <v>59</v>
      </c>
      <c r="V20" s="1877">
        <v>26028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859218.82499999995</v>
      </c>
      <c r="C21" s="1910"/>
      <c r="O21" s="612"/>
      <c r="P21" s="612"/>
      <c r="Q21" s="612"/>
      <c r="R21" s="612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469600</v>
      </c>
      <c r="D22" s="1908"/>
      <c r="E22" s="1908"/>
      <c r="F22" s="1908">
        <f>C22-D22+E22</f>
        <v>469600</v>
      </c>
      <c r="G22" s="612"/>
      <c r="Q22" s="612"/>
      <c r="R22" s="61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612"/>
      <c r="B23" s="1906"/>
      <c r="C23" s="1909"/>
      <c r="D23" s="1909"/>
      <c r="E23" s="1909"/>
      <c r="F23" s="1909"/>
      <c r="G23" s="612"/>
      <c r="Q23" s="612"/>
      <c r="R23" s="61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61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849" t="s">
        <v>47</v>
      </c>
      <c r="U24" s="51" t="s">
        <v>62</v>
      </c>
      <c r="V24" s="1879">
        <f>V14+V16+V17-V18-V19-V20-V22+V23-V21</f>
        <v>124404.73749999999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10958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12"/>
      <c r="J33" s="61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842" t="s">
        <v>369</v>
      </c>
      <c r="U3" s="1842"/>
      <c r="V3" s="1842"/>
      <c r="W3" s="1842"/>
      <c r="X3" s="1842"/>
      <c r="Y3" s="1842"/>
    </row>
    <row r="4" spans="1:25" s="61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13" customFormat="1" ht="25.5" customHeight="1" x14ac:dyDescent="0.25">
      <c r="A5" s="1843"/>
      <c r="B5" s="1843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914" t="s">
        <v>339</v>
      </c>
      <c r="R14" s="1915"/>
      <c r="S14" s="622"/>
      <c r="T14" s="1849" t="s">
        <v>46</v>
      </c>
      <c r="U14" s="614" t="s">
        <v>176</v>
      </c>
      <c r="V14" s="1874">
        <v>124405</v>
      </c>
      <c r="W14" s="1875"/>
      <c r="X14" s="1876"/>
    </row>
    <row r="15" spans="1:25" ht="22.5" customHeight="1" x14ac:dyDescent="0.25">
      <c r="A15" s="100" t="s">
        <v>38</v>
      </c>
      <c r="B15" s="1874">
        <v>318546</v>
      </c>
      <c r="C15" s="1876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874">
        <v>47</v>
      </c>
      <c r="R15" s="1876"/>
      <c r="S15" s="614">
        <v>0</v>
      </c>
      <c r="T15" s="1849"/>
      <c r="U15" s="614" t="s">
        <v>64</v>
      </c>
      <c r="V15" s="1877">
        <v>10958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855"/>
      <c r="R16" s="1855"/>
      <c r="S16" s="619"/>
      <c r="T16" s="1871" t="s">
        <v>55</v>
      </c>
      <c r="U16" s="1871"/>
      <c r="V16" s="1878">
        <f>Y12</f>
        <v>82856.165000000008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855"/>
      <c r="R17" s="1855"/>
      <c r="S17" s="616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76394</v>
      </c>
      <c r="C18" s="1876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877">
        <v>25</v>
      </c>
      <c r="R18" s="1877"/>
      <c r="S18" s="614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346048</v>
      </c>
      <c r="C19" s="1876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874">
        <f t="shared" ref="Q19" si="14">Q15+Q16+Q17-Q18</f>
        <v>22</v>
      </c>
      <c r="R19" s="1876"/>
      <c r="S19" s="614">
        <f>S15+S16-S17-S18</f>
        <v>0</v>
      </c>
      <c r="T19" s="1869" t="s">
        <v>48</v>
      </c>
      <c r="U19" s="49" t="s">
        <v>58</v>
      </c>
      <c r="V19" s="1877">
        <v>197000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333071.2</v>
      </c>
      <c r="C20" s="1904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903">
        <f>241*Q19</f>
        <v>5302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1286201.5</v>
      </c>
      <c r="C21" s="1910"/>
      <c r="O21" s="623"/>
      <c r="P21" s="623"/>
      <c r="Q21" s="623"/>
      <c r="R21" s="623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469600</v>
      </c>
      <c r="D22" s="1908">
        <v>197000</v>
      </c>
      <c r="E22" s="1908">
        <v>508874</v>
      </c>
      <c r="F22" s="1908">
        <f>C22-D22+E22</f>
        <v>781474</v>
      </c>
      <c r="G22" s="623"/>
      <c r="Q22" s="623"/>
      <c r="R22" s="623"/>
      <c r="T22" s="1863" t="s">
        <v>83</v>
      </c>
      <c r="U22" s="50" t="s">
        <v>60</v>
      </c>
      <c r="V22" s="1877">
        <v>196510</v>
      </c>
      <c r="W22" s="1877"/>
      <c r="X22" s="1877"/>
      <c r="Y22" s="1883"/>
    </row>
    <row r="23" spans="1:25" ht="39.75" customHeight="1" x14ac:dyDescent="0.25">
      <c r="A23" s="623"/>
      <c r="B23" s="1906"/>
      <c r="C23" s="1909"/>
      <c r="D23" s="1909"/>
      <c r="E23" s="1909"/>
      <c r="F23" s="1909"/>
      <c r="G23" s="623"/>
      <c r="Q23" s="623"/>
      <c r="R23" s="623"/>
      <c r="T23" s="1864"/>
      <c r="U23" s="50" t="s">
        <v>61</v>
      </c>
      <c r="V23" s="1877">
        <v>197000</v>
      </c>
      <c r="W23" s="1877"/>
      <c r="X23" s="1877"/>
      <c r="Y23" s="1883"/>
    </row>
    <row r="24" spans="1:25" ht="48" customHeight="1" x14ac:dyDescent="0.25">
      <c r="A24" s="62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849" t="s">
        <v>47</v>
      </c>
      <c r="U24" s="51" t="s">
        <v>62</v>
      </c>
      <c r="V24" s="1879">
        <f>V14+V16+V17-V18-V19-V20-V22+V23-V21</f>
        <v>10231.165000000008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10468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23"/>
      <c r="J33" s="62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842" t="s">
        <v>370</v>
      </c>
      <c r="U3" s="1842"/>
      <c r="V3" s="1842"/>
      <c r="W3" s="1842"/>
      <c r="X3" s="1842"/>
      <c r="Y3" s="1842"/>
    </row>
    <row r="4" spans="1:25" s="62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29" customFormat="1" ht="25.5" customHeight="1" x14ac:dyDescent="0.25">
      <c r="A5" s="1843"/>
      <c r="B5" s="1843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914" t="s">
        <v>339</v>
      </c>
      <c r="R14" s="1915"/>
      <c r="S14" s="633"/>
      <c r="T14" s="1849" t="s">
        <v>46</v>
      </c>
      <c r="U14" s="627" t="s">
        <v>176</v>
      </c>
      <c r="V14" s="1874">
        <v>10231</v>
      </c>
      <c r="W14" s="1875"/>
      <c r="X14" s="1876"/>
    </row>
    <row r="15" spans="1:25" ht="22.5" customHeight="1" x14ac:dyDescent="0.25">
      <c r="A15" s="100" t="s">
        <v>38</v>
      </c>
      <c r="B15" s="1874">
        <v>346048</v>
      </c>
      <c r="C15" s="1876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874">
        <v>22</v>
      </c>
      <c r="R15" s="1876"/>
      <c r="S15" s="627">
        <v>0</v>
      </c>
      <c r="T15" s="1849"/>
      <c r="U15" s="627" t="s">
        <v>64</v>
      </c>
      <c r="V15" s="1877">
        <v>10468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855"/>
      <c r="R16" s="1855"/>
      <c r="S16" s="630"/>
      <c r="T16" s="1871" t="s">
        <v>55</v>
      </c>
      <c r="U16" s="1871"/>
      <c r="V16" s="1878">
        <f>Y12</f>
        <v>109912.9225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855"/>
      <c r="R17" s="1855"/>
      <c r="S17" s="626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113021</v>
      </c>
      <c r="C18" s="1876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877"/>
      <c r="R18" s="1877"/>
      <c r="S18" s="627"/>
      <c r="T18" s="1871" t="s">
        <v>57</v>
      </c>
      <c r="U18" s="1871"/>
      <c r="V18" s="1877">
        <v>2470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233027</v>
      </c>
      <c r="C19" s="1876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874">
        <f t="shared" ref="Q19" si="14">Q15+Q16+Q17-Q18</f>
        <v>22</v>
      </c>
      <c r="R19" s="1876"/>
      <c r="S19" s="627">
        <f>S15+S16-S17-S18</f>
        <v>0</v>
      </c>
      <c r="T19" s="1869" t="s">
        <v>48</v>
      </c>
      <c r="U19" s="49" t="s">
        <v>58</v>
      </c>
      <c r="V19" s="1877">
        <v>115000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224288.48750000002</v>
      </c>
      <c r="C20" s="1904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903">
        <f>241*Q19</f>
        <v>5302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1177418.7875000001</v>
      </c>
      <c r="C21" s="1910"/>
      <c r="O21" s="634"/>
      <c r="P21" s="634"/>
      <c r="Q21" s="634"/>
      <c r="R21" s="634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781474</v>
      </c>
      <c r="D22" s="1908">
        <v>115000</v>
      </c>
      <c r="E22" s="1908"/>
      <c r="F22" s="1908">
        <f>C22-D22+E22</f>
        <v>666474</v>
      </c>
      <c r="G22" s="634"/>
      <c r="Q22" s="634"/>
      <c r="R22" s="634"/>
      <c r="T22" s="1863" t="s">
        <v>83</v>
      </c>
      <c r="U22" s="50" t="s">
        <v>60</v>
      </c>
      <c r="V22" s="1877">
        <v>114500</v>
      </c>
      <c r="W22" s="1877"/>
      <c r="X22" s="1877"/>
      <c r="Y22" s="1883"/>
    </row>
    <row r="23" spans="1:25" ht="39.75" customHeight="1" x14ac:dyDescent="0.25">
      <c r="A23" s="634"/>
      <c r="B23" s="1906"/>
      <c r="C23" s="1909"/>
      <c r="D23" s="1909"/>
      <c r="E23" s="1909"/>
      <c r="F23" s="1909"/>
      <c r="G23" s="634"/>
      <c r="Q23" s="634"/>
      <c r="R23" s="634"/>
      <c r="T23" s="1864"/>
      <c r="U23" s="50" t="s">
        <v>61</v>
      </c>
      <c r="V23" s="1877">
        <v>115000</v>
      </c>
      <c r="W23" s="1877"/>
      <c r="X23" s="1877"/>
      <c r="Y23" s="1883"/>
    </row>
    <row r="24" spans="1:25" ht="48" customHeight="1" x14ac:dyDescent="0.25">
      <c r="A24" s="63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849" t="s">
        <v>47</v>
      </c>
      <c r="U24" s="51" t="s">
        <v>62</v>
      </c>
      <c r="V24" s="1879">
        <f>V14+V16+V17-V18-V19-V20-V22+V23-V21</f>
        <v>3173.9225000000006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9968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34"/>
      <c r="J33" s="63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842" t="s">
        <v>371</v>
      </c>
      <c r="U3" s="1842"/>
      <c r="V3" s="1842"/>
      <c r="W3" s="1842"/>
      <c r="X3" s="1842"/>
      <c r="Y3" s="1842"/>
    </row>
    <row r="4" spans="1:25" s="63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35" customFormat="1" ht="25.5" customHeight="1" x14ac:dyDescent="0.25">
      <c r="A5" s="1843"/>
      <c r="B5" s="184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14" t="s">
        <v>339</v>
      </c>
      <c r="R14" s="1915"/>
      <c r="S14" s="644"/>
      <c r="T14" s="1849" t="s">
        <v>46</v>
      </c>
      <c r="U14" s="636" t="s">
        <v>176</v>
      </c>
      <c r="V14" s="1874">
        <v>3174</v>
      </c>
      <c r="W14" s="1875"/>
      <c r="X14" s="1876"/>
    </row>
    <row r="15" spans="1:25" ht="22.5" customHeight="1" x14ac:dyDescent="0.25">
      <c r="A15" s="100" t="s">
        <v>38</v>
      </c>
      <c r="B15" s="1874">
        <v>233027</v>
      </c>
      <c r="C15" s="1876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874">
        <v>22</v>
      </c>
      <c r="R15" s="1876"/>
      <c r="S15" s="636">
        <v>0</v>
      </c>
      <c r="T15" s="1849"/>
      <c r="U15" s="636" t="s">
        <v>64</v>
      </c>
      <c r="V15" s="1877">
        <v>9968</v>
      </c>
      <c r="W15" s="1877"/>
      <c r="X15" s="1877"/>
    </row>
    <row r="16" spans="1:25" ht="24.75" customHeight="1" x14ac:dyDescent="0.25">
      <c r="A16" s="100" t="s">
        <v>39</v>
      </c>
      <c r="B16" s="1874">
        <v>362649</v>
      </c>
      <c r="C16" s="1876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855"/>
      <c r="R16" s="1855"/>
      <c r="S16" s="641"/>
      <c r="T16" s="1871" t="s">
        <v>55</v>
      </c>
      <c r="U16" s="1871"/>
      <c r="V16" s="1878">
        <f>Y12</f>
        <v>328559.70500000002</v>
      </c>
      <c r="W16" s="1878"/>
      <c r="X16" s="1877"/>
    </row>
    <row r="17" spans="1:25" ht="28.5" customHeight="1" x14ac:dyDescent="0.25">
      <c r="A17" s="101" t="s">
        <v>44</v>
      </c>
      <c r="B17" s="1874">
        <v>90537</v>
      </c>
      <c r="C17" s="1876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855"/>
      <c r="R17" s="1855"/>
      <c r="S17" s="638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162338</v>
      </c>
      <c r="C18" s="1876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877">
        <v>22</v>
      </c>
      <c r="R18" s="1877"/>
      <c r="S18" s="636"/>
      <c r="T18" s="1871" t="s">
        <v>57</v>
      </c>
      <c r="U18" s="1871"/>
      <c r="V18" s="1877">
        <v>580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523875</v>
      </c>
      <c r="C19" s="1876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874">
        <f t="shared" ref="Q19" si="14">Q15+Q16+Q17-Q18</f>
        <v>0</v>
      </c>
      <c r="R19" s="1876"/>
      <c r="S19" s="636">
        <f>S15+S16-S17-S18</f>
        <v>0</v>
      </c>
      <c r="T19" s="1869" t="s">
        <v>48</v>
      </c>
      <c r="U19" s="49" t="s">
        <v>58</v>
      </c>
      <c r="V19" s="1877">
        <v>148000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504229.6875</v>
      </c>
      <c r="C20" s="1904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1336466.6875</v>
      </c>
      <c r="C21" s="1910"/>
      <c r="O21" s="645"/>
      <c r="P21" s="645"/>
      <c r="Q21" s="645"/>
      <c r="R21" s="645"/>
      <c r="T21" s="1900" t="s">
        <v>366</v>
      </c>
      <c r="U21" s="1901"/>
      <c r="V21" s="1911">
        <v>176000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666474</v>
      </c>
      <c r="D22" s="1908">
        <v>148000</v>
      </c>
      <c r="E22" s="1908">
        <v>397500</v>
      </c>
      <c r="F22" s="1908">
        <f>C22-D22+E22</f>
        <v>915974</v>
      </c>
      <c r="G22" s="645"/>
      <c r="Q22" s="645"/>
      <c r="R22" s="645"/>
      <c r="T22" s="1863" t="s">
        <v>83</v>
      </c>
      <c r="U22" s="50" t="s">
        <v>60</v>
      </c>
      <c r="V22" s="1877">
        <v>145930</v>
      </c>
      <c r="W22" s="1877"/>
      <c r="X22" s="1877"/>
      <c r="Y22" s="1883"/>
    </row>
    <row r="23" spans="1:25" ht="39.75" customHeight="1" x14ac:dyDescent="0.25">
      <c r="A23" s="645"/>
      <c r="B23" s="1906"/>
      <c r="C23" s="1909"/>
      <c r="D23" s="1909"/>
      <c r="E23" s="1909"/>
      <c r="F23" s="1909"/>
      <c r="G23" s="645"/>
      <c r="Q23" s="645"/>
      <c r="R23" s="645"/>
      <c r="T23" s="1864"/>
      <c r="U23" s="50" t="s">
        <v>61</v>
      </c>
      <c r="V23" s="1877">
        <v>148000</v>
      </c>
      <c r="W23" s="1877"/>
      <c r="X23" s="1877"/>
      <c r="Y23" s="1883"/>
    </row>
    <row r="24" spans="1:25" ht="48" customHeight="1" x14ac:dyDescent="0.25">
      <c r="A24" s="64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849" t="s">
        <v>47</v>
      </c>
      <c r="U24" s="51" t="s">
        <v>62</v>
      </c>
      <c r="V24" s="1879">
        <f>V14+V16+V17-V18-V19-V20-V22+V23-V21</f>
        <v>9223.7050000000163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7898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45"/>
      <c r="J33" s="64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842" t="s">
        <v>372</v>
      </c>
      <c r="U3" s="1842"/>
      <c r="V3" s="1842"/>
      <c r="W3" s="1842"/>
      <c r="X3" s="1842"/>
      <c r="Y3" s="1842"/>
    </row>
    <row r="4" spans="1:25" s="63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35" customFormat="1" ht="25.5" customHeight="1" x14ac:dyDescent="0.25">
      <c r="A5" s="1843"/>
      <c r="B5" s="184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14"/>
      <c r="R14" s="1915"/>
      <c r="S14" s="644"/>
      <c r="T14" s="1849" t="s">
        <v>46</v>
      </c>
      <c r="U14" s="636" t="s">
        <v>176</v>
      </c>
      <c r="V14" s="1874">
        <v>9224</v>
      </c>
      <c r="W14" s="1875"/>
      <c r="X14" s="1876"/>
    </row>
    <row r="15" spans="1:25" ht="22.5" customHeight="1" x14ac:dyDescent="0.25">
      <c r="A15" s="100" t="s">
        <v>38</v>
      </c>
      <c r="B15" s="1874">
        <v>523875</v>
      </c>
      <c r="C15" s="1876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874"/>
      <c r="R15" s="1876"/>
      <c r="S15" s="636"/>
      <c r="T15" s="1849"/>
      <c r="U15" s="636" t="s">
        <v>64</v>
      </c>
      <c r="V15" s="1877">
        <v>7898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855"/>
      <c r="R16" s="1855"/>
      <c r="S16" s="641"/>
      <c r="T16" s="1871" t="s">
        <v>55</v>
      </c>
      <c r="U16" s="1871"/>
      <c r="V16" s="1878">
        <f>Y12</f>
        <v>212285.09000000003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855"/>
      <c r="R17" s="1855"/>
      <c r="S17" s="638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119124</v>
      </c>
      <c r="C18" s="1876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877"/>
      <c r="R18" s="1877"/>
      <c r="S18" s="636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404751</v>
      </c>
      <c r="C19" s="1876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874">
        <f t="shared" ref="Q19" si="14">Q15+Q16+Q17-Q18</f>
        <v>0</v>
      </c>
      <c r="R19" s="1876"/>
      <c r="S19" s="636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389572.83750000002</v>
      </c>
      <c r="C20" s="1904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1126222.1375</v>
      </c>
      <c r="C21" s="1910"/>
      <c r="O21" s="645"/>
      <c r="P21" s="645"/>
      <c r="Q21" s="645"/>
      <c r="R21" s="645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915974</v>
      </c>
      <c r="D22" s="1908"/>
      <c r="E22" s="1908"/>
      <c r="F22" s="1908">
        <f>C22-D22+E22</f>
        <v>915974</v>
      </c>
      <c r="G22" s="645"/>
      <c r="Q22" s="645"/>
      <c r="R22" s="645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645"/>
      <c r="B23" s="1906"/>
      <c r="C23" s="1909"/>
      <c r="D23" s="1909"/>
      <c r="E23" s="1909"/>
      <c r="F23" s="1909"/>
      <c r="G23" s="645"/>
      <c r="Q23" s="645"/>
      <c r="R23" s="645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64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849" t="s">
        <v>47</v>
      </c>
      <c r="U24" s="51" t="s">
        <v>62</v>
      </c>
      <c r="V24" s="1879">
        <f>V14+V16+V17-V18-V19-V20-V22+V23-V21</f>
        <v>220989.09000000003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7898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45"/>
      <c r="J33" s="64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842" t="s">
        <v>373</v>
      </c>
      <c r="U3" s="1842"/>
      <c r="V3" s="1842"/>
      <c r="W3" s="1842"/>
      <c r="X3" s="1842"/>
      <c r="Y3" s="1842"/>
    </row>
    <row r="4" spans="1:25" s="63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35" customFormat="1" ht="25.5" customHeight="1" x14ac:dyDescent="0.25">
      <c r="A5" s="1843"/>
      <c r="B5" s="184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14"/>
      <c r="R14" s="1915"/>
      <c r="S14" s="644"/>
      <c r="T14" s="1849" t="s">
        <v>46</v>
      </c>
      <c r="U14" s="636" t="s">
        <v>176</v>
      </c>
      <c r="V14" s="1874">
        <v>220989</v>
      </c>
      <c r="W14" s="1875"/>
      <c r="X14" s="1876"/>
    </row>
    <row r="15" spans="1:25" ht="22.5" customHeight="1" x14ac:dyDescent="0.25">
      <c r="A15" s="100" t="s">
        <v>38</v>
      </c>
      <c r="B15" s="1874">
        <v>404751</v>
      </c>
      <c r="C15" s="1876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874"/>
      <c r="R15" s="1876"/>
      <c r="S15" s="636"/>
      <c r="T15" s="1849"/>
      <c r="U15" s="636" t="s">
        <v>64</v>
      </c>
      <c r="V15" s="1877">
        <v>7898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855"/>
      <c r="R16" s="1855"/>
      <c r="S16" s="641"/>
      <c r="T16" s="1871" t="s">
        <v>55</v>
      </c>
      <c r="U16" s="1871"/>
      <c r="V16" s="1878">
        <f>Y12</f>
        <v>310838.07750000001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855"/>
      <c r="R17" s="1855"/>
      <c r="S17" s="638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110579</v>
      </c>
      <c r="C18" s="1876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877"/>
      <c r="R18" s="1877"/>
      <c r="S18" s="636"/>
      <c r="T18" s="1871" t="s">
        <v>57</v>
      </c>
      <c r="U18" s="1871"/>
      <c r="V18" s="1877">
        <v>88012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294172</v>
      </c>
      <c r="C19" s="1876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874">
        <f t="shared" ref="Q19" si="14">Q15+Q16+Q17-Q18</f>
        <v>0</v>
      </c>
      <c r="R19" s="1876"/>
      <c r="S19" s="636">
        <f>S15+S16-S17-S18</f>
        <v>0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283140.55</v>
      </c>
      <c r="C20" s="1904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817924.75</v>
      </c>
      <c r="C21" s="1910"/>
      <c r="O21" s="645"/>
      <c r="P21" s="645"/>
      <c r="Q21" s="645"/>
      <c r="R21" s="645"/>
      <c r="T21" s="1900" t="s">
        <v>366</v>
      </c>
      <c r="U21" s="1901"/>
      <c r="V21" s="1911">
        <v>39000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915974</v>
      </c>
      <c r="D22" s="1908">
        <v>400000</v>
      </c>
      <c r="E22" s="1908"/>
      <c r="F22" s="1908">
        <f>C22-D22+E22</f>
        <v>515974</v>
      </c>
      <c r="G22" s="645"/>
      <c r="Q22" s="645"/>
      <c r="R22" s="645"/>
      <c r="T22" s="1863" t="s">
        <v>83</v>
      </c>
      <c r="U22" s="50" t="s">
        <v>60</v>
      </c>
      <c r="V22" s="1877">
        <v>402690</v>
      </c>
      <c r="W22" s="1877"/>
      <c r="X22" s="1877"/>
      <c r="Y22" s="1883"/>
    </row>
    <row r="23" spans="1:25" ht="39.75" customHeight="1" x14ac:dyDescent="0.25">
      <c r="A23" s="645"/>
      <c r="B23" s="1906"/>
      <c r="C23" s="1909"/>
      <c r="D23" s="1909"/>
      <c r="E23" s="1909"/>
      <c r="F23" s="1909"/>
      <c r="G23" s="645"/>
      <c r="Q23" s="645"/>
      <c r="R23" s="645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64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849" t="s">
        <v>47</v>
      </c>
      <c r="U24" s="51" t="s">
        <v>62</v>
      </c>
      <c r="V24" s="1879">
        <f>V14+V16+V17-V18-V19-V20-V22+V23-V21</f>
        <v>2125.077500000014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10588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45"/>
      <c r="J33" s="64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842" t="s">
        <v>374</v>
      </c>
      <c r="U3" s="1842"/>
      <c r="V3" s="1842"/>
      <c r="W3" s="1842"/>
      <c r="X3" s="1842"/>
      <c r="Y3" s="1842"/>
    </row>
    <row r="4" spans="1:25" s="63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35" customFormat="1" ht="25.5" customHeight="1" x14ac:dyDescent="0.25">
      <c r="A5" s="1843"/>
      <c r="B5" s="1843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914"/>
      <c r="R14" s="1915"/>
      <c r="S14" s="644"/>
      <c r="T14" s="1849" t="s">
        <v>46</v>
      </c>
      <c r="U14" s="636" t="s">
        <v>176</v>
      </c>
      <c r="V14" s="1874">
        <v>2125</v>
      </c>
      <c r="W14" s="1875"/>
      <c r="X14" s="1876"/>
    </row>
    <row r="15" spans="1:25" ht="22.5" customHeight="1" x14ac:dyDescent="0.25">
      <c r="A15" s="100" t="s">
        <v>38</v>
      </c>
      <c r="B15" s="1874">
        <v>294172</v>
      </c>
      <c r="C15" s="1876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874"/>
      <c r="R15" s="1876"/>
      <c r="S15" s="636"/>
      <c r="T15" s="1849"/>
      <c r="U15" s="636" t="s">
        <v>64</v>
      </c>
      <c r="V15" s="1877">
        <v>10588</v>
      </c>
      <c r="W15" s="1877"/>
      <c r="X15" s="1877"/>
    </row>
    <row r="16" spans="1:25" ht="24.75" customHeight="1" x14ac:dyDescent="0.25">
      <c r="A16" s="100" t="s">
        <v>39</v>
      </c>
      <c r="B16" s="1874">
        <v>124675</v>
      </c>
      <c r="C16" s="1876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855"/>
      <c r="R16" s="1855"/>
      <c r="S16" s="641"/>
      <c r="T16" s="1871" t="s">
        <v>55</v>
      </c>
      <c r="U16" s="1871"/>
      <c r="V16" s="1878">
        <f>Y12</f>
        <v>206899.86250000002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855"/>
      <c r="R17" s="1855"/>
      <c r="S17" s="638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120005</v>
      </c>
      <c r="C18" s="1876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877"/>
      <c r="R18" s="1877"/>
      <c r="S18" s="636"/>
      <c r="T18" s="1871" t="s">
        <v>57</v>
      </c>
      <c r="U18" s="1871"/>
      <c r="V18" s="1877">
        <v>38720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298842</v>
      </c>
      <c r="C19" s="1876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874">
        <f t="shared" ref="Q19" si="14">Q15+Q16+Q17-Q18</f>
        <v>0</v>
      </c>
      <c r="R19" s="1876"/>
      <c r="S19" s="636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287635.42499999999</v>
      </c>
      <c r="C20" s="1904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733465.72499999998</v>
      </c>
      <c r="C21" s="1910"/>
      <c r="O21" s="645"/>
      <c r="P21" s="645"/>
      <c r="Q21" s="645"/>
      <c r="R21" s="645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515974</v>
      </c>
      <c r="D22" s="1908"/>
      <c r="E22" s="1908">
        <v>120000</v>
      </c>
      <c r="F22" s="1908">
        <f>C22-D22+E22</f>
        <v>635974</v>
      </c>
      <c r="G22" s="645"/>
      <c r="Q22" s="645"/>
      <c r="R22" s="645"/>
      <c r="T22" s="1863" t="s">
        <v>83</v>
      </c>
      <c r="U22" s="50" t="s">
        <v>60</v>
      </c>
      <c r="V22" s="1877">
        <v>169680</v>
      </c>
      <c r="W22" s="1877"/>
      <c r="X22" s="1877"/>
      <c r="Y22" s="1883"/>
    </row>
    <row r="23" spans="1:25" ht="39.75" customHeight="1" x14ac:dyDescent="0.25">
      <c r="A23" s="645"/>
      <c r="B23" s="1906"/>
      <c r="C23" s="1909"/>
      <c r="D23" s="1909"/>
      <c r="E23" s="1909"/>
      <c r="F23" s="1909"/>
      <c r="G23" s="645"/>
      <c r="Q23" s="645"/>
      <c r="R23" s="645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64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849" t="s">
        <v>47</v>
      </c>
      <c r="U24" s="51" t="s">
        <v>62</v>
      </c>
      <c r="V24" s="1879">
        <f>V14+V16+V17-V18-V19-V20-V22+V23-V21</f>
        <v>624.86250000001746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180268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45"/>
      <c r="J33" s="64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842" t="s">
        <v>375</v>
      </c>
      <c r="U3" s="1842"/>
      <c r="V3" s="1842"/>
      <c r="W3" s="1842"/>
      <c r="X3" s="1842"/>
      <c r="Y3" s="1842"/>
    </row>
    <row r="4" spans="1:25" s="64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46" customFormat="1" ht="25.5" customHeight="1" x14ac:dyDescent="0.25">
      <c r="A5" s="1843"/>
      <c r="B5" s="1843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914"/>
      <c r="R14" s="1915"/>
      <c r="S14" s="655"/>
      <c r="T14" s="1849" t="s">
        <v>46</v>
      </c>
      <c r="U14" s="647" t="s">
        <v>176</v>
      </c>
      <c r="V14" s="1874">
        <v>625</v>
      </c>
      <c r="W14" s="1875"/>
      <c r="X14" s="1876"/>
    </row>
    <row r="15" spans="1:25" ht="22.5" customHeight="1" x14ac:dyDescent="0.25">
      <c r="A15" s="100" t="s">
        <v>38</v>
      </c>
      <c r="B15" s="1874">
        <v>298842</v>
      </c>
      <c r="C15" s="1876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874"/>
      <c r="R15" s="1876"/>
      <c r="S15" s="647"/>
      <c r="T15" s="1849"/>
      <c r="U15" s="647" t="s">
        <v>64</v>
      </c>
      <c r="V15" s="1877">
        <v>180268</v>
      </c>
      <c r="W15" s="1877"/>
      <c r="X15" s="1877"/>
    </row>
    <row r="16" spans="1:25" ht="24.75" customHeight="1" x14ac:dyDescent="0.25">
      <c r="A16" s="100" t="s">
        <v>39</v>
      </c>
      <c r="B16" s="1874">
        <v>135064</v>
      </c>
      <c r="C16" s="1876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855"/>
      <c r="R16" s="1855"/>
      <c r="S16" s="652"/>
      <c r="T16" s="1871" t="s">
        <v>55</v>
      </c>
      <c r="U16" s="1871"/>
      <c r="V16" s="1878">
        <f>Y12</f>
        <v>196645.065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855"/>
      <c r="R17" s="1855"/>
      <c r="S17" s="649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135634</v>
      </c>
      <c r="C18" s="1876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877"/>
      <c r="R18" s="1877"/>
      <c r="S18" s="647"/>
      <c r="T18" s="1871" t="s">
        <v>57</v>
      </c>
      <c r="U18" s="1871"/>
      <c r="V18" s="1877">
        <v>2370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298272</v>
      </c>
      <c r="C19" s="1876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874">
        <f t="shared" ref="Q19" si="14">Q15+Q16+Q17-Q18</f>
        <v>0</v>
      </c>
      <c r="R19" s="1876"/>
      <c r="S19" s="647">
        <f>S15+S16-S17-S18</f>
        <v>0</v>
      </c>
      <c r="T19" s="1869" t="s">
        <v>48</v>
      </c>
      <c r="U19" s="49" t="s">
        <v>58</v>
      </c>
      <c r="V19" s="1877">
        <v>120000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287086.8</v>
      </c>
      <c r="C20" s="1904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668585.69999999995</v>
      </c>
      <c r="C21" s="1910"/>
      <c r="O21" s="656"/>
      <c r="P21" s="656"/>
      <c r="Q21" s="656"/>
      <c r="R21" s="656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635974</v>
      </c>
      <c r="D22" s="1908">
        <v>120000</v>
      </c>
      <c r="E22" s="1908">
        <v>130000</v>
      </c>
      <c r="F22" s="1908">
        <f>C22-D22+E22</f>
        <v>645974</v>
      </c>
      <c r="G22" s="656"/>
      <c r="Q22" s="656"/>
      <c r="R22" s="656"/>
      <c r="T22" s="1863" t="s">
        <v>83</v>
      </c>
      <c r="U22" s="50" t="s">
        <v>60</v>
      </c>
      <c r="V22" s="1877">
        <v>193570</v>
      </c>
      <c r="W22" s="1877"/>
      <c r="X22" s="1877"/>
      <c r="Y22" s="1883"/>
    </row>
    <row r="23" spans="1:25" ht="39.75" customHeight="1" x14ac:dyDescent="0.25">
      <c r="A23" s="656"/>
      <c r="B23" s="1906"/>
      <c r="C23" s="1909"/>
      <c r="D23" s="1909"/>
      <c r="E23" s="1909"/>
      <c r="F23" s="1909"/>
      <c r="G23" s="656"/>
      <c r="Q23" s="656"/>
      <c r="R23" s="656"/>
      <c r="T23" s="1864"/>
      <c r="U23" s="50" t="s">
        <v>61</v>
      </c>
      <c r="V23" s="1877">
        <v>120000</v>
      </c>
      <c r="W23" s="1877"/>
      <c r="X23" s="1877"/>
      <c r="Y23" s="1883"/>
    </row>
    <row r="24" spans="1:25" ht="48" customHeight="1" x14ac:dyDescent="0.25">
      <c r="A24" s="65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849" t="s">
        <v>47</v>
      </c>
      <c r="U24" s="51" t="s">
        <v>62</v>
      </c>
      <c r="V24" s="1879">
        <f>V14+V16+V17-V18-V19-V20-V22+V23-V21</f>
        <v>1330.0650000000023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253838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56"/>
      <c r="J33" s="65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842" t="s">
        <v>376</v>
      </c>
      <c r="U3" s="1842"/>
      <c r="V3" s="1842"/>
      <c r="W3" s="1842"/>
      <c r="X3" s="1842"/>
      <c r="Y3" s="1842"/>
    </row>
    <row r="4" spans="1:25" s="66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62" customFormat="1" ht="25.5" customHeight="1" x14ac:dyDescent="0.25">
      <c r="A5" s="1843"/>
      <c r="B5" s="1843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914"/>
      <c r="R14" s="1915"/>
      <c r="S14" s="666"/>
      <c r="T14" s="1849" t="s">
        <v>46</v>
      </c>
      <c r="U14" s="660" t="s">
        <v>176</v>
      </c>
      <c r="V14" s="1874">
        <v>1330</v>
      </c>
      <c r="W14" s="1875"/>
      <c r="X14" s="1876"/>
    </row>
    <row r="15" spans="1:25" ht="22.5" customHeight="1" x14ac:dyDescent="0.25">
      <c r="A15" s="100" t="s">
        <v>38</v>
      </c>
      <c r="B15" s="1874">
        <v>298272</v>
      </c>
      <c r="C15" s="1876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874"/>
      <c r="R15" s="1876"/>
      <c r="S15" s="660"/>
      <c r="T15" s="1849"/>
      <c r="U15" s="660" t="s">
        <v>64</v>
      </c>
      <c r="V15" s="1877">
        <v>253838</v>
      </c>
      <c r="W15" s="1877"/>
      <c r="X15" s="1877"/>
    </row>
    <row r="16" spans="1:25" ht="24.75" customHeight="1" x14ac:dyDescent="0.25">
      <c r="A16" s="100" t="s">
        <v>39</v>
      </c>
      <c r="B16" s="1874">
        <v>155844</v>
      </c>
      <c r="C16" s="1876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855"/>
      <c r="R16" s="1855"/>
      <c r="S16" s="663"/>
      <c r="T16" s="1871" t="s">
        <v>55</v>
      </c>
      <c r="U16" s="1871"/>
      <c r="V16" s="1878">
        <f>Y12</f>
        <v>182810.08249999999</v>
      </c>
      <c r="W16" s="1878"/>
      <c r="X16" s="1877"/>
    </row>
    <row r="17" spans="1:25" ht="28.5" customHeight="1" x14ac:dyDescent="0.25">
      <c r="A17" s="101" t="s">
        <v>44</v>
      </c>
      <c r="B17" s="1874">
        <v>14663</v>
      </c>
      <c r="C17" s="1876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855"/>
      <c r="R17" s="1855"/>
      <c r="S17" s="659"/>
      <c r="T17" s="1900" t="s">
        <v>362</v>
      </c>
      <c r="U17" s="1901"/>
      <c r="V17" s="1902">
        <v>125000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154837</v>
      </c>
      <c r="C18" s="1876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877"/>
      <c r="R18" s="1877"/>
      <c r="S18" s="660"/>
      <c r="T18" s="1871" t="s">
        <v>57</v>
      </c>
      <c r="U18" s="1871"/>
      <c r="V18" s="1877">
        <v>915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313942</v>
      </c>
      <c r="C19" s="1876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874">
        <f t="shared" ref="Q19" si="14">Q15+Q16+Q17-Q18</f>
        <v>0</v>
      </c>
      <c r="R19" s="1876"/>
      <c r="S19" s="660">
        <f>S15+S16-S17-S18</f>
        <v>0</v>
      </c>
      <c r="T19" s="1869" t="s">
        <v>48</v>
      </c>
      <c r="U19" s="49" t="s">
        <v>58</v>
      </c>
      <c r="V19" s="1877">
        <v>538874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302169.17499999999</v>
      </c>
      <c r="C20" s="1904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903">
        <f>241*Q19</f>
        <v>0</v>
      </c>
      <c r="R20" s="1904"/>
      <c r="S20" s="290">
        <f>241*S19</f>
        <v>0</v>
      </c>
      <c r="T20" s="1870"/>
      <c r="U20" s="49" t="s">
        <v>59</v>
      </c>
      <c r="V20" s="1877">
        <v>9881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682160.36499999999</v>
      </c>
      <c r="C21" s="1910"/>
      <c r="O21" s="667"/>
      <c r="P21" s="667"/>
      <c r="Q21" s="667"/>
      <c r="R21" s="667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645974</v>
      </c>
      <c r="D22" s="1908">
        <v>538874</v>
      </c>
      <c r="E22" s="1908">
        <v>170597</v>
      </c>
      <c r="F22" s="1908">
        <f>C22-D22+E22</f>
        <v>277697</v>
      </c>
      <c r="G22" s="667"/>
      <c r="Q22" s="667"/>
      <c r="R22" s="667"/>
      <c r="T22" s="1863" t="s">
        <v>83</v>
      </c>
      <c r="U22" s="50" t="s">
        <v>60</v>
      </c>
      <c r="V22" s="1877">
        <v>297350</v>
      </c>
      <c r="W22" s="1877"/>
      <c r="X22" s="1877"/>
      <c r="Y22" s="1883"/>
    </row>
    <row r="23" spans="1:25" ht="39.75" customHeight="1" x14ac:dyDescent="0.25">
      <c r="A23" s="667"/>
      <c r="B23" s="1906"/>
      <c r="C23" s="1909"/>
      <c r="D23" s="1909"/>
      <c r="E23" s="1909"/>
      <c r="F23" s="1909"/>
      <c r="G23" s="667"/>
      <c r="Q23" s="667"/>
      <c r="R23" s="667"/>
      <c r="T23" s="1864"/>
      <c r="U23" s="50" t="s">
        <v>61</v>
      </c>
      <c r="V23" s="1877">
        <v>538874</v>
      </c>
      <c r="W23" s="1877"/>
      <c r="X23" s="1877"/>
      <c r="Y23" s="1883"/>
    </row>
    <row r="24" spans="1:25" ht="48" customHeight="1" x14ac:dyDescent="0.25">
      <c r="A24" s="66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849" t="s">
        <v>47</v>
      </c>
      <c r="U24" s="51" t="s">
        <v>62</v>
      </c>
      <c r="V24" s="1879">
        <f>V14+V16+V17-V18-V19-V20-V22+V23-V21</f>
        <v>994.08250000001863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12314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67"/>
      <c r="J33" s="66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842" t="s">
        <v>377</v>
      </c>
      <c r="U3" s="1842"/>
      <c r="V3" s="1842"/>
      <c r="W3" s="1842"/>
      <c r="X3" s="1842"/>
      <c r="Y3" s="1842"/>
    </row>
    <row r="4" spans="1:25" s="67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13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73" customFormat="1" ht="25.5" customHeight="1" x14ac:dyDescent="0.25">
      <c r="A5" s="1843"/>
      <c r="B5" s="1843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914" t="s">
        <v>378</v>
      </c>
      <c r="R14" s="1915"/>
      <c r="S14" s="677"/>
      <c r="T14" s="1849" t="s">
        <v>46</v>
      </c>
      <c r="U14" s="671" t="s">
        <v>176</v>
      </c>
      <c r="V14" s="1874">
        <v>994</v>
      </c>
      <c r="W14" s="1875"/>
      <c r="X14" s="1876"/>
    </row>
    <row r="15" spans="1:25" ht="22.5" customHeight="1" x14ac:dyDescent="0.25">
      <c r="A15" s="100" t="s">
        <v>38</v>
      </c>
      <c r="B15" s="1874">
        <v>313942</v>
      </c>
      <c r="C15" s="1876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874"/>
      <c r="R15" s="1876"/>
      <c r="S15" s="671"/>
      <c r="T15" s="1849"/>
      <c r="U15" s="671" t="s">
        <v>64</v>
      </c>
      <c r="V15" s="1877">
        <v>12314</v>
      </c>
      <c r="W15" s="1877"/>
      <c r="X15" s="1877"/>
    </row>
    <row r="16" spans="1:25" ht="24.75" customHeight="1" x14ac:dyDescent="0.25">
      <c r="A16" s="100" t="s">
        <v>39</v>
      </c>
      <c r="B16" s="1874">
        <v>256379</v>
      </c>
      <c r="C16" s="1876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855">
        <v>100</v>
      </c>
      <c r="R16" s="1855"/>
      <c r="S16" s="674"/>
      <c r="T16" s="1871" t="s">
        <v>55</v>
      </c>
      <c r="U16" s="1871"/>
      <c r="V16" s="1878">
        <f>Y12</f>
        <v>357148.92749999999</v>
      </c>
      <c r="W16" s="1878"/>
      <c r="X16" s="1877"/>
    </row>
    <row r="17" spans="1:25" ht="28.5" customHeight="1" x14ac:dyDescent="0.25">
      <c r="A17" s="101" t="s">
        <v>44</v>
      </c>
      <c r="B17" s="1874">
        <v>94221</v>
      </c>
      <c r="C17" s="1876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855"/>
      <c r="R17" s="1855"/>
      <c r="S17" s="670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218439</v>
      </c>
      <c r="C18" s="1876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877"/>
      <c r="R18" s="1877"/>
      <c r="S18" s="671"/>
      <c r="T18" s="1871" t="s">
        <v>57</v>
      </c>
      <c r="U18" s="1871"/>
      <c r="V18" s="1877">
        <v>105320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446103</v>
      </c>
      <c r="C19" s="1876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874">
        <f t="shared" ref="Q19" si="14">Q15+Q16+Q17-Q18</f>
        <v>100</v>
      </c>
      <c r="R19" s="1876"/>
      <c r="S19" s="671">
        <f>S15+S16-S17-S18</f>
        <v>0</v>
      </c>
      <c r="T19" s="1869" t="s">
        <v>48</v>
      </c>
      <c r="U19" s="49" t="s">
        <v>58</v>
      </c>
      <c r="V19" s="1877">
        <v>170597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429374.13750000001</v>
      </c>
      <c r="C20" s="1904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>
        <v>36500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854622.62749999994</v>
      </c>
      <c r="C21" s="1910"/>
      <c r="O21" s="678"/>
      <c r="P21" s="678"/>
      <c r="Q21" s="678"/>
      <c r="R21" s="678"/>
      <c r="T21" s="1900" t="s">
        <v>366</v>
      </c>
      <c r="U21" s="1901"/>
      <c r="V21" s="1911">
        <v>50000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277697</v>
      </c>
      <c r="D22" s="1908">
        <v>170597</v>
      </c>
      <c r="E22" s="1908">
        <v>400000</v>
      </c>
      <c r="F22" s="1908">
        <f>C22-D22+E22</f>
        <v>507100</v>
      </c>
      <c r="G22" s="678"/>
      <c r="Q22" s="678"/>
      <c r="R22" s="678"/>
      <c r="T22" s="1863" t="s">
        <v>83</v>
      </c>
      <c r="U22" s="50" t="s">
        <v>60</v>
      </c>
      <c r="V22" s="1877">
        <v>165940</v>
      </c>
      <c r="W22" s="1877"/>
      <c r="X22" s="1877"/>
      <c r="Y22" s="1883"/>
    </row>
    <row r="23" spans="1:25" ht="39.75" customHeight="1" x14ac:dyDescent="0.25">
      <c r="A23" s="678"/>
      <c r="B23" s="1906"/>
      <c r="C23" s="1909"/>
      <c r="D23" s="1909"/>
      <c r="E23" s="1909"/>
      <c r="F23" s="1909"/>
      <c r="G23" s="678"/>
      <c r="Q23" s="678"/>
      <c r="R23" s="678"/>
      <c r="T23" s="1864"/>
      <c r="U23" s="50" t="s">
        <v>61</v>
      </c>
      <c r="V23" s="1877">
        <v>170597</v>
      </c>
      <c r="W23" s="1877"/>
      <c r="X23" s="1877"/>
      <c r="Y23" s="1883"/>
    </row>
    <row r="24" spans="1:25" ht="48" customHeight="1" x14ac:dyDescent="0.25">
      <c r="A24" s="67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849" t="s">
        <v>47</v>
      </c>
      <c r="U24" s="51" t="s">
        <v>62</v>
      </c>
      <c r="V24" s="1879">
        <f>V14+V16+V17-V18-V19-V20-V22+V23-V21</f>
        <v>382.92749999999069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7657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78"/>
      <c r="J33" s="67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842" t="s">
        <v>379</v>
      </c>
      <c r="U3" s="1842"/>
      <c r="V3" s="1842"/>
      <c r="W3" s="1842"/>
      <c r="X3" s="1842"/>
      <c r="Y3" s="1842"/>
    </row>
    <row r="4" spans="1:25" s="67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79" customFormat="1" ht="25.5" customHeight="1" x14ac:dyDescent="0.25">
      <c r="A5" s="1843"/>
      <c r="B5" s="1843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914" t="s">
        <v>378</v>
      </c>
      <c r="R14" s="1915"/>
      <c r="S14" s="688"/>
      <c r="T14" s="1849" t="s">
        <v>46</v>
      </c>
      <c r="U14" s="680" t="s">
        <v>176</v>
      </c>
      <c r="V14" s="1874">
        <v>383</v>
      </c>
      <c r="W14" s="1875"/>
      <c r="X14" s="1876"/>
    </row>
    <row r="15" spans="1:25" ht="22.5" customHeight="1" x14ac:dyDescent="0.25">
      <c r="A15" s="100" t="s">
        <v>38</v>
      </c>
      <c r="B15" s="1874">
        <v>446103</v>
      </c>
      <c r="C15" s="1876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874">
        <v>100</v>
      </c>
      <c r="R15" s="1876"/>
      <c r="S15" s="680"/>
      <c r="T15" s="1849"/>
      <c r="U15" s="680" t="s">
        <v>64</v>
      </c>
      <c r="V15" s="1877">
        <v>7657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855"/>
      <c r="R16" s="1855"/>
      <c r="S16" s="685"/>
      <c r="T16" s="1871" t="s">
        <v>55</v>
      </c>
      <c r="U16" s="1871"/>
      <c r="V16" s="1878">
        <f>Y12</f>
        <v>253468.66500000001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855"/>
      <c r="R17" s="1855"/>
      <c r="S17" s="682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111202</v>
      </c>
      <c r="C18" s="1876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877"/>
      <c r="R18" s="1877"/>
      <c r="S18" s="680"/>
      <c r="T18" s="1871" t="s">
        <v>57</v>
      </c>
      <c r="U18" s="1871"/>
      <c r="V18" s="1877">
        <v>852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334901</v>
      </c>
      <c r="C19" s="1876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874">
        <f t="shared" ref="Q19" si="14">Q15+Q16+Q17-Q18</f>
        <v>100</v>
      </c>
      <c r="R19" s="1876"/>
      <c r="S19" s="680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322342.21250000002</v>
      </c>
      <c r="C20" s="1904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>
        <v>13968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617610.38250000007</v>
      </c>
      <c r="C21" s="1910"/>
      <c r="O21" s="689"/>
      <c r="P21" s="689"/>
      <c r="Q21" s="689"/>
      <c r="R21" s="689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507100</v>
      </c>
      <c r="D22" s="1908"/>
      <c r="E22" s="1908">
        <v>13</v>
      </c>
      <c r="F22" s="1908">
        <f>C22-D22+E22</f>
        <v>507113</v>
      </c>
      <c r="G22" s="689"/>
      <c r="Q22" s="689"/>
      <c r="R22" s="689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689"/>
      <c r="B23" s="1906"/>
      <c r="C23" s="1909"/>
      <c r="D23" s="1909"/>
      <c r="E23" s="1909"/>
      <c r="F23" s="1909"/>
      <c r="G23" s="689"/>
      <c r="Q23" s="689"/>
      <c r="R23" s="689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68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849" t="s">
        <v>47</v>
      </c>
      <c r="U24" s="51" t="s">
        <v>62</v>
      </c>
      <c r="V24" s="1879">
        <f>V14+V16+V17-V18-V19-V20-V22+V23-V21</f>
        <v>239031.66500000001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7657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689"/>
      <c r="J33" s="689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842" t="s">
        <v>380</v>
      </c>
      <c r="U3" s="1842"/>
      <c r="V3" s="1842"/>
      <c r="W3" s="1842"/>
      <c r="X3" s="1842"/>
      <c r="Y3" s="1842"/>
    </row>
    <row r="4" spans="1:25" s="69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95" customFormat="1" ht="25.5" customHeight="1" x14ac:dyDescent="0.25">
      <c r="A5" s="1843"/>
      <c r="B5" s="184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14" t="s">
        <v>378</v>
      </c>
      <c r="R14" s="1915"/>
      <c r="S14" s="699"/>
      <c r="T14" s="1849" t="s">
        <v>46</v>
      </c>
      <c r="U14" s="693" t="s">
        <v>176</v>
      </c>
      <c r="V14" s="1874">
        <v>239032</v>
      </c>
      <c r="W14" s="1875"/>
      <c r="X14" s="1876"/>
    </row>
    <row r="15" spans="1:25" ht="22.5" customHeight="1" x14ac:dyDescent="0.25">
      <c r="A15" s="100" t="s">
        <v>38</v>
      </c>
      <c r="B15" s="1874">
        <v>334901</v>
      </c>
      <c r="C15" s="1876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874">
        <v>100</v>
      </c>
      <c r="R15" s="1876"/>
      <c r="S15" s="693"/>
      <c r="T15" s="1849"/>
      <c r="U15" s="693" t="s">
        <v>64</v>
      </c>
      <c r="V15" s="1877">
        <v>7657</v>
      </c>
      <c r="W15" s="1877"/>
      <c r="X15" s="1877"/>
    </row>
    <row r="16" spans="1:25" ht="24.75" customHeight="1" x14ac:dyDescent="0.25">
      <c r="A16" s="100" t="s">
        <v>39</v>
      </c>
      <c r="B16" s="1874">
        <v>88311</v>
      </c>
      <c r="C16" s="1876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855"/>
      <c r="R16" s="1855"/>
      <c r="S16" s="696"/>
      <c r="T16" s="1871" t="s">
        <v>55</v>
      </c>
      <c r="U16" s="1871"/>
      <c r="V16" s="1878">
        <f>Y12</f>
        <v>193802.3075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855"/>
      <c r="R17" s="1855"/>
      <c r="S17" s="692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130959</v>
      </c>
      <c r="C18" s="1876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877"/>
      <c r="R18" s="1877"/>
      <c r="S18" s="693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292253</v>
      </c>
      <c r="C19" s="1876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874">
        <f t="shared" ref="Q19" si="14">Q15+Q16+Q17-Q18</f>
        <v>100</v>
      </c>
      <c r="R19" s="1876"/>
      <c r="S19" s="693">
        <f>S15+S16-S17-S18</f>
        <v>0</v>
      </c>
      <c r="T19" s="1869" t="s">
        <v>48</v>
      </c>
      <c r="U19" s="49" t="s">
        <v>58</v>
      </c>
      <c r="V19" s="1877">
        <v>431250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281293.51250000001</v>
      </c>
      <c r="C20" s="1904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936821.70250000001</v>
      </c>
      <c r="C21" s="1910"/>
      <c r="O21" s="700"/>
      <c r="P21" s="700"/>
      <c r="Q21" s="700"/>
      <c r="R21" s="700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507113</v>
      </c>
      <c r="D22" s="1908">
        <v>431250</v>
      </c>
      <c r="E22" s="1908">
        <v>510930</v>
      </c>
      <c r="F22" s="1908">
        <f>C22-D22+E22</f>
        <v>586793</v>
      </c>
      <c r="G22" s="700"/>
      <c r="Q22" s="700"/>
      <c r="R22" s="700"/>
      <c r="T22" s="1863" t="s">
        <v>83</v>
      </c>
      <c r="U22" s="50" t="s">
        <v>60</v>
      </c>
      <c r="V22" s="1877">
        <v>430870</v>
      </c>
      <c r="W22" s="1877"/>
      <c r="X22" s="1877"/>
      <c r="Y22" s="1883"/>
    </row>
    <row r="23" spans="1:25" ht="39.75" customHeight="1" x14ac:dyDescent="0.25">
      <c r="A23" s="700"/>
      <c r="B23" s="1906"/>
      <c r="C23" s="1909"/>
      <c r="D23" s="1909"/>
      <c r="E23" s="1909"/>
      <c r="F23" s="1909"/>
      <c r="G23" s="700"/>
      <c r="Q23" s="700"/>
      <c r="R23" s="700"/>
      <c r="T23" s="1864"/>
      <c r="U23" s="50" t="s">
        <v>61</v>
      </c>
      <c r="V23" s="1877">
        <v>431250</v>
      </c>
      <c r="W23" s="1877"/>
      <c r="X23" s="1877"/>
      <c r="Y23" s="1883"/>
    </row>
    <row r="24" spans="1:25" ht="48" customHeight="1" x14ac:dyDescent="0.25">
      <c r="A24" s="70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849" t="s">
        <v>47</v>
      </c>
      <c r="U24" s="51" t="s">
        <v>62</v>
      </c>
      <c r="V24" s="1879">
        <f>V14+V16+V17-V18-V19-V20-V22+V23-V21</f>
        <v>1444.3074999999953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7277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00"/>
      <c r="J33" s="70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77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842" t="s">
        <v>381</v>
      </c>
      <c r="U3" s="1842"/>
      <c r="V3" s="1842"/>
      <c r="W3" s="1842"/>
      <c r="X3" s="1842"/>
      <c r="Y3" s="1842"/>
    </row>
    <row r="4" spans="1:25" s="69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95" customFormat="1" ht="25.5" customHeight="1" x14ac:dyDescent="0.25">
      <c r="A5" s="1843"/>
      <c r="B5" s="184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14" t="s">
        <v>378</v>
      </c>
      <c r="R14" s="1915"/>
      <c r="S14" s="699"/>
      <c r="T14" s="1849" t="s">
        <v>46</v>
      </c>
      <c r="U14" s="693" t="s">
        <v>176</v>
      </c>
      <c r="V14" s="1874">
        <v>1444</v>
      </c>
      <c r="W14" s="1875"/>
      <c r="X14" s="1876"/>
    </row>
    <row r="15" spans="1:25" ht="22.5" customHeight="1" x14ac:dyDescent="0.25">
      <c r="A15" s="100" t="s">
        <v>38</v>
      </c>
      <c r="B15" s="1874">
        <v>292253</v>
      </c>
      <c r="C15" s="1876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874">
        <v>100</v>
      </c>
      <c r="R15" s="1876"/>
      <c r="S15" s="693"/>
      <c r="T15" s="1849"/>
      <c r="U15" s="693" t="s">
        <v>64</v>
      </c>
      <c r="V15" s="1877">
        <v>7277</v>
      </c>
      <c r="W15" s="1877"/>
      <c r="X15" s="1877"/>
    </row>
    <row r="16" spans="1:25" ht="24.75" customHeight="1" x14ac:dyDescent="0.25">
      <c r="A16" s="100" t="s">
        <v>39</v>
      </c>
      <c r="B16" s="1874">
        <v>15584</v>
      </c>
      <c r="C16" s="1876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855"/>
      <c r="R16" s="1855"/>
      <c r="S16" s="696"/>
      <c r="T16" s="1871" t="s">
        <v>55</v>
      </c>
      <c r="U16" s="1871"/>
      <c r="V16" s="1878">
        <f>Y12</f>
        <v>140165.0275</v>
      </c>
      <c r="W16" s="1878"/>
      <c r="X16" s="1877"/>
    </row>
    <row r="17" spans="1:25" ht="28.5" customHeight="1" x14ac:dyDescent="0.25">
      <c r="A17" s="101" t="s">
        <v>44</v>
      </c>
      <c r="B17" s="1874">
        <v>113029</v>
      </c>
      <c r="C17" s="1876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855"/>
      <c r="R17" s="1855"/>
      <c r="S17" s="692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125999</v>
      </c>
      <c r="C18" s="1876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877"/>
      <c r="R18" s="1877"/>
      <c r="S18" s="693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294867</v>
      </c>
      <c r="C19" s="1876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874">
        <f t="shared" ref="Q19" si="14">Q15+Q16+Q17-Q18</f>
        <v>100</v>
      </c>
      <c r="R19" s="1876"/>
      <c r="S19" s="693">
        <f>S15+S16-S17-S18</f>
        <v>0</v>
      </c>
      <c r="T19" s="1869" t="s">
        <v>48</v>
      </c>
      <c r="U19" s="49" t="s">
        <v>58</v>
      </c>
      <c r="V19" s="1877">
        <v>138850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283809.48749999999</v>
      </c>
      <c r="C20" s="1904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921753.47750000004</v>
      </c>
      <c r="C21" s="1910"/>
      <c r="O21" s="700"/>
      <c r="P21" s="700"/>
      <c r="Q21" s="700"/>
      <c r="R21" s="700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586793</v>
      </c>
      <c r="D22" s="1908">
        <v>138850</v>
      </c>
      <c r="E22" s="1908">
        <v>15000</v>
      </c>
      <c r="F22" s="1908">
        <f>C22-D22+E22</f>
        <v>462943</v>
      </c>
      <c r="G22" s="700"/>
      <c r="Q22" s="700"/>
      <c r="R22" s="700"/>
      <c r="T22" s="1863" t="s">
        <v>83</v>
      </c>
      <c r="U22" s="50" t="s">
        <v>60</v>
      </c>
      <c r="V22" s="1877">
        <v>137955</v>
      </c>
      <c r="W22" s="1877"/>
      <c r="X22" s="1877"/>
      <c r="Y22" s="1883"/>
    </row>
    <row r="23" spans="1:25" ht="39.75" customHeight="1" x14ac:dyDescent="0.25">
      <c r="A23" s="700"/>
      <c r="B23" s="1906"/>
      <c r="C23" s="1909"/>
      <c r="D23" s="1909"/>
      <c r="E23" s="1909"/>
      <c r="F23" s="1909"/>
      <c r="G23" s="700"/>
      <c r="Q23" s="700"/>
      <c r="R23" s="700"/>
      <c r="T23" s="1864"/>
      <c r="U23" s="50" t="s">
        <v>61</v>
      </c>
      <c r="V23" s="1877">
        <v>138850</v>
      </c>
      <c r="W23" s="1877"/>
      <c r="X23" s="1877"/>
      <c r="Y23" s="1883"/>
    </row>
    <row r="24" spans="1:25" ht="48" customHeight="1" x14ac:dyDescent="0.25">
      <c r="A24" s="70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849" t="s">
        <v>47</v>
      </c>
      <c r="U24" s="51" t="s">
        <v>62</v>
      </c>
      <c r="V24" s="1879">
        <f>V14+V16+V17-V18-V19-V20-V22+V23-V21</f>
        <v>3134.0274999999965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6382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00"/>
      <c r="J33" s="70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842" t="s">
        <v>382</v>
      </c>
      <c r="U3" s="1842"/>
      <c r="V3" s="1842"/>
      <c r="W3" s="1842"/>
      <c r="X3" s="1842"/>
      <c r="Y3" s="1842"/>
    </row>
    <row r="4" spans="1:25" s="69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95" customFormat="1" ht="25.5" customHeight="1" x14ac:dyDescent="0.25">
      <c r="A5" s="1843"/>
      <c r="B5" s="184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14" t="s">
        <v>378</v>
      </c>
      <c r="R14" s="1915"/>
      <c r="S14" s="699"/>
      <c r="T14" s="1849" t="s">
        <v>46</v>
      </c>
      <c r="U14" s="693" t="s">
        <v>176</v>
      </c>
      <c r="V14" s="1874">
        <v>3134</v>
      </c>
      <c r="W14" s="1875"/>
      <c r="X14" s="1876"/>
    </row>
    <row r="15" spans="1:25" ht="22.5" customHeight="1" x14ac:dyDescent="0.25">
      <c r="A15" s="100" t="s">
        <v>38</v>
      </c>
      <c r="B15" s="1874">
        <v>294867</v>
      </c>
      <c r="C15" s="1876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874">
        <v>100</v>
      </c>
      <c r="R15" s="1876"/>
      <c r="S15" s="693"/>
      <c r="T15" s="1849"/>
      <c r="U15" s="693" t="s">
        <v>64</v>
      </c>
      <c r="V15" s="1877">
        <v>6382</v>
      </c>
      <c r="W15" s="1877"/>
      <c r="X15" s="1877"/>
    </row>
    <row r="16" spans="1:25" ht="24.75" customHeight="1" x14ac:dyDescent="0.25">
      <c r="A16" s="100" t="s">
        <v>39</v>
      </c>
      <c r="B16" s="1874">
        <v>311688</v>
      </c>
      <c r="C16" s="1876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855"/>
      <c r="R16" s="1855"/>
      <c r="S16" s="696"/>
      <c r="T16" s="1871" t="s">
        <v>55</v>
      </c>
      <c r="U16" s="1871"/>
      <c r="V16" s="1878">
        <f>Y12</f>
        <v>272551.2525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855"/>
      <c r="R17" s="1855"/>
      <c r="S17" s="692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133209</v>
      </c>
      <c r="C18" s="1876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877"/>
      <c r="R18" s="1877"/>
      <c r="S18" s="693"/>
      <c r="T18" s="1871" t="s">
        <v>57</v>
      </c>
      <c r="U18" s="1871"/>
      <c r="V18" s="1877">
        <v>91870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473346</v>
      </c>
      <c r="C19" s="1876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874">
        <f t="shared" ref="Q19" si="14">Q15+Q16+Q17-Q18</f>
        <v>100</v>
      </c>
      <c r="R19" s="1876"/>
      <c r="S19" s="693">
        <f>S15+S16-S17-S18</f>
        <v>0</v>
      </c>
      <c r="T19" s="1869" t="s">
        <v>48</v>
      </c>
      <c r="U19" s="49" t="s">
        <v>58</v>
      </c>
      <c r="V19" s="1877">
        <v>37000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455595.52500000002</v>
      </c>
      <c r="C20" s="1904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1021344.4650000001</v>
      </c>
      <c r="C21" s="1910"/>
      <c r="O21" s="700"/>
      <c r="P21" s="700"/>
      <c r="Q21" s="700"/>
      <c r="R21" s="700"/>
      <c r="T21" s="1900" t="s">
        <v>384</v>
      </c>
      <c r="U21" s="1901"/>
      <c r="V21" s="1911">
        <v>75000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462943</v>
      </c>
      <c r="D22" s="1908">
        <v>37000</v>
      </c>
      <c r="E22" s="1908">
        <v>369842</v>
      </c>
      <c r="F22" s="1908">
        <f>C22-D22+E22</f>
        <v>795785</v>
      </c>
      <c r="G22" s="700"/>
      <c r="Q22" s="700"/>
      <c r="R22" s="700"/>
      <c r="T22" s="1863" t="s">
        <v>83</v>
      </c>
      <c r="U22" s="50" t="s">
        <v>60</v>
      </c>
      <c r="V22" s="1877">
        <v>136740</v>
      </c>
      <c r="W22" s="1877"/>
      <c r="X22" s="1877"/>
      <c r="Y22" s="1883"/>
    </row>
    <row r="23" spans="1:25" ht="39.75" customHeight="1" x14ac:dyDescent="0.25">
      <c r="A23" s="700"/>
      <c r="B23" s="1906"/>
      <c r="C23" s="1909"/>
      <c r="D23" s="1909"/>
      <c r="E23" s="1909"/>
      <c r="F23" s="1909"/>
      <c r="G23" s="700"/>
      <c r="Q23" s="700"/>
      <c r="R23" s="700"/>
      <c r="T23" s="1864"/>
      <c r="U23" s="50" t="s">
        <v>61</v>
      </c>
      <c r="V23" s="1877">
        <v>130000</v>
      </c>
      <c r="W23" s="1877"/>
      <c r="X23" s="1877"/>
      <c r="Y23" s="1883"/>
    </row>
    <row r="24" spans="1:25" ht="48" customHeight="1" x14ac:dyDescent="0.25">
      <c r="A24" s="70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849" t="s">
        <v>47</v>
      </c>
      <c r="U24" s="51" t="s">
        <v>62</v>
      </c>
      <c r="V24" s="1879">
        <f>V14+V16+V17-V18-V19-V20-V22+V23-V21</f>
        <v>65075.252500000002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13122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00"/>
      <c r="J33" s="70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842" t="s">
        <v>385</v>
      </c>
      <c r="U3" s="1842"/>
      <c r="V3" s="1842"/>
      <c r="W3" s="1842"/>
      <c r="X3" s="1842"/>
      <c r="Y3" s="1842"/>
    </row>
    <row r="4" spans="1:25" s="69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695" customFormat="1" ht="25.5" customHeight="1" x14ac:dyDescent="0.25">
      <c r="A5" s="1843"/>
      <c r="B5" s="1843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914" t="s">
        <v>378</v>
      </c>
      <c r="R14" s="1915"/>
      <c r="S14" s="699"/>
      <c r="T14" s="1849" t="s">
        <v>46</v>
      </c>
      <c r="U14" s="693" t="s">
        <v>176</v>
      </c>
      <c r="V14" s="1874">
        <v>65075</v>
      </c>
      <c r="W14" s="1875"/>
      <c r="X14" s="1876"/>
    </row>
    <row r="15" spans="1:25" ht="22.5" customHeight="1" x14ac:dyDescent="0.25">
      <c r="A15" s="100" t="s">
        <v>38</v>
      </c>
      <c r="B15" s="1874">
        <v>473346</v>
      </c>
      <c r="C15" s="1876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874">
        <v>100</v>
      </c>
      <c r="R15" s="1876"/>
      <c r="S15" s="693"/>
      <c r="T15" s="1849"/>
      <c r="U15" s="693" t="s">
        <v>64</v>
      </c>
      <c r="V15" s="1877">
        <v>13122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855"/>
      <c r="R16" s="1855"/>
      <c r="S16" s="696"/>
      <c r="T16" s="1871" t="s">
        <v>55</v>
      </c>
      <c r="U16" s="1871"/>
      <c r="V16" s="1878">
        <f>Y12</f>
        <v>385826.52250000008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855"/>
      <c r="R17" s="1855"/>
      <c r="S17" s="692"/>
      <c r="T17" s="1900" t="s">
        <v>387</v>
      </c>
      <c r="U17" s="1901"/>
      <c r="V17" s="1902">
        <v>6000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198061</v>
      </c>
      <c r="C18" s="1876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877"/>
      <c r="R18" s="1877"/>
      <c r="S18" s="693"/>
      <c r="T18" s="1871" t="s">
        <v>57</v>
      </c>
      <c r="U18" s="1871"/>
      <c r="V18" s="1877">
        <v>4390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275285</v>
      </c>
      <c r="C19" s="1876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874">
        <f t="shared" ref="Q19" si="14">Q15+Q16+Q17-Q18</f>
        <v>100</v>
      </c>
      <c r="R19" s="1876"/>
      <c r="S19" s="693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264961.8125</v>
      </c>
      <c r="C20" s="1904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639205.9325</v>
      </c>
      <c r="C21" s="1910"/>
      <c r="O21" s="700"/>
      <c r="P21" s="700"/>
      <c r="Q21" s="700"/>
      <c r="R21" s="700"/>
      <c r="T21" s="1900" t="s">
        <v>386</v>
      </c>
      <c r="U21" s="1901"/>
      <c r="V21" s="1911">
        <v>6000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795785</v>
      </c>
      <c r="D22" s="1908"/>
      <c r="E22" s="1908"/>
      <c r="F22" s="1908">
        <f>C22-D22+E22</f>
        <v>795785</v>
      </c>
      <c r="G22" s="700"/>
      <c r="Q22" s="700"/>
      <c r="R22" s="700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700"/>
      <c r="B23" s="1906"/>
      <c r="C23" s="1909"/>
      <c r="D23" s="1909"/>
      <c r="E23" s="1909"/>
      <c r="F23" s="1909"/>
      <c r="G23" s="700"/>
      <c r="Q23" s="700"/>
      <c r="R23" s="700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70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849" t="s">
        <v>47</v>
      </c>
      <c r="U24" s="51" t="s">
        <v>62</v>
      </c>
      <c r="V24" s="1879">
        <f>V14+V16+V17-V18-V19-V20-V22+V23-V21</f>
        <v>446511.52250000008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13122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00"/>
      <c r="J33" s="70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842" t="s">
        <v>388</v>
      </c>
      <c r="U3" s="1842"/>
      <c r="V3" s="1842"/>
      <c r="W3" s="1842"/>
      <c r="X3" s="1842"/>
      <c r="Y3" s="1842"/>
    </row>
    <row r="4" spans="1:25" s="70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01" customFormat="1" ht="25.5" customHeight="1" x14ac:dyDescent="0.25">
      <c r="A5" s="1843"/>
      <c r="B5" s="1843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914" t="s">
        <v>378</v>
      </c>
      <c r="R14" s="1915"/>
      <c r="S14" s="710"/>
      <c r="T14" s="1849" t="s">
        <v>46</v>
      </c>
      <c r="U14" s="702" t="s">
        <v>176</v>
      </c>
      <c r="V14" s="1874">
        <v>446512</v>
      </c>
      <c r="W14" s="1875"/>
      <c r="X14" s="1876"/>
    </row>
    <row r="15" spans="1:25" ht="22.5" customHeight="1" x14ac:dyDescent="0.25">
      <c r="A15" s="100" t="s">
        <v>38</v>
      </c>
      <c r="B15" s="1874">
        <v>275285</v>
      </c>
      <c r="C15" s="1876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874">
        <v>100</v>
      </c>
      <c r="R15" s="1876"/>
      <c r="S15" s="702"/>
      <c r="T15" s="1849"/>
      <c r="U15" s="702" t="s">
        <v>64</v>
      </c>
      <c r="V15" s="1877">
        <v>13122</v>
      </c>
      <c r="W15" s="1877"/>
      <c r="X15" s="1877"/>
    </row>
    <row r="16" spans="1:25" ht="24.75" customHeight="1" x14ac:dyDescent="0.25">
      <c r="A16" s="100" t="s">
        <v>39</v>
      </c>
      <c r="B16" s="1874">
        <v>353246</v>
      </c>
      <c r="C16" s="1876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855"/>
      <c r="R16" s="1855"/>
      <c r="S16" s="707"/>
      <c r="T16" s="1871" t="s">
        <v>55</v>
      </c>
      <c r="U16" s="1871"/>
      <c r="V16" s="1878">
        <f>Y12</f>
        <v>210327.74250000002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855"/>
      <c r="R17" s="1855"/>
      <c r="S17" s="704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157173</v>
      </c>
      <c r="C18" s="1876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877"/>
      <c r="R18" s="1877"/>
      <c r="S18" s="702"/>
      <c r="T18" s="1871" t="s">
        <v>57</v>
      </c>
      <c r="U18" s="1871"/>
      <c r="V18" s="1877">
        <v>1566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471358</v>
      </c>
      <c r="C19" s="1876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874">
        <f t="shared" ref="Q19" si="14">Q15+Q16+Q17-Q18</f>
        <v>100</v>
      </c>
      <c r="R19" s="1876"/>
      <c r="S19" s="702">
        <f>S15+S16-S17-S18</f>
        <v>0</v>
      </c>
      <c r="T19" s="1869" t="s">
        <v>48</v>
      </c>
      <c r="U19" s="49" t="s">
        <v>58</v>
      </c>
      <c r="V19" s="1877">
        <v>369842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453682.07500000001</v>
      </c>
      <c r="C20" s="1904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776887.82299999997</v>
      </c>
      <c r="C21" s="1910"/>
      <c r="O21" s="711"/>
      <c r="P21" s="711"/>
      <c r="Q21" s="711"/>
      <c r="R21" s="711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795785</v>
      </c>
      <c r="D22" s="1908">
        <v>369842</v>
      </c>
      <c r="E22" s="1908">
        <v>345867</v>
      </c>
      <c r="F22" s="1908">
        <f>C22-D22+E22</f>
        <v>771810</v>
      </c>
      <c r="G22" s="711"/>
      <c r="Q22" s="711"/>
      <c r="R22" s="711"/>
      <c r="T22" s="1863" t="s">
        <v>83</v>
      </c>
      <c r="U22" s="50" t="s">
        <v>60</v>
      </c>
      <c r="V22" s="1877">
        <v>636200</v>
      </c>
      <c r="W22" s="1877"/>
      <c r="X22" s="1877"/>
      <c r="Y22" s="1883"/>
    </row>
    <row r="23" spans="1:25" ht="39.75" customHeight="1" x14ac:dyDescent="0.25">
      <c r="A23" s="711"/>
      <c r="B23" s="1906"/>
      <c r="C23" s="1909"/>
      <c r="D23" s="1909"/>
      <c r="E23" s="1909"/>
      <c r="F23" s="1909"/>
      <c r="G23" s="711"/>
      <c r="Q23" s="711"/>
      <c r="R23" s="711"/>
      <c r="T23" s="1864"/>
      <c r="U23" s="50" t="s">
        <v>61</v>
      </c>
      <c r="V23" s="1877">
        <v>369842</v>
      </c>
      <c r="W23" s="1877"/>
      <c r="X23" s="1877"/>
      <c r="Y23" s="1883"/>
    </row>
    <row r="24" spans="1:25" ht="48" customHeight="1" x14ac:dyDescent="0.25">
      <c r="A24" s="71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849" t="s">
        <v>47</v>
      </c>
      <c r="U24" s="51" t="s">
        <v>62</v>
      </c>
      <c r="V24" s="1879">
        <f>V14+V16+V17-V18-V19-V20-V22+V23-V21</f>
        <v>19073.742500000051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279480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11"/>
      <c r="J33" s="71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842" t="s">
        <v>389</v>
      </c>
      <c r="U3" s="1842"/>
      <c r="V3" s="1842"/>
      <c r="W3" s="1842"/>
      <c r="X3" s="1842"/>
      <c r="Y3" s="1842"/>
    </row>
    <row r="4" spans="1:25" s="71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17" customFormat="1" ht="25.5" customHeight="1" x14ac:dyDescent="0.25">
      <c r="A5" s="1843"/>
      <c r="B5" s="1843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914" t="s">
        <v>378</v>
      </c>
      <c r="R14" s="1915"/>
      <c r="S14" s="721"/>
      <c r="T14" s="1849" t="s">
        <v>46</v>
      </c>
      <c r="U14" s="715" t="s">
        <v>176</v>
      </c>
      <c r="V14" s="1874">
        <v>19074</v>
      </c>
      <c r="W14" s="1875"/>
      <c r="X14" s="1876"/>
    </row>
    <row r="15" spans="1:25" ht="22.5" customHeight="1" x14ac:dyDescent="0.25">
      <c r="A15" s="100" t="s">
        <v>38</v>
      </c>
      <c r="B15" s="1874">
        <v>471358</v>
      </c>
      <c r="C15" s="1876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874">
        <v>100</v>
      </c>
      <c r="R15" s="1876"/>
      <c r="S15" s="715"/>
      <c r="T15" s="1849"/>
      <c r="U15" s="715" t="s">
        <v>64</v>
      </c>
      <c r="V15" s="1877">
        <v>279480</v>
      </c>
      <c r="W15" s="1877"/>
      <c r="X15" s="1877"/>
    </row>
    <row r="16" spans="1:25" ht="24.75" customHeight="1" x14ac:dyDescent="0.25">
      <c r="A16" s="100" t="s">
        <v>39</v>
      </c>
      <c r="B16" s="1874">
        <v>385000</v>
      </c>
      <c r="C16" s="1876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855"/>
      <c r="R16" s="1855"/>
      <c r="S16" s="718"/>
      <c r="T16" s="1871" t="s">
        <v>55</v>
      </c>
      <c r="U16" s="1871"/>
      <c r="V16" s="1878">
        <f>Y12</f>
        <v>506174.58350000007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855"/>
      <c r="R17" s="1855"/>
      <c r="S17" s="714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369655</v>
      </c>
      <c r="C18" s="1876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877"/>
      <c r="R18" s="1877"/>
      <c r="S18" s="715"/>
      <c r="T18" s="1871" t="s">
        <v>57</v>
      </c>
      <c r="U18" s="1871"/>
      <c r="V18" s="1877">
        <v>1320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486703</v>
      </c>
      <c r="C19" s="1876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874">
        <f t="shared" ref="Q19" si="14">Q15+Q16+Q17-Q18</f>
        <v>100</v>
      </c>
      <c r="R19" s="1876"/>
      <c r="S19" s="715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468451.63750000001</v>
      </c>
      <c r="C20" s="1904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929242.26150000002</v>
      </c>
      <c r="C21" s="1910"/>
      <c r="O21" s="722"/>
      <c r="P21" s="722"/>
      <c r="Q21" s="722"/>
      <c r="R21" s="722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771810</v>
      </c>
      <c r="D22" s="1908"/>
      <c r="E22" s="1908">
        <v>653315</v>
      </c>
      <c r="F22" s="1908">
        <f>C22-D22+E22</f>
        <v>1425125</v>
      </c>
      <c r="G22" s="722"/>
      <c r="Q22" s="722"/>
      <c r="R22" s="72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722"/>
      <c r="B23" s="1906"/>
      <c r="C23" s="1909"/>
      <c r="D23" s="1909"/>
      <c r="E23" s="1909"/>
      <c r="F23" s="1909"/>
      <c r="G23" s="722"/>
      <c r="Q23" s="722"/>
      <c r="R23" s="72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72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849" t="s">
        <v>47</v>
      </c>
      <c r="U24" s="51" t="s">
        <v>62</v>
      </c>
      <c r="V24" s="1879">
        <f>V14+V16+V17-V18-V19-V20-V22+V23-V21</f>
        <v>523928.58350000007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279480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22"/>
      <c r="J33" s="72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842" t="s">
        <v>390</v>
      </c>
      <c r="U3" s="1842"/>
      <c r="V3" s="1842"/>
      <c r="W3" s="1842"/>
      <c r="X3" s="1842"/>
      <c r="Y3" s="1842"/>
    </row>
    <row r="4" spans="1:25" s="72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23" customFormat="1" ht="25.5" customHeight="1" x14ac:dyDescent="0.25">
      <c r="A5" s="1843"/>
      <c r="B5" s="1843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914" t="s">
        <v>378</v>
      </c>
      <c r="R14" s="1915"/>
      <c r="S14" s="732"/>
      <c r="T14" s="1849" t="s">
        <v>46</v>
      </c>
      <c r="U14" s="724" t="s">
        <v>176</v>
      </c>
      <c r="V14" s="1874">
        <v>523929</v>
      </c>
      <c r="W14" s="1875"/>
      <c r="X14" s="1876"/>
    </row>
    <row r="15" spans="1:25" ht="22.5" customHeight="1" x14ac:dyDescent="0.25">
      <c r="A15" s="100" t="s">
        <v>38</v>
      </c>
      <c r="B15" s="1874">
        <v>486703</v>
      </c>
      <c r="C15" s="1876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874">
        <v>100</v>
      </c>
      <c r="R15" s="1876"/>
      <c r="S15" s="724"/>
      <c r="T15" s="1849"/>
      <c r="U15" s="724" t="s">
        <v>64</v>
      </c>
      <c r="V15" s="1877">
        <v>279480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855"/>
      <c r="R16" s="1855"/>
      <c r="S16" s="729"/>
      <c r="T16" s="1871" t="s">
        <v>55</v>
      </c>
      <c r="U16" s="1871"/>
      <c r="V16" s="1878">
        <f>Y12</f>
        <v>119068.37700000001</v>
      </c>
      <c r="W16" s="1878"/>
      <c r="X16" s="1877"/>
    </row>
    <row r="17" spans="1:25" ht="28.5" customHeight="1" x14ac:dyDescent="0.25">
      <c r="A17" s="101" t="s">
        <v>44</v>
      </c>
      <c r="B17" s="1874">
        <v>1553</v>
      </c>
      <c r="C17" s="1876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855"/>
      <c r="R17" s="1855"/>
      <c r="S17" s="726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90978</v>
      </c>
      <c r="C18" s="1876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877"/>
      <c r="R18" s="1877"/>
      <c r="S18" s="724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397278</v>
      </c>
      <c r="C19" s="1876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874">
        <f t="shared" ref="Q19" si="14">Q15+Q16+Q17-Q18</f>
        <v>100</v>
      </c>
      <c r="R19" s="1876"/>
      <c r="S19" s="724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382380.07500000001</v>
      </c>
      <c r="C20" s="1904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812903.027</v>
      </c>
      <c r="C21" s="1910"/>
      <c r="O21" s="733"/>
      <c r="P21" s="733"/>
      <c r="Q21" s="733"/>
      <c r="R21" s="733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1425125</v>
      </c>
      <c r="D22" s="1908"/>
      <c r="E22" s="1908"/>
      <c r="F22" s="1908">
        <f>C22-D22+E22</f>
        <v>1425125</v>
      </c>
      <c r="G22" s="733"/>
      <c r="Q22" s="733"/>
      <c r="R22" s="733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733"/>
      <c r="B23" s="1906"/>
      <c r="C23" s="1909"/>
      <c r="D23" s="1909"/>
      <c r="E23" s="1909"/>
      <c r="F23" s="1909"/>
      <c r="G23" s="733"/>
      <c r="Q23" s="733"/>
      <c r="R23" s="733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73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849" t="s">
        <v>47</v>
      </c>
      <c r="U24" s="51" t="s">
        <v>62</v>
      </c>
      <c r="V24" s="1879">
        <f>V14+V16+V17-V18-V19-V20-V22+V23-V21</f>
        <v>642477.37699999998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279480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33"/>
      <c r="J33" s="73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842" t="s">
        <v>391</v>
      </c>
      <c r="U3" s="1842"/>
      <c r="V3" s="1842"/>
      <c r="W3" s="1842"/>
      <c r="X3" s="1842"/>
      <c r="Y3" s="1842"/>
    </row>
    <row r="4" spans="1:25" s="73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39" customFormat="1" ht="25.5" customHeight="1" x14ac:dyDescent="0.25">
      <c r="A5" s="1843"/>
      <c r="B5" s="1843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914" t="s">
        <v>378</v>
      </c>
      <c r="R14" s="1915"/>
      <c r="S14" s="743"/>
      <c r="T14" s="1849" t="s">
        <v>46</v>
      </c>
      <c r="U14" s="737" t="s">
        <v>176</v>
      </c>
      <c r="V14" s="1874">
        <v>642477</v>
      </c>
      <c r="W14" s="1875"/>
      <c r="X14" s="1876"/>
    </row>
    <row r="15" spans="1:25" ht="22.5" customHeight="1" x14ac:dyDescent="0.25">
      <c r="A15" s="100" t="s">
        <v>38</v>
      </c>
      <c r="B15" s="1874">
        <v>397278</v>
      </c>
      <c r="C15" s="1876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874">
        <v>100</v>
      </c>
      <c r="R15" s="1876"/>
      <c r="S15" s="737"/>
      <c r="T15" s="1849"/>
      <c r="U15" s="737" t="s">
        <v>64</v>
      </c>
      <c r="V15" s="1877">
        <v>279480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855"/>
      <c r="R16" s="1855"/>
      <c r="S16" s="740"/>
      <c r="T16" s="1871" t="s">
        <v>55</v>
      </c>
      <c r="U16" s="1871"/>
      <c r="V16" s="1878">
        <f>Y12</f>
        <v>146881.929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855"/>
      <c r="R17" s="1855"/>
      <c r="S17" s="736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140002</v>
      </c>
      <c r="C18" s="1876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877"/>
      <c r="R18" s="1877"/>
      <c r="S18" s="737"/>
      <c r="T18" s="1871" t="s">
        <v>57</v>
      </c>
      <c r="U18" s="1871"/>
      <c r="V18" s="1877">
        <v>1250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257276</v>
      </c>
      <c r="C19" s="1876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874">
        <f t="shared" ref="Q19" si="14">Q15+Q16+Q17-Q18</f>
        <v>100</v>
      </c>
      <c r="R19" s="1876"/>
      <c r="S19" s="737">
        <f>S15+S16-S17-S18</f>
        <v>0</v>
      </c>
      <c r="T19" s="1869" t="s">
        <v>48</v>
      </c>
      <c r="U19" s="49" t="s">
        <v>58</v>
      </c>
      <c r="V19" s="1877">
        <v>780000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247628.15</v>
      </c>
      <c r="C20" s="1904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667535.11800000002</v>
      </c>
      <c r="C21" s="1910"/>
      <c r="O21" s="744"/>
      <c r="P21" s="744"/>
      <c r="Q21" s="744"/>
      <c r="R21" s="744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1425125</v>
      </c>
      <c r="D22" s="1908">
        <v>780000</v>
      </c>
      <c r="E22" s="1908"/>
      <c r="F22" s="1908">
        <f>C22-D22+E22</f>
        <v>645125</v>
      </c>
      <c r="G22" s="744"/>
      <c r="Q22" s="744"/>
      <c r="R22" s="744"/>
      <c r="T22" s="1863" t="s">
        <v>83</v>
      </c>
      <c r="U22" s="50" t="s">
        <v>60</v>
      </c>
      <c r="V22" s="1877">
        <v>780000</v>
      </c>
      <c r="W22" s="1877"/>
      <c r="X22" s="1877"/>
      <c r="Y22" s="1883"/>
    </row>
    <row r="23" spans="1:25" ht="39.75" customHeight="1" x14ac:dyDescent="0.25">
      <c r="A23" s="744"/>
      <c r="B23" s="1906"/>
      <c r="C23" s="1909"/>
      <c r="D23" s="1909"/>
      <c r="E23" s="1909"/>
      <c r="F23" s="1909"/>
      <c r="G23" s="744"/>
      <c r="Q23" s="744"/>
      <c r="R23" s="744"/>
      <c r="T23" s="1864"/>
      <c r="U23" s="50" t="s">
        <v>61</v>
      </c>
      <c r="V23" s="1877">
        <v>780000</v>
      </c>
      <c r="W23" s="1877"/>
      <c r="X23" s="1877"/>
      <c r="Y23" s="1883"/>
    </row>
    <row r="24" spans="1:25" ht="48" customHeight="1" x14ac:dyDescent="0.25">
      <c r="A24" s="74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849" t="s">
        <v>47</v>
      </c>
      <c r="U24" s="51" t="s">
        <v>62</v>
      </c>
      <c r="V24" s="1879">
        <f>V14+V16+V17-V18-V19-V20-V22+V23-V21</f>
        <v>8108.9290000000037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279480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44"/>
      <c r="J33" s="74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842" t="s">
        <v>392</v>
      </c>
      <c r="U3" s="1842"/>
      <c r="V3" s="1842"/>
      <c r="W3" s="1842"/>
      <c r="X3" s="1842"/>
      <c r="Y3" s="1842"/>
    </row>
    <row r="4" spans="1:25" s="74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45" customFormat="1" ht="25.5" customHeight="1" x14ac:dyDescent="0.25">
      <c r="A5" s="1843"/>
      <c r="B5" s="1843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914" t="s">
        <v>378</v>
      </c>
      <c r="R14" s="1915"/>
      <c r="S14" s="754"/>
      <c r="T14" s="1849" t="s">
        <v>46</v>
      </c>
      <c r="U14" s="746" t="s">
        <v>176</v>
      </c>
      <c r="V14" s="1874">
        <v>8109</v>
      </c>
      <c r="W14" s="1875"/>
      <c r="X14" s="1876"/>
    </row>
    <row r="15" spans="1:25" ht="22.5" customHeight="1" x14ac:dyDescent="0.25">
      <c r="A15" s="100" t="s">
        <v>38</v>
      </c>
      <c r="B15" s="1874">
        <v>257276</v>
      </c>
      <c r="C15" s="1876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874">
        <v>100</v>
      </c>
      <c r="R15" s="1876"/>
      <c r="S15" s="746"/>
      <c r="T15" s="1849"/>
      <c r="U15" s="746" t="s">
        <v>64</v>
      </c>
      <c r="V15" s="1877">
        <v>279480</v>
      </c>
      <c r="W15" s="1877"/>
      <c r="X15" s="1877"/>
    </row>
    <row r="16" spans="1:25" ht="24.75" customHeight="1" x14ac:dyDescent="0.25">
      <c r="A16" s="100" t="s">
        <v>39</v>
      </c>
      <c r="B16" s="1874">
        <v>369818</v>
      </c>
      <c r="C16" s="1876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855"/>
      <c r="R16" s="1855"/>
      <c r="S16" s="751"/>
      <c r="T16" s="1871" t="s">
        <v>55</v>
      </c>
      <c r="U16" s="1871"/>
      <c r="V16" s="1878">
        <f>Y12</f>
        <v>144214.9425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855"/>
      <c r="R17" s="1855"/>
      <c r="S17" s="748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148293</v>
      </c>
      <c r="C18" s="1876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877"/>
      <c r="R18" s="1877"/>
      <c r="S18" s="746"/>
      <c r="T18" s="1871" t="s">
        <v>57</v>
      </c>
      <c r="U18" s="1871"/>
      <c r="V18" s="1877">
        <v>940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478801</v>
      </c>
      <c r="C19" s="1876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874">
        <f t="shared" ref="Q19" si="14">Q15+Q16+Q17-Q18</f>
        <v>100</v>
      </c>
      <c r="R19" s="1876"/>
      <c r="S19" s="746">
        <f>S15+S16-S17-S18</f>
        <v>0</v>
      </c>
      <c r="T19" s="1869" t="s">
        <v>48</v>
      </c>
      <c r="U19" s="49" t="s">
        <v>58</v>
      </c>
      <c r="V19" s="1877">
        <v>370475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460845.96250000002</v>
      </c>
      <c r="C20" s="1904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924802.93050000002</v>
      </c>
      <c r="C21" s="1910"/>
      <c r="O21" s="755"/>
      <c r="P21" s="755"/>
      <c r="Q21" s="755"/>
      <c r="R21" s="755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645125</v>
      </c>
      <c r="D22" s="1908">
        <v>370475</v>
      </c>
      <c r="E22" s="1908">
        <v>400000</v>
      </c>
      <c r="F22" s="1908">
        <f>C22-D22+E22</f>
        <v>674650</v>
      </c>
      <c r="G22" s="755"/>
      <c r="Q22" s="755"/>
      <c r="R22" s="755"/>
      <c r="T22" s="1863" t="s">
        <v>83</v>
      </c>
      <c r="U22" s="50" t="s">
        <v>60</v>
      </c>
      <c r="V22" s="1877">
        <v>100475</v>
      </c>
      <c r="W22" s="1877"/>
      <c r="X22" s="1877"/>
      <c r="Y22" s="1883"/>
    </row>
    <row r="23" spans="1:25" ht="39.75" customHeight="1" x14ac:dyDescent="0.25">
      <c r="A23" s="755"/>
      <c r="B23" s="1906"/>
      <c r="C23" s="1909"/>
      <c r="D23" s="1909"/>
      <c r="E23" s="1909"/>
      <c r="F23" s="1909"/>
      <c r="G23" s="755"/>
      <c r="Q23" s="755"/>
      <c r="R23" s="755"/>
      <c r="T23" s="1864"/>
      <c r="U23" s="50" t="s">
        <v>61</v>
      </c>
      <c r="V23" s="1877">
        <v>370475</v>
      </c>
      <c r="W23" s="1877"/>
      <c r="X23" s="1877"/>
      <c r="Y23" s="1883"/>
    </row>
    <row r="24" spans="1:25" ht="48" customHeight="1" x14ac:dyDescent="0.25">
      <c r="A24" s="75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849" t="s">
        <v>47</v>
      </c>
      <c r="U24" s="51" t="s">
        <v>62</v>
      </c>
      <c r="V24" s="1879">
        <f>V14+V16+V17-V18-V19-V20-V22+V23-V21</f>
        <v>50908.942500000005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9480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55"/>
      <c r="J33" s="75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842" t="s">
        <v>394</v>
      </c>
      <c r="U3" s="1842"/>
      <c r="V3" s="1842"/>
      <c r="W3" s="1842"/>
      <c r="X3" s="1842"/>
      <c r="Y3" s="1842"/>
    </row>
    <row r="4" spans="1:25" s="75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395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56" customFormat="1" ht="25.5" customHeight="1" x14ac:dyDescent="0.25">
      <c r="A5" s="1843"/>
      <c r="B5" s="184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914" t="s">
        <v>378</v>
      </c>
      <c r="R14" s="1915"/>
      <c r="S14" s="765"/>
      <c r="T14" s="1849" t="s">
        <v>46</v>
      </c>
      <c r="U14" s="757" t="s">
        <v>176</v>
      </c>
      <c r="V14" s="1874">
        <v>50909</v>
      </c>
      <c r="W14" s="1875"/>
      <c r="X14" s="1876"/>
    </row>
    <row r="15" spans="1:25" ht="22.5" customHeight="1" x14ac:dyDescent="0.25">
      <c r="A15" s="100" t="s">
        <v>38</v>
      </c>
      <c r="B15" s="1874">
        <v>478801</v>
      </c>
      <c r="C15" s="1876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874">
        <v>100</v>
      </c>
      <c r="R15" s="1876"/>
      <c r="S15" s="757"/>
      <c r="T15" s="1849"/>
      <c r="U15" s="757" t="s">
        <v>64</v>
      </c>
      <c r="V15" s="1877">
        <v>9480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855"/>
      <c r="R16" s="1855"/>
      <c r="S16" s="762"/>
      <c r="T16" s="1871" t="s">
        <v>55</v>
      </c>
      <c r="U16" s="1871"/>
      <c r="V16" s="1878">
        <f>Y12</f>
        <v>342061.12300000002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855"/>
      <c r="R17" s="1855"/>
      <c r="S17" s="759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108870</v>
      </c>
      <c r="C18" s="1876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877"/>
      <c r="R18" s="1877"/>
      <c r="S18" s="757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369931</v>
      </c>
      <c r="C19" s="1876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874">
        <f t="shared" ref="Q19" si="14">Q15+Q16+Q17-Q18</f>
        <v>100</v>
      </c>
      <c r="R19" s="1876"/>
      <c r="S19" s="757">
        <f>S15+S16-S17-S18</f>
        <v>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356058.58750000002</v>
      </c>
      <c r="C20" s="1904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586245.8075</v>
      </c>
      <c r="C21" s="1910"/>
      <c r="O21" s="766"/>
      <c r="P21" s="766"/>
      <c r="Q21" s="766"/>
      <c r="R21" s="766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674650</v>
      </c>
      <c r="D22" s="1908"/>
      <c r="E22" s="1908"/>
      <c r="F22" s="1908">
        <f>C22-D22+E22</f>
        <v>674650</v>
      </c>
      <c r="G22" s="766"/>
      <c r="Q22" s="766"/>
      <c r="R22" s="766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766"/>
      <c r="B23" s="1906"/>
      <c r="C23" s="1909"/>
      <c r="D23" s="1909"/>
      <c r="E23" s="1909"/>
      <c r="F23" s="1909"/>
      <c r="G23" s="766"/>
      <c r="Q23" s="766"/>
      <c r="R23" s="766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76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849" t="s">
        <v>47</v>
      </c>
      <c r="U24" s="51" t="s">
        <v>62</v>
      </c>
      <c r="V24" s="1879">
        <f>V14+V16+V17-V18-V19-V20-V22+V23-V21</f>
        <v>392350.12300000002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9480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66"/>
      <c r="J33" s="76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842" t="s">
        <v>396</v>
      </c>
      <c r="U3" s="1842"/>
      <c r="V3" s="1842"/>
      <c r="W3" s="1842"/>
      <c r="X3" s="1842"/>
      <c r="Y3" s="1842"/>
    </row>
    <row r="4" spans="1:25" s="75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395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56" customFormat="1" ht="25.5" customHeight="1" x14ac:dyDescent="0.25">
      <c r="A5" s="1843"/>
      <c r="B5" s="1843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914" t="s">
        <v>378</v>
      </c>
      <c r="R14" s="1915"/>
      <c r="S14" s="765"/>
      <c r="T14" s="1849" t="s">
        <v>46</v>
      </c>
      <c r="U14" s="757" t="s">
        <v>176</v>
      </c>
      <c r="V14" s="1874">
        <v>392350</v>
      </c>
      <c r="W14" s="1875"/>
      <c r="X14" s="1876"/>
    </row>
    <row r="15" spans="1:25" ht="22.5" customHeight="1" x14ac:dyDescent="0.25">
      <c r="A15" s="100" t="s">
        <v>38</v>
      </c>
      <c r="B15" s="1874">
        <v>369931</v>
      </c>
      <c r="C15" s="1876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874">
        <v>100</v>
      </c>
      <c r="R15" s="1876"/>
      <c r="S15" s="757"/>
      <c r="T15" s="1849"/>
      <c r="U15" s="757" t="s">
        <v>64</v>
      </c>
      <c r="V15" s="1877">
        <v>9480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855"/>
      <c r="R16" s="1855"/>
      <c r="S16" s="762"/>
      <c r="T16" s="1871" t="s">
        <v>55</v>
      </c>
      <c r="U16" s="1871"/>
      <c r="V16" s="1878">
        <f>Y12</f>
        <v>207271.28250000003</v>
      </c>
      <c r="W16" s="1878"/>
      <c r="X16" s="1877"/>
    </row>
    <row r="17" spans="1:25" ht="28.5" customHeight="1" x14ac:dyDescent="0.25">
      <c r="A17" s="101" t="s">
        <v>44</v>
      </c>
      <c r="B17" s="1874">
        <v>282</v>
      </c>
      <c r="C17" s="1876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855"/>
      <c r="R17" s="1855"/>
      <c r="S17" s="759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121117</v>
      </c>
      <c r="C18" s="1876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877"/>
      <c r="R18" s="1877"/>
      <c r="S18" s="757"/>
      <c r="T18" s="1871" t="s">
        <v>57</v>
      </c>
      <c r="U18" s="1871"/>
      <c r="V18" s="1877">
        <v>2470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249096</v>
      </c>
      <c r="C19" s="1876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874">
        <f t="shared" ref="Q19" si="14">Q15+Q16+Q17-Q18</f>
        <v>100</v>
      </c>
      <c r="R19" s="1876"/>
      <c r="S19" s="757">
        <f>S15+S16-S17-S18</f>
        <v>0</v>
      </c>
      <c r="T19" s="1869" t="s">
        <v>48</v>
      </c>
      <c r="U19" s="49" t="s">
        <v>58</v>
      </c>
      <c r="V19" s="1877">
        <v>570000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239754.9</v>
      </c>
      <c r="C20" s="1904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381374.82</v>
      </c>
      <c r="C21" s="1910"/>
      <c r="O21" s="766"/>
      <c r="P21" s="766"/>
      <c r="Q21" s="766"/>
      <c r="R21" s="766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674650</v>
      </c>
      <c r="D22" s="1908">
        <v>570000</v>
      </c>
      <c r="E22" s="1908"/>
      <c r="F22" s="1908">
        <f>C22-D22+E22</f>
        <v>104650</v>
      </c>
      <c r="G22" s="766"/>
      <c r="Q22" s="766"/>
      <c r="R22" s="766"/>
      <c r="T22" s="1863" t="s">
        <v>83</v>
      </c>
      <c r="U22" s="50" t="s">
        <v>60</v>
      </c>
      <c r="V22" s="1877">
        <v>569860</v>
      </c>
      <c r="W22" s="1877"/>
      <c r="X22" s="1877"/>
      <c r="Y22" s="1883"/>
    </row>
    <row r="23" spans="1:25" ht="39.75" customHeight="1" x14ac:dyDescent="0.25">
      <c r="A23" s="766"/>
      <c r="B23" s="1906"/>
      <c r="C23" s="1909"/>
      <c r="D23" s="1909"/>
      <c r="E23" s="1909"/>
      <c r="F23" s="1909"/>
      <c r="G23" s="766"/>
      <c r="Q23" s="766"/>
      <c r="R23" s="766"/>
      <c r="T23" s="1864"/>
      <c r="U23" s="50" t="s">
        <v>61</v>
      </c>
      <c r="V23" s="1877">
        <v>570000</v>
      </c>
      <c r="W23" s="1877"/>
      <c r="X23" s="1877"/>
      <c r="Y23" s="1883"/>
    </row>
    <row r="24" spans="1:25" ht="48" customHeight="1" x14ac:dyDescent="0.25">
      <c r="A24" s="76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849" t="s">
        <v>47</v>
      </c>
      <c r="U24" s="51" t="s">
        <v>62</v>
      </c>
      <c r="V24" s="1879">
        <f>V14+V16+V17-V18-V19-V20-V22+V23-V21</f>
        <v>27291.282499999972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9340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66"/>
      <c r="J33" s="76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842" t="s">
        <v>398</v>
      </c>
      <c r="U3" s="1842"/>
      <c r="V3" s="1842"/>
      <c r="W3" s="1842"/>
      <c r="X3" s="1842"/>
      <c r="Y3" s="1842"/>
    </row>
    <row r="4" spans="1:25" s="77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395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72" customFormat="1" ht="25.5" customHeight="1" x14ac:dyDescent="0.25">
      <c r="A5" s="1843"/>
      <c r="B5" s="184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914" t="s">
        <v>378</v>
      </c>
      <c r="R14" s="1915"/>
      <c r="S14" s="776"/>
      <c r="T14" s="1849" t="s">
        <v>46</v>
      </c>
      <c r="U14" s="770" t="s">
        <v>176</v>
      </c>
      <c r="V14" s="1874">
        <v>27291</v>
      </c>
      <c r="W14" s="1875"/>
      <c r="X14" s="1876"/>
    </row>
    <row r="15" spans="1:25" ht="22.5" customHeight="1" x14ac:dyDescent="0.25">
      <c r="A15" s="100" t="s">
        <v>38</v>
      </c>
      <c r="B15" s="1874">
        <v>249096</v>
      </c>
      <c r="C15" s="1876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874">
        <v>100</v>
      </c>
      <c r="R15" s="1876"/>
      <c r="S15" s="770"/>
      <c r="T15" s="1849"/>
      <c r="U15" s="770" t="s">
        <v>64</v>
      </c>
      <c r="V15" s="1877">
        <v>9340</v>
      </c>
      <c r="W15" s="1877"/>
      <c r="X15" s="1877"/>
    </row>
    <row r="16" spans="1:25" ht="24.75" customHeight="1" x14ac:dyDescent="0.25">
      <c r="A16" s="100" t="s">
        <v>39</v>
      </c>
      <c r="B16" s="1874">
        <v>206190</v>
      </c>
      <c r="C16" s="1876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855"/>
      <c r="R16" s="1855"/>
      <c r="S16" s="773"/>
      <c r="T16" s="1871" t="s">
        <v>55</v>
      </c>
      <c r="U16" s="1871"/>
      <c r="V16" s="1878">
        <f>Y12</f>
        <v>153413.82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855"/>
      <c r="R17" s="1855"/>
      <c r="S17" s="769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157752</v>
      </c>
      <c r="C18" s="1876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877"/>
      <c r="R18" s="1877"/>
      <c r="S18" s="770"/>
      <c r="T18" s="1871" t="s">
        <v>57</v>
      </c>
      <c r="U18" s="1871"/>
      <c r="V18" s="1877">
        <v>1415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297534</v>
      </c>
      <c r="C19" s="1876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874">
        <f t="shared" ref="Q19" si="14">Q15+Q16+Q17-Q18</f>
        <v>100</v>
      </c>
      <c r="R19" s="1876"/>
      <c r="S19" s="770">
        <f>S15+S16-S17-S18</f>
        <v>0</v>
      </c>
      <c r="T19" s="1869" t="s">
        <v>48</v>
      </c>
      <c r="U19" s="49" t="s">
        <v>58</v>
      </c>
      <c r="V19" s="1877">
        <v>104650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286376.47500000003</v>
      </c>
      <c r="C20" s="1904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>
        <v>51400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680938.39500000002</v>
      </c>
      <c r="C21" s="1910"/>
      <c r="O21" s="777"/>
      <c r="P21" s="777"/>
      <c r="Q21" s="777"/>
      <c r="R21" s="777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104650</v>
      </c>
      <c r="D22" s="1908">
        <v>104650</v>
      </c>
      <c r="E22" s="1908">
        <v>400000</v>
      </c>
      <c r="F22" s="1908">
        <f>C22-D22+E22</f>
        <v>400000</v>
      </c>
      <c r="G22" s="777"/>
      <c r="Q22" s="777"/>
      <c r="R22" s="777"/>
      <c r="T22" s="1863" t="s">
        <v>83</v>
      </c>
      <c r="U22" s="50" t="s">
        <v>60</v>
      </c>
      <c r="V22" s="1877">
        <v>156100</v>
      </c>
      <c r="W22" s="1877"/>
      <c r="X22" s="1877"/>
      <c r="Y22" s="1883"/>
    </row>
    <row r="23" spans="1:25" ht="39.75" customHeight="1" x14ac:dyDescent="0.25">
      <c r="A23" s="777"/>
      <c r="B23" s="1906"/>
      <c r="C23" s="1909"/>
      <c r="D23" s="1909"/>
      <c r="E23" s="1909"/>
      <c r="F23" s="1909"/>
      <c r="G23" s="777"/>
      <c r="Q23" s="777"/>
      <c r="R23" s="777"/>
      <c r="T23" s="1864"/>
      <c r="U23" s="50" t="s">
        <v>61</v>
      </c>
      <c r="V23" s="1877">
        <v>156050</v>
      </c>
      <c r="W23" s="1877"/>
      <c r="X23" s="1877"/>
      <c r="Y23" s="1883"/>
    </row>
    <row r="24" spans="1:25" ht="48" customHeight="1" x14ac:dyDescent="0.25">
      <c r="A24" s="77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849" t="s">
        <v>47</v>
      </c>
      <c r="U24" s="51" t="s">
        <v>62</v>
      </c>
      <c r="V24" s="1879">
        <f>V14+V16+V17-V18-V19-V20-V22+V23-V21</f>
        <v>23189.820000000007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9390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77"/>
      <c r="J33" s="77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842" t="s">
        <v>397</v>
      </c>
      <c r="U3" s="1842"/>
      <c r="V3" s="1842"/>
      <c r="W3" s="1842"/>
      <c r="X3" s="1842"/>
      <c r="Y3" s="1842"/>
    </row>
    <row r="4" spans="1:25" s="77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395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72" customFormat="1" ht="25.5" customHeight="1" x14ac:dyDescent="0.25">
      <c r="A5" s="1843"/>
      <c r="B5" s="1843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914" t="s">
        <v>378</v>
      </c>
      <c r="R14" s="1915"/>
      <c r="S14" s="776"/>
      <c r="T14" s="1849" t="s">
        <v>46</v>
      </c>
      <c r="U14" s="770" t="s">
        <v>176</v>
      </c>
      <c r="V14" s="1874">
        <v>23190</v>
      </c>
      <c r="W14" s="1875"/>
      <c r="X14" s="1876"/>
    </row>
    <row r="15" spans="1:25" ht="22.5" customHeight="1" x14ac:dyDescent="0.25">
      <c r="A15" s="100" t="s">
        <v>38</v>
      </c>
      <c r="B15" s="1874">
        <v>297534</v>
      </c>
      <c r="C15" s="1876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874">
        <v>100</v>
      </c>
      <c r="R15" s="1876"/>
      <c r="S15" s="770"/>
      <c r="T15" s="1849"/>
      <c r="U15" s="770" t="s">
        <v>64</v>
      </c>
      <c r="V15" s="1877">
        <v>9390</v>
      </c>
      <c r="W15" s="1877"/>
      <c r="X15" s="1877"/>
    </row>
    <row r="16" spans="1:25" ht="24.75" customHeight="1" x14ac:dyDescent="0.25">
      <c r="A16" s="100" t="s">
        <v>39</v>
      </c>
      <c r="B16" s="1874">
        <v>179740</v>
      </c>
      <c r="C16" s="1876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855"/>
      <c r="R16" s="1855"/>
      <c r="S16" s="773"/>
      <c r="T16" s="1871" t="s">
        <v>55</v>
      </c>
      <c r="U16" s="1871"/>
      <c r="V16" s="1878">
        <f>Y12</f>
        <v>172340.61499999999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855"/>
      <c r="R17" s="1855"/>
      <c r="S17" s="769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177214</v>
      </c>
      <c r="C18" s="1876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877"/>
      <c r="R18" s="1877"/>
      <c r="S18" s="770"/>
      <c r="T18" s="1871" t="s">
        <v>57</v>
      </c>
      <c r="U18" s="1871"/>
      <c r="V18" s="1877">
        <v>720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300060</v>
      </c>
      <c r="C19" s="1876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874">
        <f t="shared" ref="Q19" si="14">Q15+Q16+Q17-Q18</f>
        <v>100</v>
      </c>
      <c r="R19" s="1876"/>
      <c r="S19" s="770">
        <f>S15+S16-S17-S18</f>
        <v>0</v>
      </c>
      <c r="T19" s="1869" t="s">
        <v>48</v>
      </c>
      <c r="U19" s="49" t="s">
        <v>58</v>
      </c>
      <c r="V19" s="1877">
        <v>173000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288807.75</v>
      </c>
      <c r="C20" s="1904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683369.66999999993</v>
      </c>
      <c r="C21" s="1910"/>
      <c r="O21" s="777"/>
      <c r="P21" s="777"/>
      <c r="Q21" s="777"/>
      <c r="R21" s="777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173000</v>
      </c>
      <c r="E22" s="1908">
        <v>173000</v>
      </c>
      <c r="F22" s="1908">
        <f>C22-D22+E22</f>
        <v>400000</v>
      </c>
      <c r="G22" s="777"/>
      <c r="Q22" s="777"/>
      <c r="R22" s="777"/>
      <c r="T22" s="1863" t="s">
        <v>83</v>
      </c>
      <c r="U22" s="50" t="s">
        <v>60</v>
      </c>
      <c r="V22" s="1877">
        <v>172470</v>
      </c>
      <c r="W22" s="1877"/>
      <c r="X22" s="1877"/>
      <c r="Y22" s="1883"/>
    </row>
    <row r="23" spans="1:25" ht="39.75" customHeight="1" x14ac:dyDescent="0.25">
      <c r="A23" s="777"/>
      <c r="B23" s="1906"/>
      <c r="C23" s="1909"/>
      <c r="D23" s="1909"/>
      <c r="E23" s="1909"/>
      <c r="F23" s="1909"/>
      <c r="G23" s="777"/>
      <c r="Q23" s="777"/>
      <c r="R23" s="777"/>
      <c r="T23" s="1864"/>
      <c r="U23" s="50" t="s">
        <v>61</v>
      </c>
      <c r="V23" s="1877">
        <v>173000</v>
      </c>
      <c r="W23" s="1877"/>
      <c r="X23" s="1877"/>
      <c r="Y23" s="1883"/>
    </row>
    <row r="24" spans="1:25" ht="48" customHeight="1" x14ac:dyDescent="0.25">
      <c r="A24" s="77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849" t="s">
        <v>47</v>
      </c>
      <c r="U24" s="51" t="s">
        <v>62</v>
      </c>
      <c r="V24" s="1879">
        <f>V14+V16+V17-V18-V19-V20-V22+V23-V21</f>
        <v>22340.614999999991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8860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77"/>
      <c r="J33" s="77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842" t="s">
        <v>399</v>
      </c>
      <c r="U3" s="1842"/>
      <c r="V3" s="1842"/>
      <c r="W3" s="1842"/>
      <c r="X3" s="1842"/>
      <c r="Y3" s="1842"/>
    </row>
    <row r="4" spans="1:25" s="77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395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78" customFormat="1" ht="25.5" customHeight="1" x14ac:dyDescent="0.25">
      <c r="A5" s="1843"/>
      <c r="B5" s="1843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914" t="s">
        <v>378</v>
      </c>
      <c r="R14" s="1915"/>
      <c r="S14" s="787"/>
      <c r="T14" s="1849" t="s">
        <v>46</v>
      </c>
      <c r="U14" s="779" t="s">
        <v>176</v>
      </c>
      <c r="V14" s="1874">
        <v>22341</v>
      </c>
      <c r="W14" s="1875"/>
      <c r="X14" s="1876"/>
    </row>
    <row r="15" spans="1:25" ht="22.5" customHeight="1" x14ac:dyDescent="0.25">
      <c r="A15" s="100" t="s">
        <v>38</v>
      </c>
      <c r="B15" s="1874">
        <v>300060</v>
      </c>
      <c r="C15" s="1876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874">
        <v>100</v>
      </c>
      <c r="R15" s="1876"/>
      <c r="S15" s="779"/>
      <c r="T15" s="1849"/>
      <c r="U15" s="779" t="s">
        <v>64</v>
      </c>
      <c r="V15" s="1877">
        <v>8860</v>
      </c>
      <c r="W15" s="1877"/>
      <c r="X15" s="1877"/>
    </row>
    <row r="16" spans="1:25" ht="24.75" customHeight="1" x14ac:dyDescent="0.25">
      <c r="A16" s="100" t="s">
        <v>39</v>
      </c>
      <c r="B16" s="1874">
        <v>400936</v>
      </c>
      <c r="C16" s="1876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855"/>
      <c r="R16" s="1855"/>
      <c r="S16" s="784"/>
      <c r="T16" s="1871" t="s">
        <v>55</v>
      </c>
      <c r="U16" s="1871"/>
      <c r="V16" s="1878">
        <f>Y12</f>
        <v>592296.75350000011</v>
      </c>
      <c r="W16" s="1878"/>
      <c r="X16" s="1877"/>
    </row>
    <row r="17" spans="1:25" ht="28.5" customHeight="1" x14ac:dyDescent="0.25">
      <c r="A17" s="101" t="s">
        <v>44</v>
      </c>
      <c r="B17" s="1874">
        <v>18587</v>
      </c>
      <c r="C17" s="1876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855"/>
      <c r="R17" s="1855"/>
      <c r="S17" s="781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393163</v>
      </c>
      <c r="C18" s="1876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877"/>
      <c r="R18" s="1877"/>
      <c r="S18" s="779"/>
      <c r="T18" s="1871" t="s">
        <v>57</v>
      </c>
      <c r="U18" s="1871"/>
      <c r="V18" s="1877">
        <v>6920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326420</v>
      </c>
      <c r="C19" s="1876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874">
        <f t="shared" ref="Q19" si="14">Q15+Q16+Q17-Q18</f>
        <v>100</v>
      </c>
      <c r="R19" s="1876"/>
      <c r="S19" s="779">
        <f>S15+S16-S17-S18</f>
        <v>0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314179.25</v>
      </c>
      <c r="C20" s="1904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903">
        <f>341*Q19</f>
        <v>34100</v>
      </c>
      <c r="R20" s="1904"/>
      <c r="S20" s="290">
        <f>241*S19</f>
        <v>0</v>
      </c>
      <c r="T20" s="1870"/>
      <c r="U20" s="49" t="s">
        <v>59</v>
      </c>
      <c r="V20" s="1877">
        <v>205620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720684.33399999992</v>
      </c>
      <c r="C21" s="1910"/>
      <c r="O21" s="788"/>
      <c r="P21" s="788"/>
      <c r="Q21" s="788"/>
      <c r="R21" s="788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400000</v>
      </c>
      <c r="F22" s="1908">
        <f>C22-D22+E22</f>
        <v>400000</v>
      </c>
      <c r="G22" s="788"/>
      <c r="Q22" s="788"/>
      <c r="R22" s="788"/>
      <c r="T22" s="1863" t="s">
        <v>83</v>
      </c>
      <c r="U22" s="50" t="s">
        <v>60</v>
      </c>
      <c r="V22" s="1877">
        <v>605620</v>
      </c>
      <c r="W22" s="1877"/>
      <c r="X22" s="1877"/>
      <c r="Y22" s="1883"/>
    </row>
    <row r="23" spans="1:25" ht="39.75" customHeight="1" x14ac:dyDescent="0.25">
      <c r="A23" s="788"/>
      <c r="B23" s="1906"/>
      <c r="C23" s="1909"/>
      <c r="D23" s="1909"/>
      <c r="E23" s="1909"/>
      <c r="F23" s="1909"/>
      <c r="G23" s="788"/>
      <c r="Q23" s="788"/>
      <c r="R23" s="788"/>
      <c r="T23" s="1864"/>
      <c r="U23" s="50" t="s">
        <v>61</v>
      </c>
      <c r="V23" s="1877">
        <v>605620</v>
      </c>
      <c r="W23" s="1877"/>
      <c r="X23" s="1877"/>
      <c r="Y23" s="1883"/>
    </row>
    <row r="24" spans="1:25" ht="48" customHeight="1" x14ac:dyDescent="0.25">
      <c r="A24" s="78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849" t="s">
        <v>47</v>
      </c>
      <c r="U24" s="51" t="s">
        <v>62</v>
      </c>
      <c r="V24" s="1879">
        <f>V14+V16+V17-V18-V19-V20-V22+V23-V21</f>
        <v>2097.753500000108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8860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88"/>
      <c r="J33" s="78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842" t="s">
        <v>400</v>
      </c>
      <c r="U3" s="1842"/>
      <c r="V3" s="1842"/>
      <c r="W3" s="1842"/>
      <c r="X3" s="1842"/>
      <c r="Y3" s="1842"/>
    </row>
    <row r="4" spans="1:25" s="79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794" customFormat="1" ht="25.5" customHeight="1" x14ac:dyDescent="0.25">
      <c r="A5" s="1843"/>
      <c r="B5" s="1843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914" t="s">
        <v>378</v>
      </c>
      <c r="R14" s="1915"/>
      <c r="S14" s="798" t="s">
        <v>401</v>
      </c>
      <c r="T14" s="1849" t="s">
        <v>46</v>
      </c>
      <c r="U14" s="792" t="s">
        <v>176</v>
      </c>
      <c r="V14" s="1874">
        <v>2098</v>
      </c>
      <c r="W14" s="1875"/>
      <c r="X14" s="1876"/>
    </row>
    <row r="15" spans="1:25" ht="22.5" customHeight="1" x14ac:dyDescent="0.25">
      <c r="A15" s="100" t="s">
        <v>38</v>
      </c>
      <c r="B15" s="1874">
        <v>326420</v>
      </c>
      <c r="C15" s="1876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874">
        <v>0</v>
      </c>
      <c r="R15" s="1876"/>
      <c r="S15" s="792">
        <v>100</v>
      </c>
      <c r="T15" s="1849"/>
      <c r="U15" s="792" t="s">
        <v>64</v>
      </c>
      <c r="V15" s="1877">
        <v>8860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855"/>
      <c r="R16" s="1855"/>
      <c r="S16" s="795"/>
      <c r="T16" s="1871" t="s">
        <v>55</v>
      </c>
      <c r="U16" s="1871"/>
      <c r="V16" s="1878">
        <f>Y12</f>
        <v>196771.99950000001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855"/>
      <c r="R17" s="1855"/>
      <c r="S17" s="791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116103</v>
      </c>
      <c r="C18" s="1876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877"/>
      <c r="R18" s="1877"/>
      <c r="S18" s="792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210317</v>
      </c>
      <c r="C19" s="1876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874">
        <f t="shared" ref="Q19" si="14">Q15+Q16+Q17-Q18</f>
        <v>0</v>
      </c>
      <c r="R19" s="1876"/>
      <c r="S19" s="792">
        <f>S15+S16-S17-S18</f>
        <v>100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202430.11250000002</v>
      </c>
      <c r="C20" s="1904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903">
        <f>341*Q19</f>
        <v>0</v>
      </c>
      <c r="R20" s="1904"/>
      <c r="S20" s="290">
        <f>241*S19</f>
        <v>24100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916178.42449999996</v>
      </c>
      <c r="C21" s="1910"/>
      <c r="O21" s="799"/>
      <c r="P21" s="799"/>
      <c r="Q21" s="799"/>
      <c r="R21" s="799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>
        <v>400366</v>
      </c>
      <c r="F22" s="1908">
        <f>C22-D22+E22</f>
        <v>800366</v>
      </c>
      <c r="G22" s="799"/>
      <c r="Q22" s="799"/>
      <c r="R22" s="799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799"/>
      <c r="B23" s="1906"/>
      <c r="C23" s="1909"/>
      <c r="D23" s="1909"/>
      <c r="E23" s="1909"/>
      <c r="F23" s="1909"/>
      <c r="G23" s="799"/>
      <c r="Q23" s="799"/>
      <c r="R23" s="799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79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849" t="s">
        <v>47</v>
      </c>
      <c r="U24" s="51" t="s">
        <v>62</v>
      </c>
      <c r="V24" s="1879">
        <f>V14+V16+V17-V18-V19-V20-V22+V23-V21</f>
        <v>198249.99950000001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8860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799"/>
      <c r="J33" s="799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842" t="s">
        <v>404</v>
      </c>
      <c r="U3" s="1842"/>
      <c r="V3" s="1842"/>
      <c r="W3" s="1842"/>
      <c r="X3" s="1842"/>
      <c r="Y3" s="1842"/>
    </row>
    <row r="4" spans="1:25" s="80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05" customFormat="1" ht="25.5" customHeight="1" x14ac:dyDescent="0.25">
      <c r="A5" s="1843"/>
      <c r="B5" s="1843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914" t="s">
        <v>378</v>
      </c>
      <c r="R14" s="1915"/>
      <c r="S14" s="809" t="s">
        <v>401</v>
      </c>
      <c r="T14" s="1849" t="s">
        <v>46</v>
      </c>
      <c r="U14" s="803" t="s">
        <v>176</v>
      </c>
      <c r="V14" s="1874">
        <v>198250</v>
      </c>
      <c r="W14" s="1875"/>
      <c r="X14" s="1876"/>
    </row>
    <row r="15" spans="1:25" ht="22.5" customHeight="1" x14ac:dyDescent="0.25">
      <c r="A15" s="100" t="s">
        <v>38</v>
      </c>
      <c r="B15" s="1874">
        <v>210317</v>
      </c>
      <c r="C15" s="1876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874">
        <v>0</v>
      </c>
      <c r="R15" s="1876"/>
      <c r="S15" s="803">
        <v>100</v>
      </c>
      <c r="T15" s="1849"/>
      <c r="U15" s="803" t="s">
        <v>64</v>
      </c>
      <c r="V15" s="1877">
        <v>8860</v>
      </c>
      <c r="W15" s="1877"/>
      <c r="X15" s="1877"/>
    </row>
    <row r="16" spans="1:25" ht="24.75" customHeight="1" x14ac:dyDescent="0.25">
      <c r="A16" s="100" t="s">
        <v>39</v>
      </c>
      <c r="B16" s="1874">
        <v>207792</v>
      </c>
      <c r="C16" s="1876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855"/>
      <c r="R16" s="1855"/>
      <c r="S16" s="806"/>
      <c r="T16" s="1871" t="s">
        <v>55</v>
      </c>
      <c r="U16" s="1871"/>
      <c r="V16" s="1878">
        <f>Y12</f>
        <v>259610.66800000001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855"/>
      <c r="R17" s="1855"/>
      <c r="S17" s="802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114872</v>
      </c>
      <c r="C18" s="1876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877"/>
      <c r="R18" s="1877"/>
      <c r="S18" s="803"/>
      <c r="T18" s="1871" t="s">
        <v>57</v>
      </c>
      <c r="U18" s="1871"/>
      <c r="V18" s="1877">
        <v>840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303237</v>
      </c>
      <c r="C19" s="1876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874">
        <f t="shared" ref="Q19" si="14">Q15+Q16+Q17-Q18</f>
        <v>0</v>
      </c>
      <c r="R19" s="1876"/>
      <c r="S19" s="803">
        <f>S15+S16-S17-S18</f>
        <v>100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291865.61249999999</v>
      </c>
      <c r="C20" s="1904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903">
        <f>341*Q19</f>
        <v>0</v>
      </c>
      <c r="R20" s="1904"/>
      <c r="S20" s="290">
        <f>241*S19</f>
        <v>24100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859189.10849999997</v>
      </c>
      <c r="C21" s="1910"/>
      <c r="O21" s="810"/>
      <c r="P21" s="810"/>
      <c r="Q21" s="810"/>
      <c r="R21" s="810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800366</v>
      </c>
      <c r="D22" s="1908">
        <v>400000</v>
      </c>
      <c r="E22" s="1908">
        <v>200000</v>
      </c>
      <c r="F22" s="1908">
        <f>C22-D22+E22</f>
        <v>600366</v>
      </c>
      <c r="G22" s="810"/>
      <c r="Q22" s="810"/>
      <c r="R22" s="810"/>
      <c r="T22" s="1863" t="s">
        <v>83</v>
      </c>
      <c r="U22" s="50" t="s">
        <v>60</v>
      </c>
      <c r="V22" s="1877">
        <v>403400</v>
      </c>
      <c r="W22" s="1877"/>
      <c r="X22" s="1877"/>
      <c r="Y22" s="1883"/>
    </row>
    <row r="23" spans="1:25" ht="39.75" customHeight="1" x14ac:dyDescent="0.25">
      <c r="A23" s="810"/>
      <c r="B23" s="1906"/>
      <c r="C23" s="1909"/>
      <c r="D23" s="1909"/>
      <c r="E23" s="1909"/>
      <c r="F23" s="1909"/>
      <c r="G23" s="810"/>
      <c r="Q23" s="810"/>
      <c r="R23" s="810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81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849" t="s">
        <v>47</v>
      </c>
      <c r="U24" s="51" t="s">
        <v>62</v>
      </c>
      <c r="V24" s="1879">
        <f>V14+V16+V17-V18-V19-V20-V22+V23-V21</f>
        <v>53620.668000000005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12260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10"/>
      <c r="J33" s="81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842" t="s">
        <v>405</v>
      </c>
      <c r="U3" s="1842"/>
      <c r="V3" s="1842"/>
      <c r="W3" s="1842"/>
      <c r="X3" s="1842"/>
      <c r="Y3" s="1842"/>
    </row>
    <row r="4" spans="1:25" s="81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11" customFormat="1" ht="25.5" customHeight="1" x14ac:dyDescent="0.25">
      <c r="A5" s="1843"/>
      <c r="B5" s="1843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914" t="s">
        <v>378</v>
      </c>
      <c r="R14" s="1915"/>
      <c r="S14" s="820" t="s">
        <v>401</v>
      </c>
      <c r="T14" s="1849" t="s">
        <v>46</v>
      </c>
      <c r="U14" s="812" t="s">
        <v>176</v>
      </c>
      <c r="V14" s="1874">
        <v>53621</v>
      </c>
      <c r="W14" s="1875"/>
      <c r="X14" s="1876"/>
    </row>
    <row r="15" spans="1:25" ht="22.5" customHeight="1" x14ac:dyDescent="0.25">
      <c r="A15" s="100" t="s">
        <v>38</v>
      </c>
      <c r="B15" s="1874">
        <v>303237</v>
      </c>
      <c r="C15" s="1876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874">
        <v>0</v>
      </c>
      <c r="R15" s="1876"/>
      <c r="S15" s="812">
        <v>100</v>
      </c>
      <c r="T15" s="1849"/>
      <c r="U15" s="812" t="s">
        <v>64</v>
      </c>
      <c r="V15" s="1877">
        <v>12260</v>
      </c>
      <c r="W15" s="1877"/>
      <c r="X15" s="1877"/>
    </row>
    <row r="16" spans="1:25" ht="24.75" customHeight="1" x14ac:dyDescent="0.25">
      <c r="A16" s="100" t="s">
        <v>39</v>
      </c>
      <c r="B16" s="1874">
        <v>270130</v>
      </c>
      <c r="C16" s="1876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855"/>
      <c r="R16" s="1855"/>
      <c r="S16" s="817"/>
      <c r="T16" s="1871" t="s">
        <v>55</v>
      </c>
      <c r="U16" s="1871"/>
      <c r="V16" s="1878">
        <f>Y12</f>
        <v>287507.06400000001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855"/>
      <c r="R17" s="1855"/>
      <c r="S17" s="814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273808</v>
      </c>
      <c r="C18" s="1876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877"/>
      <c r="R18" s="1877"/>
      <c r="S18" s="812"/>
      <c r="T18" s="1871" t="s">
        <v>57</v>
      </c>
      <c r="U18" s="1871"/>
      <c r="V18" s="1877">
        <v>920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299559</v>
      </c>
      <c r="C19" s="1876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874">
        <f t="shared" ref="Q19" si="14">Q15+Q16+Q17-Q18</f>
        <v>0</v>
      </c>
      <c r="R19" s="1876"/>
      <c r="S19" s="812">
        <f>S15+S16-S17-S18</f>
        <v>100</v>
      </c>
      <c r="T19" s="1869" t="s">
        <v>48</v>
      </c>
      <c r="U19" s="49" t="s">
        <v>58</v>
      </c>
      <c r="V19" s="1877">
        <v>260000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288325.53750000003</v>
      </c>
      <c r="C20" s="1904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903">
        <f>341*Q19</f>
        <v>0</v>
      </c>
      <c r="R20" s="1904"/>
      <c r="S20" s="290">
        <f>241*S19</f>
        <v>24100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834632.14950000006</v>
      </c>
      <c r="C21" s="1910"/>
      <c r="O21" s="821"/>
      <c r="P21" s="821"/>
      <c r="Q21" s="821"/>
      <c r="R21" s="821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600366</v>
      </c>
      <c r="D22" s="1908">
        <v>260000</v>
      </c>
      <c r="E22" s="1908">
        <v>260000</v>
      </c>
      <c r="F22" s="1908">
        <f>C22-D22+E22</f>
        <v>600366</v>
      </c>
      <c r="G22" s="821"/>
      <c r="Q22" s="821"/>
      <c r="R22" s="821"/>
      <c r="T22" s="1863" t="s">
        <v>83</v>
      </c>
      <c r="U22" s="50" t="s">
        <v>60</v>
      </c>
      <c r="V22" s="1877">
        <v>255260</v>
      </c>
      <c r="W22" s="1877"/>
      <c r="X22" s="1877"/>
      <c r="Y22" s="1883"/>
    </row>
    <row r="23" spans="1:25" ht="39.75" customHeight="1" x14ac:dyDescent="0.25">
      <c r="A23" s="821"/>
      <c r="B23" s="1906"/>
      <c r="C23" s="1909"/>
      <c r="D23" s="1909"/>
      <c r="E23" s="1909"/>
      <c r="F23" s="1909"/>
      <c r="G23" s="821"/>
      <c r="Q23" s="821"/>
      <c r="R23" s="821"/>
      <c r="T23" s="1864"/>
      <c r="U23" s="50" t="s">
        <v>61</v>
      </c>
      <c r="V23" s="1877">
        <v>260000</v>
      </c>
      <c r="W23" s="1877"/>
      <c r="X23" s="1877"/>
      <c r="Y23" s="1883"/>
    </row>
    <row r="24" spans="1:25" ht="48" customHeight="1" x14ac:dyDescent="0.25">
      <c r="A24" s="82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849" t="s">
        <v>47</v>
      </c>
      <c r="U24" s="51" t="s">
        <v>62</v>
      </c>
      <c r="V24" s="1879">
        <f>V14+V16+V17-V18-V19-V20-V22+V23-V21</f>
        <v>84948.064000000013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21"/>
      <c r="J33" s="82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842" t="s">
        <v>406</v>
      </c>
      <c r="U3" s="1842"/>
      <c r="V3" s="1842"/>
      <c r="W3" s="1842"/>
      <c r="X3" s="1842"/>
      <c r="Y3" s="1842"/>
    </row>
    <row r="4" spans="1:25" s="82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27" customFormat="1" ht="25.5" customHeight="1" x14ac:dyDescent="0.25">
      <c r="A5" s="1843"/>
      <c r="B5" s="1843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914" t="s">
        <v>378</v>
      </c>
      <c r="R14" s="1915"/>
      <c r="S14" s="831" t="s">
        <v>401</v>
      </c>
      <c r="T14" s="1849" t="s">
        <v>46</v>
      </c>
      <c r="U14" s="825" t="s">
        <v>176</v>
      </c>
      <c r="V14" s="1874">
        <v>84948</v>
      </c>
      <c r="W14" s="1875"/>
      <c r="X14" s="1876"/>
    </row>
    <row r="15" spans="1:25" ht="22.5" customHeight="1" x14ac:dyDescent="0.25">
      <c r="A15" s="100" t="s">
        <v>38</v>
      </c>
      <c r="B15" s="1874">
        <v>299559</v>
      </c>
      <c r="C15" s="1876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874">
        <v>0</v>
      </c>
      <c r="R15" s="1876"/>
      <c r="S15" s="825">
        <v>100</v>
      </c>
      <c r="T15" s="1849"/>
      <c r="U15" s="825" t="s">
        <v>64</v>
      </c>
      <c r="V15" s="1877">
        <v>7520</v>
      </c>
      <c r="W15" s="1877"/>
      <c r="X15" s="1877"/>
    </row>
    <row r="16" spans="1:25" ht="24.75" customHeight="1" x14ac:dyDescent="0.25">
      <c r="A16" s="100" t="s">
        <v>39</v>
      </c>
      <c r="B16" s="1874">
        <v>363636</v>
      </c>
      <c r="C16" s="1876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855"/>
      <c r="R16" s="1855"/>
      <c r="S16" s="828"/>
      <c r="T16" s="1871" t="s">
        <v>55</v>
      </c>
      <c r="U16" s="1871"/>
      <c r="V16" s="1878">
        <f>Y12</f>
        <v>297786.06450000004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855"/>
      <c r="R17" s="1855"/>
      <c r="S17" s="824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195721</v>
      </c>
      <c r="C18" s="1876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877"/>
      <c r="R18" s="1877"/>
      <c r="S18" s="825">
        <v>19</v>
      </c>
      <c r="T18" s="1871" t="s">
        <v>57</v>
      </c>
      <c r="U18" s="1871"/>
      <c r="V18" s="1877">
        <v>64376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467474</v>
      </c>
      <c r="C19" s="1876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874">
        <f t="shared" ref="Q19" si="14">Q15+Q16+Q17-Q18</f>
        <v>0</v>
      </c>
      <c r="R19" s="1876"/>
      <c r="S19" s="825">
        <f>S15+S16-S17-S18</f>
        <v>81</v>
      </c>
      <c r="T19" s="1869" t="s">
        <v>48</v>
      </c>
      <c r="U19" s="49" t="s">
        <v>58</v>
      </c>
      <c r="V19" s="1877">
        <v>200000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449943.72500000003</v>
      </c>
      <c r="C20" s="1904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03">
        <f>341*Q19</f>
        <v>0</v>
      </c>
      <c r="R20" s="1904"/>
      <c r="S20" s="290">
        <f>241*S19</f>
        <v>19521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891615.73300000001</v>
      </c>
      <c r="C21" s="1910"/>
      <c r="O21" s="832"/>
      <c r="P21" s="832"/>
      <c r="Q21" s="832"/>
      <c r="R21" s="832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600366</v>
      </c>
      <c r="D22" s="1908">
        <v>200000</v>
      </c>
      <c r="E22" s="1908">
        <v>350000</v>
      </c>
      <c r="F22" s="1908">
        <f>C22-D22+E22</f>
        <v>750366</v>
      </c>
      <c r="G22" s="832"/>
      <c r="Q22" s="832"/>
      <c r="R22" s="832"/>
      <c r="T22" s="1863" t="s">
        <v>83</v>
      </c>
      <c r="U22" s="50" t="s">
        <v>60</v>
      </c>
      <c r="V22" s="1877">
        <v>200000</v>
      </c>
      <c r="W22" s="1877"/>
      <c r="X22" s="1877"/>
      <c r="Y22" s="1883"/>
    </row>
    <row r="23" spans="1:25" ht="39.75" customHeight="1" x14ac:dyDescent="0.25">
      <c r="A23" s="832"/>
      <c r="B23" s="1906"/>
      <c r="C23" s="1909"/>
      <c r="D23" s="1909"/>
      <c r="E23" s="1909"/>
      <c r="F23" s="1909"/>
      <c r="G23" s="832"/>
      <c r="Q23" s="832"/>
      <c r="R23" s="832"/>
      <c r="T23" s="1864"/>
      <c r="U23" s="50" t="s">
        <v>61</v>
      </c>
      <c r="V23" s="1877">
        <v>200000</v>
      </c>
      <c r="W23" s="1877"/>
      <c r="X23" s="1877"/>
      <c r="Y23" s="1883"/>
    </row>
    <row r="24" spans="1:25" ht="48" customHeight="1" x14ac:dyDescent="0.25">
      <c r="A24" s="83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849" t="s">
        <v>47</v>
      </c>
      <c r="U24" s="51" t="s">
        <v>62</v>
      </c>
      <c r="V24" s="1879">
        <f>V14+V16+V17-V18-V19-V20-V22+V23-V21</f>
        <v>118358.06450000004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32"/>
      <c r="J33" s="83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842" t="s">
        <v>407</v>
      </c>
      <c r="U3" s="1842"/>
      <c r="V3" s="1842"/>
      <c r="W3" s="1842"/>
      <c r="X3" s="1842"/>
      <c r="Y3" s="1842"/>
    </row>
    <row r="4" spans="1:25" s="83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33" customFormat="1" ht="25.5" customHeight="1" x14ac:dyDescent="0.25">
      <c r="A5" s="1843"/>
      <c r="B5" s="184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914" t="s">
        <v>378</v>
      </c>
      <c r="R14" s="1915"/>
      <c r="S14" s="842" t="s">
        <v>401</v>
      </c>
      <c r="T14" s="1849" t="s">
        <v>46</v>
      </c>
      <c r="U14" s="834" t="s">
        <v>176</v>
      </c>
      <c r="V14" s="1874">
        <v>118358</v>
      </c>
      <c r="W14" s="1875"/>
      <c r="X14" s="1876"/>
    </row>
    <row r="15" spans="1:25" ht="22.5" customHeight="1" x14ac:dyDescent="0.25">
      <c r="A15" s="100" t="s">
        <v>38</v>
      </c>
      <c r="B15" s="1874">
        <v>467474</v>
      </c>
      <c r="C15" s="1876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874">
        <v>0</v>
      </c>
      <c r="R15" s="1876"/>
      <c r="S15" s="834">
        <v>81</v>
      </c>
      <c r="T15" s="1849"/>
      <c r="U15" s="834" t="s">
        <v>64</v>
      </c>
      <c r="V15" s="1877">
        <v>7520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855"/>
      <c r="R16" s="1855"/>
      <c r="S16" s="839"/>
      <c r="T16" s="1871" t="s">
        <v>55</v>
      </c>
      <c r="U16" s="1871"/>
      <c r="V16" s="1878">
        <f>Y12</f>
        <v>233639.5575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855"/>
      <c r="R17" s="1855"/>
      <c r="S17" s="836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148467</v>
      </c>
      <c r="C18" s="1876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877"/>
      <c r="R18" s="1877"/>
      <c r="S18" s="834"/>
      <c r="T18" s="1871" t="s">
        <v>57</v>
      </c>
      <c r="U18" s="1871"/>
      <c r="V18" s="1877">
        <v>1460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319007</v>
      </c>
      <c r="C19" s="1876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874">
        <f t="shared" ref="Q19" si="14">Q15+Q16+Q17-Q18</f>
        <v>0</v>
      </c>
      <c r="R19" s="1876"/>
      <c r="S19" s="834">
        <f>S15+S16-S17-S18</f>
        <v>81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307044.23749999999</v>
      </c>
      <c r="C20" s="1904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03">
        <f>341*Q19</f>
        <v>0</v>
      </c>
      <c r="R20" s="1904"/>
      <c r="S20" s="290">
        <f>241*S19</f>
        <v>19521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660380.9375</v>
      </c>
      <c r="C21" s="1910"/>
      <c r="O21" s="843"/>
      <c r="P21" s="843"/>
      <c r="Q21" s="843"/>
      <c r="R21" s="843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750366</v>
      </c>
      <c r="D22" s="1908"/>
      <c r="E22" s="1908"/>
      <c r="F22" s="1908">
        <f>C22-D22+E22</f>
        <v>750366</v>
      </c>
      <c r="G22" s="843"/>
      <c r="Q22" s="843"/>
      <c r="R22" s="843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843"/>
      <c r="B23" s="1906"/>
      <c r="C23" s="1909"/>
      <c r="D23" s="1909"/>
      <c r="E23" s="1909"/>
      <c r="F23" s="1909"/>
      <c r="G23" s="843"/>
      <c r="Q23" s="843"/>
      <c r="R23" s="843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84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849" t="s">
        <v>47</v>
      </c>
      <c r="U24" s="51" t="s">
        <v>62</v>
      </c>
      <c r="V24" s="1879">
        <f>V14+V16+V17-V18-V19-V20-V22+V23-V21</f>
        <v>350537.5575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43"/>
      <c r="J33" s="84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842" t="s">
        <v>408</v>
      </c>
      <c r="U3" s="1842"/>
      <c r="V3" s="1842"/>
      <c r="W3" s="1842"/>
      <c r="X3" s="1842"/>
      <c r="Y3" s="1842"/>
    </row>
    <row r="4" spans="1:25" s="83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33" customFormat="1" ht="25.5" customHeight="1" x14ac:dyDescent="0.25">
      <c r="A5" s="1843"/>
      <c r="B5" s="1843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914" t="s">
        <v>378</v>
      </c>
      <c r="R14" s="1915"/>
      <c r="S14" s="842" t="s">
        <v>401</v>
      </c>
      <c r="T14" s="1849" t="s">
        <v>46</v>
      </c>
      <c r="U14" s="834" t="s">
        <v>176</v>
      </c>
      <c r="V14" s="1874">
        <v>350538</v>
      </c>
      <c r="W14" s="1875"/>
      <c r="X14" s="1876"/>
    </row>
    <row r="15" spans="1:25" ht="22.5" customHeight="1" x14ac:dyDescent="0.25">
      <c r="A15" s="100" t="s">
        <v>38</v>
      </c>
      <c r="B15" s="1874">
        <v>319007</v>
      </c>
      <c r="C15" s="1876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874">
        <v>0</v>
      </c>
      <c r="R15" s="1876"/>
      <c r="S15" s="834">
        <v>81</v>
      </c>
      <c r="T15" s="1849"/>
      <c r="U15" s="834" t="s">
        <v>64</v>
      </c>
      <c r="V15" s="1877">
        <v>7520</v>
      </c>
      <c r="W15" s="1877"/>
      <c r="X15" s="1877"/>
    </row>
    <row r="16" spans="1:25" ht="24.75" customHeight="1" x14ac:dyDescent="0.25">
      <c r="A16" s="100" t="s">
        <v>39</v>
      </c>
      <c r="B16" s="1874">
        <v>145454</v>
      </c>
      <c r="C16" s="1876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855"/>
      <c r="R16" s="1855"/>
      <c r="S16" s="839"/>
      <c r="T16" s="1871" t="s">
        <v>55</v>
      </c>
      <c r="U16" s="1871"/>
      <c r="V16" s="1878">
        <f>Y12</f>
        <v>406969.87550000002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855"/>
      <c r="R17" s="1855"/>
      <c r="S17" s="836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186895</v>
      </c>
      <c r="C18" s="1876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877"/>
      <c r="R18" s="1877"/>
      <c r="S18" s="834"/>
      <c r="T18" s="1871" t="s">
        <v>57</v>
      </c>
      <c r="U18" s="1871"/>
      <c r="V18" s="1877">
        <v>1420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277566</v>
      </c>
      <c r="C19" s="1876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874">
        <f t="shared" ref="Q19" si="14">Q15+Q16+Q17-Q18</f>
        <v>0</v>
      </c>
      <c r="R19" s="1876"/>
      <c r="S19" s="834">
        <f>S15+S16-S17-S18</f>
        <v>81</v>
      </c>
      <c r="T19" s="1869" t="s">
        <v>48</v>
      </c>
      <c r="U19" s="49" t="s">
        <v>58</v>
      </c>
      <c r="V19" s="1877">
        <v>751400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267157.27500000002</v>
      </c>
      <c r="C20" s="1904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03">
        <f>341*Q19</f>
        <v>0</v>
      </c>
      <c r="R20" s="1904"/>
      <c r="S20" s="290">
        <f>241*S19</f>
        <v>19521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397595.98300000001</v>
      </c>
      <c r="C21" s="1910"/>
      <c r="O21" s="843"/>
      <c r="P21" s="843"/>
      <c r="Q21" s="843"/>
      <c r="R21" s="843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750366</v>
      </c>
      <c r="D22" s="1908">
        <v>751400</v>
      </c>
      <c r="E22" s="1908">
        <v>140000</v>
      </c>
      <c r="F22" s="1908">
        <f>C22-D22+E22</f>
        <v>138966</v>
      </c>
      <c r="G22" s="843"/>
      <c r="Q22" s="843"/>
      <c r="R22" s="843"/>
      <c r="T22" s="1863" t="s">
        <v>83</v>
      </c>
      <c r="U22" s="50" t="s">
        <v>60</v>
      </c>
      <c r="V22" s="1877">
        <v>751400</v>
      </c>
      <c r="W22" s="1877"/>
      <c r="X22" s="1877"/>
      <c r="Y22" s="1883"/>
    </row>
    <row r="23" spans="1:25" ht="39.75" customHeight="1" x14ac:dyDescent="0.25">
      <c r="A23" s="843"/>
      <c r="B23" s="1906"/>
      <c r="C23" s="1909"/>
      <c r="D23" s="1909"/>
      <c r="E23" s="1909"/>
      <c r="F23" s="1909"/>
      <c r="G23" s="843"/>
      <c r="Q23" s="843"/>
      <c r="R23" s="843"/>
      <c r="T23" s="1864"/>
      <c r="U23" s="50" t="s">
        <v>61</v>
      </c>
      <c r="V23" s="1877">
        <v>751400</v>
      </c>
      <c r="W23" s="1877"/>
      <c r="X23" s="1877"/>
      <c r="Y23" s="1883"/>
    </row>
    <row r="24" spans="1:25" ht="48" customHeight="1" x14ac:dyDescent="0.25">
      <c r="A24" s="84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849" t="s">
        <v>47</v>
      </c>
      <c r="U24" s="51" t="s">
        <v>62</v>
      </c>
      <c r="V24" s="1879">
        <f>V14+V16+V17-V18-V19-V20-V22+V23-V21</f>
        <v>4687.875500000082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43"/>
      <c r="J33" s="84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842" t="s">
        <v>409</v>
      </c>
      <c r="U3" s="1842"/>
      <c r="V3" s="1842"/>
      <c r="W3" s="1842"/>
      <c r="X3" s="1842"/>
      <c r="Y3" s="1842"/>
    </row>
    <row r="4" spans="1:25" s="84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49" customFormat="1" ht="25.5" customHeight="1" x14ac:dyDescent="0.25">
      <c r="A5" s="1843"/>
      <c r="B5" s="1843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914" t="s">
        <v>378</v>
      </c>
      <c r="R14" s="1915"/>
      <c r="S14" s="853" t="s">
        <v>401</v>
      </c>
      <c r="T14" s="1849" t="s">
        <v>46</v>
      </c>
      <c r="U14" s="847" t="s">
        <v>176</v>
      </c>
      <c r="V14" s="1874">
        <v>4688</v>
      </c>
      <c r="W14" s="1875"/>
      <c r="X14" s="1876"/>
    </row>
    <row r="15" spans="1:25" ht="22.5" customHeight="1" x14ac:dyDescent="0.25">
      <c r="A15" s="100" t="s">
        <v>38</v>
      </c>
      <c r="B15" s="1874">
        <v>277566</v>
      </c>
      <c r="C15" s="1876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874">
        <v>0</v>
      </c>
      <c r="R15" s="1876"/>
      <c r="S15" s="847">
        <v>81</v>
      </c>
      <c r="T15" s="1849"/>
      <c r="U15" s="847" t="s">
        <v>64</v>
      </c>
      <c r="V15" s="1877">
        <v>7520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855"/>
      <c r="R16" s="1855"/>
      <c r="S16" s="850"/>
      <c r="T16" s="1871" t="s">
        <v>55</v>
      </c>
      <c r="U16" s="1871"/>
      <c r="V16" s="1878">
        <f>Y12</f>
        <v>153274.55000000002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855"/>
      <c r="R17" s="1855"/>
      <c r="S17" s="846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153180</v>
      </c>
      <c r="C18" s="1876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877"/>
      <c r="R18" s="1877"/>
      <c r="S18" s="847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124386</v>
      </c>
      <c r="C19" s="1876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874">
        <f t="shared" ref="Q19" si="14">Q15+Q16+Q17-Q18</f>
        <v>0</v>
      </c>
      <c r="R19" s="1876"/>
      <c r="S19" s="847">
        <f>S15+S16-S17-S18</f>
        <v>81</v>
      </c>
      <c r="T19" s="1869" t="s">
        <v>48</v>
      </c>
      <c r="U19" s="49" t="s">
        <v>58</v>
      </c>
      <c r="V19" s="1877">
        <v>31000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119721.52500000001</v>
      </c>
      <c r="C20" s="1904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03">
        <f>341*Q19</f>
        <v>0</v>
      </c>
      <c r="R20" s="1904"/>
      <c r="S20" s="290">
        <f>241*S19</f>
        <v>19521</v>
      </c>
      <c r="T20" s="1870"/>
      <c r="U20" s="49" t="s">
        <v>59</v>
      </c>
      <c r="V20" s="1877">
        <v>96400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342282.18500000006</v>
      </c>
      <c r="C21" s="1910"/>
      <c r="O21" s="854"/>
      <c r="P21" s="854"/>
      <c r="Q21" s="854"/>
      <c r="R21" s="854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138966</v>
      </c>
      <c r="D22" s="1908">
        <v>31000</v>
      </c>
      <c r="E22" s="1908"/>
      <c r="F22" s="1908">
        <f>C22-D22+E22</f>
        <v>107966</v>
      </c>
      <c r="G22" s="854"/>
      <c r="Q22" s="854"/>
      <c r="R22" s="854"/>
      <c r="T22" s="1863" t="s">
        <v>83</v>
      </c>
      <c r="U22" s="50" t="s">
        <v>60</v>
      </c>
      <c r="V22" s="1877">
        <v>127400</v>
      </c>
      <c r="W22" s="1877"/>
      <c r="X22" s="1877"/>
      <c r="Y22" s="1883"/>
    </row>
    <row r="23" spans="1:25" ht="39.75" customHeight="1" x14ac:dyDescent="0.25">
      <c r="A23" s="854"/>
      <c r="B23" s="1906"/>
      <c r="C23" s="1909"/>
      <c r="D23" s="1909"/>
      <c r="E23" s="1909"/>
      <c r="F23" s="1909"/>
      <c r="G23" s="854"/>
      <c r="Q23" s="854"/>
      <c r="R23" s="854"/>
      <c r="T23" s="1864"/>
      <c r="U23" s="50" t="s">
        <v>61</v>
      </c>
      <c r="V23" s="1877">
        <v>127400</v>
      </c>
      <c r="W23" s="1877"/>
      <c r="X23" s="1877"/>
      <c r="Y23" s="1883"/>
    </row>
    <row r="24" spans="1:25" ht="48" customHeight="1" x14ac:dyDescent="0.25">
      <c r="A24" s="85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849" t="s">
        <v>47</v>
      </c>
      <c r="U24" s="51" t="s">
        <v>62</v>
      </c>
      <c r="V24" s="1879">
        <f>V14+V16+V17-V18-V19-V20-V22+V23-V21</f>
        <v>29942.550000000017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54"/>
      <c r="J33" s="85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842" t="s">
        <v>410</v>
      </c>
      <c r="U3" s="1842"/>
      <c r="V3" s="1842"/>
      <c r="W3" s="1842"/>
      <c r="X3" s="1842"/>
      <c r="Y3" s="1842"/>
    </row>
    <row r="4" spans="1:25" s="86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60" customFormat="1" ht="25.5" customHeight="1" x14ac:dyDescent="0.25">
      <c r="A5" s="1843"/>
      <c r="B5" s="1843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914" t="s">
        <v>378</v>
      </c>
      <c r="R14" s="1915"/>
      <c r="S14" s="864" t="s">
        <v>401</v>
      </c>
      <c r="T14" s="1849" t="s">
        <v>46</v>
      </c>
      <c r="U14" s="858" t="s">
        <v>176</v>
      </c>
      <c r="V14" s="1874">
        <v>29943</v>
      </c>
      <c r="W14" s="1875"/>
      <c r="X14" s="1876"/>
    </row>
    <row r="15" spans="1:25" ht="22.5" customHeight="1" x14ac:dyDescent="0.25">
      <c r="A15" s="100" t="s">
        <v>38</v>
      </c>
      <c r="B15" s="1874">
        <v>124386</v>
      </c>
      <c r="C15" s="1876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874">
        <v>0</v>
      </c>
      <c r="R15" s="1876"/>
      <c r="S15" s="858">
        <v>81</v>
      </c>
      <c r="T15" s="1849"/>
      <c r="U15" s="858" t="s">
        <v>64</v>
      </c>
      <c r="V15" s="1877">
        <v>7520</v>
      </c>
      <c r="W15" s="1877"/>
      <c r="X15" s="1877"/>
    </row>
    <row r="16" spans="1:25" ht="24.75" customHeight="1" x14ac:dyDescent="0.25">
      <c r="A16" s="100" t="s">
        <v>39</v>
      </c>
      <c r="B16" s="1874">
        <v>218181</v>
      </c>
      <c r="C16" s="1876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855"/>
      <c r="R16" s="1855"/>
      <c r="S16" s="861"/>
      <c r="T16" s="1871" t="s">
        <v>55</v>
      </c>
      <c r="U16" s="1871"/>
      <c r="V16" s="1878">
        <f>Y12</f>
        <v>169437.77250000002</v>
      </c>
      <c r="W16" s="1878"/>
      <c r="X16" s="1877"/>
    </row>
    <row r="17" spans="1:25" ht="28.5" customHeight="1" x14ac:dyDescent="0.25">
      <c r="A17" s="101" t="s">
        <v>44</v>
      </c>
      <c r="B17" s="1874">
        <v>109012</v>
      </c>
      <c r="C17" s="1876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855"/>
      <c r="R17" s="1855"/>
      <c r="S17" s="857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170881</v>
      </c>
      <c r="C18" s="1876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877"/>
      <c r="R18" s="1877"/>
      <c r="S18" s="858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280698</v>
      </c>
      <c r="C19" s="1876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874">
        <f t="shared" ref="Q19" si="14">Q15+Q16+Q17-Q18</f>
        <v>0</v>
      </c>
      <c r="R19" s="1876"/>
      <c r="S19" s="858">
        <f>S15+S16-S17-S18</f>
        <v>81</v>
      </c>
      <c r="T19" s="1869" t="s">
        <v>48</v>
      </c>
      <c r="U19" s="49" t="s">
        <v>58</v>
      </c>
      <c r="V19" s="1877">
        <v>107966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270171.82500000001</v>
      </c>
      <c r="C20" s="1904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03">
        <f>341*Q19</f>
        <v>0</v>
      </c>
      <c r="R20" s="1904"/>
      <c r="S20" s="290">
        <f>241*S19</f>
        <v>19521</v>
      </c>
      <c r="T20" s="1870"/>
      <c r="U20" s="49" t="s">
        <v>59</v>
      </c>
      <c r="V20" s="1877">
        <v>75680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489484.38099999999</v>
      </c>
      <c r="C21" s="1910"/>
      <c r="O21" s="865"/>
      <c r="P21" s="865"/>
      <c r="Q21" s="865"/>
      <c r="R21" s="865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107966</v>
      </c>
      <c r="D22" s="1908">
        <v>107966</v>
      </c>
      <c r="E22" s="1908">
        <v>134320</v>
      </c>
      <c r="F22" s="1908">
        <f>C22-D22+E22</f>
        <v>134320</v>
      </c>
      <c r="G22" s="865"/>
      <c r="Q22" s="865"/>
      <c r="R22" s="865"/>
      <c r="T22" s="1863" t="s">
        <v>83</v>
      </c>
      <c r="U22" s="50" t="s">
        <v>60</v>
      </c>
      <c r="V22" s="1877">
        <v>183680</v>
      </c>
      <c r="W22" s="1877"/>
      <c r="X22" s="1877"/>
      <c r="Y22" s="1883"/>
    </row>
    <row r="23" spans="1:25" ht="39.75" customHeight="1" x14ac:dyDescent="0.25">
      <c r="A23" s="865"/>
      <c r="B23" s="1906"/>
      <c r="C23" s="1909"/>
      <c r="D23" s="1909"/>
      <c r="E23" s="1909"/>
      <c r="F23" s="1909"/>
      <c r="G23" s="865"/>
      <c r="Q23" s="865"/>
      <c r="R23" s="865"/>
      <c r="T23" s="1864"/>
      <c r="U23" s="50" t="s">
        <v>61</v>
      </c>
      <c r="V23" s="1877">
        <v>183680</v>
      </c>
      <c r="W23" s="1877"/>
      <c r="X23" s="1877"/>
      <c r="Y23" s="1883"/>
    </row>
    <row r="24" spans="1:25" ht="48" customHeight="1" x14ac:dyDescent="0.25">
      <c r="A24" s="86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849" t="s">
        <v>47</v>
      </c>
      <c r="U24" s="51" t="s">
        <v>62</v>
      </c>
      <c r="V24" s="1879">
        <f>V14+V16+V17-V18-V19-V20-V22+V23-V21</f>
        <v>15214.772500000021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65"/>
      <c r="J33" s="865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842" t="s">
        <v>411</v>
      </c>
      <c r="U3" s="1842"/>
      <c r="V3" s="1842"/>
      <c r="W3" s="1842"/>
      <c r="X3" s="1842"/>
      <c r="Y3" s="1842"/>
    </row>
    <row r="4" spans="1:25" s="87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71" customFormat="1" ht="25.5" customHeight="1" x14ac:dyDescent="0.25">
      <c r="A5" s="1843"/>
      <c r="B5" s="1843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914" t="s">
        <v>378</v>
      </c>
      <c r="R14" s="1915"/>
      <c r="S14" s="875" t="s">
        <v>401</v>
      </c>
      <c r="T14" s="1849" t="s">
        <v>46</v>
      </c>
      <c r="U14" s="869" t="s">
        <v>176</v>
      </c>
      <c r="V14" s="1874">
        <v>15215</v>
      </c>
      <c r="W14" s="1875"/>
      <c r="X14" s="1876"/>
    </row>
    <row r="15" spans="1:25" ht="22.5" customHeight="1" x14ac:dyDescent="0.25">
      <c r="A15" s="100" t="s">
        <v>38</v>
      </c>
      <c r="B15" s="1874">
        <v>280698</v>
      </c>
      <c r="C15" s="1876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874">
        <v>0</v>
      </c>
      <c r="R15" s="1876"/>
      <c r="S15" s="869">
        <v>81</v>
      </c>
      <c r="T15" s="1849"/>
      <c r="U15" s="869" t="s">
        <v>64</v>
      </c>
      <c r="V15" s="1877">
        <v>7520</v>
      </c>
      <c r="W15" s="1877"/>
      <c r="X15" s="1877"/>
    </row>
    <row r="16" spans="1:25" ht="24.75" customHeight="1" x14ac:dyDescent="0.25">
      <c r="A16" s="100" t="s">
        <v>39</v>
      </c>
      <c r="B16" s="1874">
        <v>672508</v>
      </c>
      <c r="C16" s="1876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855"/>
      <c r="R16" s="1855"/>
      <c r="S16" s="872"/>
      <c r="T16" s="1871" t="s">
        <v>55</v>
      </c>
      <c r="U16" s="1871"/>
      <c r="V16" s="1878">
        <f>Y12</f>
        <v>280362.98149999994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855"/>
      <c r="R17" s="1855"/>
      <c r="S17" s="868"/>
      <c r="T17" s="1900" t="s">
        <v>362</v>
      </c>
      <c r="U17" s="1901"/>
      <c r="V17" s="1902">
        <v>100000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280163</v>
      </c>
      <c r="C18" s="1876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877"/>
      <c r="R18" s="1877"/>
      <c r="S18" s="869"/>
      <c r="T18" s="1871" t="s">
        <v>57</v>
      </c>
      <c r="U18" s="1871"/>
      <c r="V18" s="1877">
        <v>770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673043</v>
      </c>
      <c r="C19" s="1876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874">
        <f t="shared" ref="Q19" si="14">Q15+Q16+Q17-Q18</f>
        <v>0</v>
      </c>
      <c r="R19" s="1876"/>
      <c r="S19" s="869">
        <f>S15+S16-S17-S18</f>
        <v>81</v>
      </c>
      <c r="T19" s="1869" t="s">
        <v>48</v>
      </c>
      <c r="U19" s="49" t="s">
        <v>58</v>
      </c>
      <c r="V19" s="1877">
        <v>134320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647803.88750000007</v>
      </c>
      <c r="C20" s="1904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03">
        <f>341*Q19</f>
        <v>0</v>
      </c>
      <c r="R20" s="1904"/>
      <c r="S20" s="290">
        <f>241*S19</f>
        <v>19521</v>
      </c>
      <c r="T20" s="1870"/>
      <c r="U20" s="49" t="s">
        <v>59</v>
      </c>
      <c r="V20" s="1877">
        <v>247290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859294.13950000005</v>
      </c>
      <c r="C21" s="1910"/>
      <c r="O21" s="876"/>
      <c r="P21" s="876"/>
      <c r="Q21" s="876"/>
      <c r="R21" s="876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134320</v>
      </c>
      <c r="D22" s="1908">
        <v>134320</v>
      </c>
      <c r="E22" s="1908">
        <v>400000</v>
      </c>
      <c r="F22" s="1908">
        <f>C22-D22+E22</f>
        <v>400000</v>
      </c>
      <c r="G22" s="876"/>
      <c r="Q22" s="876"/>
      <c r="R22" s="876"/>
      <c r="T22" s="1863" t="s">
        <v>83</v>
      </c>
      <c r="U22" s="50" t="s">
        <v>60</v>
      </c>
      <c r="V22" s="1877">
        <v>381610</v>
      </c>
      <c r="W22" s="1877"/>
      <c r="X22" s="1877"/>
      <c r="Y22" s="1883"/>
    </row>
    <row r="23" spans="1:25" ht="39.75" customHeight="1" x14ac:dyDescent="0.25">
      <c r="A23" s="876"/>
      <c r="B23" s="1906"/>
      <c r="C23" s="1909"/>
      <c r="D23" s="1909"/>
      <c r="E23" s="1909"/>
      <c r="F23" s="1909"/>
      <c r="G23" s="876"/>
      <c r="Q23" s="876"/>
      <c r="R23" s="876"/>
      <c r="T23" s="1864"/>
      <c r="U23" s="50" t="s">
        <v>61</v>
      </c>
      <c r="V23" s="1877">
        <v>381610</v>
      </c>
      <c r="W23" s="1877"/>
      <c r="X23" s="1877"/>
      <c r="Y23" s="1883"/>
    </row>
    <row r="24" spans="1:25" ht="48" customHeight="1" x14ac:dyDescent="0.25">
      <c r="A24" s="87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849" t="s">
        <v>47</v>
      </c>
      <c r="U24" s="51" t="s">
        <v>62</v>
      </c>
      <c r="V24" s="1879">
        <f>V14+V16+V17-V18-V19-V20-V22+V23-V21</f>
        <v>13197.981499999936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76"/>
      <c r="J33" s="876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842" t="s">
        <v>412</v>
      </c>
      <c r="U3" s="1842"/>
      <c r="V3" s="1842"/>
      <c r="W3" s="1842"/>
      <c r="X3" s="1842"/>
      <c r="Y3" s="1842"/>
    </row>
    <row r="4" spans="1:25" s="88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82" customFormat="1" ht="25.5" customHeight="1" x14ac:dyDescent="0.25">
      <c r="A5" s="1843"/>
      <c r="B5" s="1843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914" t="s">
        <v>378</v>
      </c>
      <c r="R14" s="1915"/>
      <c r="S14" s="886" t="s">
        <v>401</v>
      </c>
      <c r="T14" s="1849" t="s">
        <v>46</v>
      </c>
      <c r="U14" s="880" t="s">
        <v>176</v>
      </c>
      <c r="V14" s="1874">
        <v>13198</v>
      </c>
      <c r="W14" s="1875"/>
      <c r="X14" s="1876"/>
    </row>
    <row r="15" spans="1:25" ht="22.5" customHeight="1" x14ac:dyDescent="0.25">
      <c r="A15" s="100" t="s">
        <v>38</v>
      </c>
      <c r="B15" s="1874">
        <v>673043</v>
      </c>
      <c r="C15" s="1876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874">
        <v>0</v>
      </c>
      <c r="R15" s="1876"/>
      <c r="S15" s="880">
        <v>81</v>
      </c>
      <c r="T15" s="1849"/>
      <c r="U15" s="880" t="s">
        <v>64</v>
      </c>
      <c r="V15" s="1877">
        <v>7520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855"/>
      <c r="R16" s="1855"/>
      <c r="S16" s="883"/>
      <c r="T16" s="1871" t="s">
        <v>55</v>
      </c>
      <c r="U16" s="1871"/>
      <c r="V16" s="1878">
        <f>Y12</f>
        <v>337957.73100000003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855"/>
      <c r="R17" s="1855"/>
      <c r="S17" s="879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199398</v>
      </c>
      <c r="C18" s="1876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877"/>
      <c r="R18" s="1877"/>
      <c r="S18" s="880"/>
      <c r="T18" s="1871" t="s">
        <v>57</v>
      </c>
      <c r="U18" s="1871"/>
      <c r="V18" s="1877">
        <v>3220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473645</v>
      </c>
      <c r="C19" s="1876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874">
        <f t="shared" ref="Q19" si="14">Q15+Q16+Q17-Q18</f>
        <v>0</v>
      </c>
      <c r="R19" s="1876"/>
      <c r="S19" s="880">
        <f>S15+S16-S17-S18</f>
        <v>81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455883.3125</v>
      </c>
      <c r="C20" s="1904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03">
        <f>341*Q19</f>
        <v>0</v>
      </c>
      <c r="R20" s="1904"/>
      <c r="S20" s="290">
        <f>241*S19</f>
        <v>19521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921358.11250000005</v>
      </c>
      <c r="C21" s="1910"/>
      <c r="O21" s="887"/>
      <c r="P21" s="887"/>
      <c r="Q21" s="887"/>
      <c r="R21" s="887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>
        <v>396318</v>
      </c>
      <c r="F22" s="1908">
        <f>C22-D22+E22</f>
        <v>796318</v>
      </c>
      <c r="G22" s="887"/>
      <c r="Q22" s="887"/>
      <c r="R22" s="887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887"/>
      <c r="B23" s="1906"/>
      <c r="C23" s="1909"/>
      <c r="D23" s="1909"/>
      <c r="E23" s="1909"/>
      <c r="F23" s="1909"/>
      <c r="G23" s="887"/>
      <c r="Q23" s="887"/>
      <c r="R23" s="887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88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849" t="s">
        <v>47</v>
      </c>
      <c r="U24" s="51" t="s">
        <v>62</v>
      </c>
      <c r="V24" s="1879">
        <f>V14+V16+V17-V18-V19-V20-V22+V23-V21</f>
        <v>347935.73100000003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87"/>
      <c r="J33" s="88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842" t="s">
        <v>413</v>
      </c>
      <c r="U3" s="1842"/>
      <c r="V3" s="1842"/>
      <c r="W3" s="1842"/>
      <c r="X3" s="1842"/>
      <c r="Y3" s="1842"/>
    </row>
    <row r="4" spans="1:25" s="88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888" customFormat="1" ht="25.5" customHeight="1" x14ac:dyDescent="0.25">
      <c r="A5" s="1843"/>
      <c r="B5" s="1843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914" t="s">
        <v>378</v>
      </c>
      <c r="R14" s="1915"/>
      <c r="S14" s="897" t="s">
        <v>401</v>
      </c>
      <c r="T14" s="1849" t="s">
        <v>46</v>
      </c>
      <c r="U14" s="889" t="s">
        <v>176</v>
      </c>
      <c r="V14" s="1874">
        <v>347936</v>
      </c>
      <c r="W14" s="1875"/>
      <c r="X14" s="1876"/>
    </row>
    <row r="15" spans="1:25" ht="22.5" customHeight="1" x14ac:dyDescent="0.25">
      <c r="A15" s="100" t="s">
        <v>38</v>
      </c>
      <c r="B15" s="1874">
        <v>473645</v>
      </c>
      <c r="C15" s="1876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874">
        <v>0</v>
      </c>
      <c r="R15" s="1876"/>
      <c r="S15" s="889">
        <v>81</v>
      </c>
      <c r="T15" s="1849"/>
      <c r="U15" s="889" t="s">
        <v>64</v>
      </c>
      <c r="V15" s="1877">
        <v>7520</v>
      </c>
      <c r="W15" s="1877"/>
      <c r="X15" s="1877"/>
    </row>
    <row r="16" spans="1:25" ht="24.75" customHeight="1" x14ac:dyDescent="0.25">
      <c r="A16" s="100" t="s">
        <v>39</v>
      </c>
      <c r="B16" s="1874">
        <v>133490</v>
      </c>
      <c r="C16" s="1876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855"/>
      <c r="R16" s="1855"/>
      <c r="S16" s="894"/>
      <c r="T16" s="1871" t="s">
        <v>55</v>
      </c>
      <c r="U16" s="1871"/>
      <c r="V16" s="1878">
        <f>Y12</f>
        <v>358476.68</v>
      </c>
      <c r="W16" s="1878"/>
      <c r="X16" s="1877"/>
    </row>
    <row r="17" spans="1:25" ht="28.5" customHeight="1" x14ac:dyDescent="0.25">
      <c r="A17" s="101" t="s">
        <v>44</v>
      </c>
      <c r="B17" s="1874">
        <v>4935</v>
      </c>
      <c r="C17" s="1876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855"/>
      <c r="R17" s="1855"/>
      <c r="S17" s="891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273200</v>
      </c>
      <c r="C18" s="1876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877"/>
      <c r="R18" s="1877"/>
      <c r="S18" s="889"/>
      <c r="T18" s="1871" t="s">
        <v>57</v>
      </c>
      <c r="U18" s="1871"/>
      <c r="V18" s="1877">
        <v>2320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338870</v>
      </c>
      <c r="C19" s="1876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874">
        <f t="shared" ref="Q19" si="14">Q15+Q16+Q17-Q18</f>
        <v>0</v>
      </c>
      <c r="R19" s="1876"/>
      <c r="S19" s="889">
        <f>S15+S16-S17-S18</f>
        <v>81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326162.375</v>
      </c>
      <c r="C20" s="1904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903">
        <f>341*Q19</f>
        <v>0</v>
      </c>
      <c r="R20" s="1904"/>
      <c r="S20" s="290">
        <f>241*S19</f>
        <v>19521</v>
      </c>
      <c r="T20" s="1870"/>
      <c r="U20" s="49" t="s">
        <v>59</v>
      </c>
      <c r="V20" s="1877">
        <v>8485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699813.61100000003</v>
      </c>
      <c r="C21" s="1910"/>
      <c r="O21" s="898"/>
      <c r="P21" s="898"/>
      <c r="Q21" s="898"/>
      <c r="R21" s="898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796318</v>
      </c>
      <c r="D22" s="1908">
        <v>400000</v>
      </c>
      <c r="E22" s="1908">
        <v>120000</v>
      </c>
      <c r="F22" s="1908">
        <f>C22-D22+E22</f>
        <v>516318</v>
      </c>
      <c r="G22" s="898"/>
      <c r="Q22" s="898"/>
      <c r="R22" s="898"/>
      <c r="T22" s="1863" t="s">
        <v>83</v>
      </c>
      <c r="U22" s="50" t="s">
        <v>60</v>
      </c>
      <c r="V22" s="1877">
        <v>616185</v>
      </c>
      <c r="W22" s="1877"/>
      <c r="X22" s="1877"/>
      <c r="Y22" s="1883"/>
    </row>
    <row r="23" spans="1:25" ht="39.75" customHeight="1" x14ac:dyDescent="0.25">
      <c r="A23" s="898"/>
      <c r="B23" s="1906"/>
      <c r="C23" s="1909"/>
      <c r="D23" s="1909"/>
      <c r="E23" s="1909"/>
      <c r="F23" s="1909"/>
      <c r="G23" s="898"/>
      <c r="Q23" s="898"/>
      <c r="R23" s="898"/>
      <c r="T23" s="1864"/>
      <c r="U23" s="50" t="s">
        <v>61</v>
      </c>
      <c r="V23" s="1877">
        <v>408485</v>
      </c>
      <c r="W23" s="1877"/>
      <c r="X23" s="1877"/>
      <c r="Y23" s="1883"/>
    </row>
    <row r="24" spans="1:25" ht="48" customHeight="1" x14ac:dyDescent="0.25">
      <c r="A24" s="89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849" t="s">
        <v>47</v>
      </c>
      <c r="U24" s="51" t="s">
        <v>62</v>
      </c>
      <c r="V24" s="1879">
        <f>V14+V16+V17-V18-V19-V20-V22+V23-V21</f>
        <v>87907.679999999935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215220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898"/>
      <c r="J33" s="89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842" t="s">
        <v>414</v>
      </c>
      <c r="U3" s="1842"/>
      <c r="V3" s="1842"/>
      <c r="W3" s="1842"/>
      <c r="X3" s="1842"/>
      <c r="Y3" s="1842"/>
    </row>
    <row r="4" spans="1:25" s="90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04" customFormat="1" ht="25.5" customHeight="1" x14ac:dyDescent="0.25">
      <c r="A5" s="1843"/>
      <c r="B5" s="1843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914" t="s">
        <v>378</v>
      </c>
      <c r="R14" s="1915"/>
      <c r="S14" s="908" t="s">
        <v>401</v>
      </c>
      <c r="T14" s="1849" t="s">
        <v>46</v>
      </c>
      <c r="U14" s="902" t="s">
        <v>176</v>
      </c>
      <c r="V14" s="1874">
        <v>87908</v>
      </c>
      <c r="W14" s="1875"/>
      <c r="X14" s="1876"/>
    </row>
    <row r="15" spans="1:25" ht="22.5" customHeight="1" x14ac:dyDescent="0.25">
      <c r="A15" s="100" t="s">
        <v>38</v>
      </c>
      <c r="B15" s="1874">
        <v>338870</v>
      </c>
      <c r="C15" s="1876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874">
        <v>0</v>
      </c>
      <c r="R15" s="1876"/>
      <c r="S15" s="902">
        <v>81</v>
      </c>
      <c r="T15" s="1849"/>
      <c r="U15" s="902" t="s">
        <v>64</v>
      </c>
      <c r="V15" s="1877">
        <v>215220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855"/>
      <c r="R16" s="1855"/>
      <c r="S16" s="905"/>
      <c r="T16" s="1871" t="s">
        <v>55</v>
      </c>
      <c r="U16" s="1871"/>
      <c r="V16" s="1878">
        <f>Y12</f>
        <v>234843.48749999999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855"/>
      <c r="R17" s="1855"/>
      <c r="S17" s="901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116455</v>
      </c>
      <c r="C18" s="1876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877"/>
      <c r="R18" s="1877"/>
      <c r="S18" s="902">
        <v>28</v>
      </c>
      <c r="T18" s="1871" t="s">
        <v>57</v>
      </c>
      <c r="U18" s="1871"/>
      <c r="V18" s="1877">
        <v>78134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326311</v>
      </c>
      <c r="C19" s="1876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874">
        <f t="shared" ref="Q19" si="14">Q15+Q16+Q17-Q18</f>
        <v>0</v>
      </c>
      <c r="R19" s="1876"/>
      <c r="S19" s="902">
        <f>S15+S16-S17-S18</f>
        <v>53</v>
      </c>
      <c r="T19" s="1869" t="s">
        <v>48</v>
      </c>
      <c r="U19" s="49" t="s">
        <v>58</v>
      </c>
      <c r="V19" s="1877">
        <v>120000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314074.33750000002</v>
      </c>
      <c r="C20" s="1904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575351.27350000001</v>
      </c>
      <c r="C21" s="1910"/>
      <c r="O21" s="909"/>
      <c r="P21" s="909"/>
      <c r="Q21" s="909"/>
      <c r="R21" s="909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516318</v>
      </c>
      <c r="D22" s="1908">
        <v>120000</v>
      </c>
      <c r="E22" s="1908">
        <v>100000</v>
      </c>
      <c r="F22" s="1908">
        <f>C22-D22+E22</f>
        <v>496318</v>
      </c>
      <c r="G22" s="909"/>
      <c r="Q22" s="909"/>
      <c r="R22" s="909"/>
      <c r="T22" s="1863" t="s">
        <v>83</v>
      </c>
      <c r="U22" s="50" t="s">
        <v>60</v>
      </c>
      <c r="V22" s="1877">
        <v>157220</v>
      </c>
      <c r="W22" s="1877"/>
      <c r="X22" s="1877"/>
      <c r="Y22" s="1883"/>
    </row>
    <row r="23" spans="1:25" ht="39.75" customHeight="1" x14ac:dyDescent="0.25">
      <c r="A23" s="909"/>
      <c r="B23" s="1906"/>
      <c r="C23" s="1909"/>
      <c r="D23" s="1909"/>
      <c r="E23" s="1909"/>
      <c r="F23" s="1909"/>
      <c r="G23" s="909"/>
      <c r="Q23" s="909"/>
      <c r="R23" s="909"/>
      <c r="T23" s="1864"/>
      <c r="U23" s="50" t="s">
        <v>61</v>
      </c>
      <c r="V23" s="1877">
        <v>120000</v>
      </c>
      <c r="W23" s="1877"/>
      <c r="X23" s="1877"/>
      <c r="Y23" s="1883"/>
    </row>
    <row r="24" spans="1:25" ht="48" customHeight="1" x14ac:dyDescent="0.25">
      <c r="A24" s="90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849" t="s">
        <v>47</v>
      </c>
      <c r="U24" s="51" t="s">
        <v>62</v>
      </c>
      <c r="V24" s="1879">
        <f>V14+V16+V17-V18-V19-V20-V22+V23-V21</f>
        <v>87397.487499999988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252440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09"/>
      <c r="J33" s="909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842" t="s">
        <v>415</v>
      </c>
      <c r="U3" s="1842"/>
      <c r="V3" s="1842"/>
      <c r="W3" s="1842"/>
      <c r="X3" s="1842"/>
      <c r="Y3" s="1842"/>
    </row>
    <row r="4" spans="1:25" s="91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10" customFormat="1" ht="25.5" customHeight="1" x14ac:dyDescent="0.25">
      <c r="A5" s="1843"/>
      <c r="B5" s="1843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914" t="s">
        <v>378</v>
      </c>
      <c r="R14" s="1915"/>
      <c r="S14" s="919" t="s">
        <v>401</v>
      </c>
      <c r="T14" s="1849" t="s">
        <v>46</v>
      </c>
      <c r="U14" s="911" t="s">
        <v>176</v>
      </c>
      <c r="V14" s="1874">
        <v>87397</v>
      </c>
      <c r="W14" s="1875"/>
      <c r="X14" s="1876"/>
    </row>
    <row r="15" spans="1:25" ht="22.5" customHeight="1" x14ac:dyDescent="0.25">
      <c r="A15" s="100" t="s">
        <v>38</v>
      </c>
      <c r="B15" s="1874">
        <v>326311</v>
      </c>
      <c r="C15" s="1876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874">
        <v>0</v>
      </c>
      <c r="R15" s="1876"/>
      <c r="S15" s="911">
        <v>53</v>
      </c>
      <c r="T15" s="1849"/>
      <c r="U15" s="911" t="s">
        <v>64</v>
      </c>
      <c r="V15" s="1877">
        <v>252440</v>
      </c>
      <c r="W15" s="1877"/>
      <c r="X15" s="1877"/>
    </row>
    <row r="16" spans="1:25" ht="24.75" customHeight="1" x14ac:dyDescent="0.25">
      <c r="A16" s="100" t="s">
        <v>39</v>
      </c>
      <c r="B16" s="1874">
        <v>124675</v>
      </c>
      <c r="C16" s="1876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855"/>
      <c r="R16" s="1855"/>
      <c r="S16" s="916"/>
      <c r="T16" s="1871" t="s">
        <v>55</v>
      </c>
      <c r="U16" s="1871"/>
      <c r="V16" s="1878">
        <f>Y12</f>
        <v>194939.43000000002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855"/>
      <c r="R17" s="1855"/>
      <c r="S17" s="913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150748</v>
      </c>
      <c r="C18" s="1876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877"/>
      <c r="R18" s="1877"/>
      <c r="S18" s="911"/>
      <c r="T18" s="1871" t="s">
        <v>57</v>
      </c>
      <c r="U18" s="1871"/>
      <c r="V18" s="1877">
        <v>4000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300238</v>
      </c>
      <c r="C19" s="1876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874">
        <f t="shared" ref="Q19" si="14">Q15+Q16+Q17-Q18</f>
        <v>0</v>
      </c>
      <c r="R19" s="1876"/>
      <c r="S19" s="911">
        <f>S15+S16-S17-S18</f>
        <v>53</v>
      </c>
      <c r="T19" s="1869" t="s">
        <v>48</v>
      </c>
      <c r="U19" s="49" t="s">
        <v>58</v>
      </c>
      <c r="V19" s="1877">
        <v>496320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288979.07500000001</v>
      </c>
      <c r="C20" s="1904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502387.77500000002</v>
      </c>
      <c r="C21" s="1910"/>
      <c r="O21" s="920"/>
      <c r="P21" s="920"/>
      <c r="Q21" s="920"/>
      <c r="R21" s="920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496318</v>
      </c>
      <c r="D22" s="1908">
        <v>496320</v>
      </c>
      <c r="E22" s="1908">
        <v>120000</v>
      </c>
      <c r="F22" s="1908">
        <f>C22-D22+E22</f>
        <v>119998</v>
      </c>
      <c r="G22" s="920"/>
      <c r="Q22" s="920"/>
      <c r="R22" s="920"/>
      <c r="T22" s="1863" t="s">
        <v>83</v>
      </c>
      <c r="U22" s="50" t="s">
        <v>60</v>
      </c>
      <c r="V22" s="1877">
        <v>251320</v>
      </c>
      <c r="W22" s="1877"/>
      <c r="X22" s="1877"/>
      <c r="Y22" s="1883"/>
    </row>
    <row r="23" spans="1:25" ht="39.75" customHeight="1" x14ac:dyDescent="0.25">
      <c r="A23" s="920"/>
      <c r="B23" s="1906"/>
      <c r="C23" s="1909"/>
      <c r="D23" s="1909"/>
      <c r="E23" s="1909"/>
      <c r="F23" s="1909"/>
      <c r="G23" s="920"/>
      <c r="Q23" s="920"/>
      <c r="R23" s="920"/>
      <c r="T23" s="1864"/>
      <c r="U23" s="50" t="s">
        <v>61</v>
      </c>
      <c r="V23" s="1877">
        <v>496320</v>
      </c>
      <c r="W23" s="1877"/>
      <c r="X23" s="1877"/>
      <c r="Y23" s="1883"/>
    </row>
    <row r="24" spans="1:25" ht="48" customHeight="1" x14ac:dyDescent="0.25">
      <c r="A24" s="92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849" t="s">
        <v>47</v>
      </c>
      <c r="U24" s="51" t="s">
        <v>62</v>
      </c>
      <c r="V24" s="1879">
        <f>V14+V16+V17-V18-V19-V20-V22+V23-V21</f>
        <v>27016.430000000051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7440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20"/>
      <c r="J33" s="92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842" t="s">
        <v>416</v>
      </c>
      <c r="U3" s="1842"/>
      <c r="V3" s="1842"/>
      <c r="W3" s="1842"/>
      <c r="X3" s="1842"/>
      <c r="Y3" s="1842"/>
    </row>
    <row r="4" spans="1:25" s="92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26" customFormat="1" ht="25.5" customHeight="1" x14ac:dyDescent="0.25">
      <c r="A5" s="1843"/>
      <c r="B5" s="1843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914" t="s">
        <v>378</v>
      </c>
      <c r="R14" s="1915"/>
      <c r="S14" s="930" t="s">
        <v>401</v>
      </c>
      <c r="T14" s="1849" t="s">
        <v>46</v>
      </c>
      <c r="U14" s="924" t="s">
        <v>176</v>
      </c>
      <c r="V14" s="1874">
        <v>27016</v>
      </c>
      <c r="W14" s="1875"/>
      <c r="X14" s="1876"/>
    </row>
    <row r="15" spans="1:25" ht="22.5" customHeight="1" x14ac:dyDescent="0.25">
      <c r="A15" s="100" t="s">
        <v>38</v>
      </c>
      <c r="B15" s="1874">
        <v>300238</v>
      </c>
      <c r="C15" s="1876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874">
        <v>0</v>
      </c>
      <c r="R15" s="1876"/>
      <c r="S15" s="924">
        <v>53</v>
      </c>
      <c r="T15" s="1849"/>
      <c r="U15" s="924" t="s">
        <v>64</v>
      </c>
      <c r="V15" s="1877">
        <v>7440</v>
      </c>
      <c r="W15" s="1877"/>
      <c r="X15" s="1877"/>
    </row>
    <row r="16" spans="1:25" ht="24.75" customHeight="1" x14ac:dyDescent="0.25">
      <c r="A16" s="100" t="s">
        <v>39</v>
      </c>
      <c r="B16" s="1874">
        <v>259740</v>
      </c>
      <c r="C16" s="1876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855"/>
      <c r="R16" s="1855"/>
      <c r="S16" s="927"/>
      <c r="T16" s="1871" t="s">
        <v>55</v>
      </c>
      <c r="U16" s="1871"/>
      <c r="V16" s="1878">
        <f>Y12</f>
        <v>209723.22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855"/>
      <c r="R17" s="1855"/>
      <c r="S17" s="923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189592</v>
      </c>
      <c r="C18" s="1876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877"/>
      <c r="R18" s="1877"/>
      <c r="S18" s="924"/>
      <c r="T18" s="1871" t="s">
        <v>57</v>
      </c>
      <c r="U18" s="1871"/>
      <c r="V18" s="1877">
        <v>1070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370386</v>
      </c>
      <c r="C19" s="1876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874">
        <f t="shared" ref="Q19" si="14">Q15+Q16+Q17-Q18</f>
        <v>0</v>
      </c>
      <c r="R19" s="1876"/>
      <c r="S19" s="924">
        <f>S15+S16-S17-S18</f>
        <v>53</v>
      </c>
      <c r="T19" s="1869" t="s">
        <v>48</v>
      </c>
      <c r="U19" s="49" t="s">
        <v>58</v>
      </c>
      <c r="V19" s="1877">
        <v>120000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356496.52500000002</v>
      </c>
      <c r="C20" s="1904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544820.52500000002</v>
      </c>
      <c r="C21" s="1910"/>
      <c r="O21" s="931"/>
      <c r="P21" s="931"/>
      <c r="Q21" s="931"/>
      <c r="R21" s="931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119998</v>
      </c>
      <c r="D22" s="1908">
        <v>120000</v>
      </c>
      <c r="E22" s="1908">
        <v>250000</v>
      </c>
      <c r="F22" s="1908">
        <f>C22-D22+E22</f>
        <v>249998</v>
      </c>
      <c r="G22" s="931"/>
      <c r="Q22" s="931"/>
      <c r="R22" s="931"/>
      <c r="T22" s="1863" t="s">
        <v>83</v>
      </c>
      <c r="U22" s="50" t="s">
        <v>60</v>
      </c>
      <c r="V22" s="1877">
        <v>176090</v>
      </c>
      <c r="W22" s="1877"/>
      <c r="X22" s="1877"/>
      <c r="Y22" s="1883"/>
    </row>
    <row r="23" spans="1:25" ht="39.75" customHeight="1" x14ac:dyDescent="0.25">
      <c r="A23" s="931"/>
      <c r="B23" s="1906"/>
      <c r="C23" s="1909"/>
      <c r="D23" s="1909"/>
      <c r="E23" s="1909"/>
      <c r="F23" s="1909"/>
      <c r="G23" s="931"/>
      <c r="Q23" s="931"/>
      <c r="R23" s="931"/>
      <c r="T23" s="1864"/>
      <c r="U23" s="50" t="s">
        <v>61</v>
      </c>
      <c r="V23" s="1877">
        <v>120000</v>
      </c>
      <c r="W23" s="1877"/>
      <c r="X23" s="1877"/>
      <c r="Y23" s="1883"/>
    </row>
    <row r="24" spans="1:25" ht="48" customHeight="1" x14ac:dyDescent="0.25">
      <c r="A24" s="93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849" t="s">
        <v>47</v>
      </c>
      <c r="U24" s="51" t="s">
        <v>62</v>
      </c>
      <c r="V24" s="1879">
        <f>V14+V16+V17-V18-V19-V20-V22+V23-V21</f>
        <v>59579.22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63530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31"/>
      <c r="J33" s="93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842" t="s">
        <v>417</v>
      </c>
      <c r="U3" s="1842"/>
      <c r="V3" s="1842"/>
      <c r="W3" s="1842"/>
      <c r="X3" s="1842"/>
      <c r="Y3" s="1842"/>
    </row>
    <row r="4" spans="1:25" s="93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37" customFormat="1" ht="25.5" customHeight="1" x14ac:dyDescent="0.25">
      <c r="A5" s="1843"/>
      <c r="B5" s="1843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914" t="s">
        <v>378</v>
      </c>
      <c r="R14" s="1915"/>
      <c r="S14" s="941" t="s">
        <v>401</v>
      </c>
      <c r="T14" s="1849" t="s">
        <v>46</v>
      </c>
      <c r="U14" s="935" t="s">
        <v>176</v>
      </c>
      <c r="V14" s="1874">
        <v>59579</v>
      </c>
      <c r="W14" s="1875"/>
      <c r="X14" s="1876"/>
    </row>
    <row r="15" spans="1:25" ht="22.5" customHeight="1" x14ac:dyDescent="0.25">
      <c r="A15" s="100" t="s">
        <v>38</v>
      </c>
      <c r="B15" s="1874">
        <v>370386</v>
      </c>
      <c r="C15" s="1876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874">
        <v>0</v>
      </c>
      <c r="R15" s="1876"/>
      <c r="S15" s="935">
        <v>53</v>
      </c>
      <c r="T15" s="1849"/>
      <c r="U15" s="935" t="s">
        <v>64</v>
      </c>
      <c r="V15" s="1877">
        <v>63530</v>
      </c>
      <c r="W15" s="1877"/>
      <c r="X15" s="1877"/>
    </row>
    <row r="16" spans="1:25" ht="24.75" customHeight="1" x14ac:dyDescent="0.25">
      <c r="A16" s="100" t="s">
        <v>39</v>
      </c>
      <c r="B16" s="1874">
        <v>415584</v>
      </c>
      <c r="C16" s="1876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855"/>
      <c r="R16" s="1855"/>
      <c r="S16" s="938"/>
      <c r="T16" s="1871" t="s">
        <v>55</v>
      </c>
      <c r="U16" s="1871"/>
      <c r="V16" s="1878">
        <f>Y12</f>
        <v>197835.32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855"/>
      <c r="R17" s="1855"/>
      <c r="S17" s="934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197152</v>
      </c>
      <c r="C18" s="1876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877"/>
      <c r="R18" s="1877"/>
      <c r="S18" s="935"/>
      <c r="T18" s="1871" t="s">
        <v>57</v>
      </c>
      <c r="U18" s="1871"/>
      <c r="V18" s="1877">
        <v>10520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588818</v>
      </c>
      <c r="C19" s="1876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874">
        <f t="shared" ref="Q19" si="14">Q15+Q16+Q17-Q18</f>
        <v>0</v>
      </c>
      <c r="R19" s="1876"/>
      <c r="S19" s="935">
        <f>S15+S16-S17-S18</f>
        <v>53</v>
      </c>
      <c r="T19" s="1869" t="s">
        <v>48</v>
      </c>
      <c r="U19" s="49" t="s">
        <v>58</v>
      </c>
      <c r="V19" s="1877">
        <v>250000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566737.32500000007</v>
      </c>
      <c r="C20" s="1904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996204.02500000002</v>
      </c>
      <c r="C21" s="1910"/>
      <c r="O21" s="942"/>
      <c r="P21" s="942"/>
      <c r="Q21" s="942"/>
      <c r="R21" s="942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249998</v>
      </c>
      <c r="D22" s="1908">
        <v>250000</v>
      </c>
      <c r="E22" s="1908">
        <v>647187</v>
      </c>
      <c r="F22" s="1908">
        <f>C22-D22+E22</f>
        <v>647185</v>
      </c>
      <c r="G22" s="942"/>
      <c r="Q22" s="942"/>
      <c r="R22" s="942"/>
      <c r="T22" s="1863" t="s">
        <v>83</v>
      </c>
      <c r="U22" s="50" t="s">
        <v>60</v>
      </c>
      <c r="V22" s="1877">
        <v>200380</v>
      </c>
      <c r="W22" s="1877"/>
      <c r="X22" s="1877"/>
      <c r="Y22" s="1883"/>
    </row>
    <row r="23" spans="1:25" ht="39.75" customHeight="1" x14ac:dyDescent="0.25">
      <c r="A23" s="942"/>
      <c r="B23" s="1906"/>
      <c r="C23" s="1909"/>
      <c r="D23" s="1909"/>
      <c r="E23" s="1909"/>
      <c r="F23" s="1909"/>
      <c r="G23" s="942"/>
      <c r="Q23" s="942"/>
      <c r="R23" s="942"/>
      <c r="T23" s="1864"/>
      <c r="U23" s="50" t="s">
        <v>61</v>
      </c>
      <c r="V23" s="1877">
        <v>250000</v>
      </c>
      <c r="W23" s="1877"/>
      <c r="X23" s="1877"/>
      <c r="Y23" s="1883"/>
    </row>
    <row r="24" spans="1:25" ht="48" customHeight="1" x14ac:dyDescent="0.25">
      <c r="A24" s="94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849" t="s">
        <v>47</v>
      </c>
      <c r="U24" s="51" t="s">
        <v>62</v>
      </c>
      <c r="V24" s="1879">
        <f>V14+V16+V17-V18-V19-V20-V22+V23-V21</f>
        <v>46514.320000000007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13910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42"/>
      <c r="J33" s="94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842" t="s">
        <v>418</v>
      </c>
      <c r="U3" s="1842"/>
      <c r="V3" s="1842"/>
      <c r="W3" s="1842"/>
      <c r="X3" s="1842"/>
      <c r="Y3" s="1842"/>
    </row>
    <row r="4" spans="1:25" s="94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43" customFormat="1" ht="25.5" customHeight="1" x14ac:dyDescent="0.25">
      <c r="A5" s="1843"/>
      <c r="B5" s="184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914" t="s">
        <v>378</v>
      </c>
      <c r="R14" s="1915"/>
      <c r="S14" s="952" t="s">
        <v>401</v>
      </c>
      <c r="T14" s="1849" t="s">
        <v>46</v>
      </c>
      <c r="U14" s="944" t="s">
        <v>176</v>
      </c>
      <c r="V14" s="1874">
        <v>46514</v>
      </c>
      <c r="W14" s="1875"/>
      <c r="X14" s="1876"/>
    </row>
    <row r="15" spans="1:25" ht="22.5" customHeight="1" x14ac:dyDescent="0.25">
      <c r="A15" s="100" t="s">
        <v>38</v>
      </c>
      <c r="B15" s="1874">
        <v>588818</v>
      </c>
      <c r="C15" s="1876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874">
        <v>0</v>
      </c>
      <c r="R15" s="1876"/>
      <c r="S15" s="944">
        <v>53</v>
      </c>
      <c r="T15" s="1849"/>
      <c r="U15" s="944" t="s">
        <v>64</v>
      </c>
      <c r="V15" s="1877">
        <v>13910</v>
      </c>
      <c r="W15" s="1877"/>
      <c r="X15" s="1877"/>
    </row>
    <row r="16" spans="1:25" ht="24.75" customHeight="1" x14ac:dyDescent="0.25">
      <c r="A16" s="100" t="s">
        <v>39</v>
      </c>
      <c r="B16" s="1874">
        <v>60779</v>
      </c>
      <c r="C16" s="1876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855"/>
      <c r="R16" s="1855"/>
      <c r="S16" s="949"/>
      <c r="T16" s="1871" t="s">
        <v>55</v>
      </c>
      <c r="U16" s="1871"/>
      <c r="V16" s="1878">
        <f>Y12</f>
        <v>198980.01500000001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855"/>
      <c r="R17" s="1855"/>
      <c r="S17" s="946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157854</v>
      </c>
      <c r="C18" s="1876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877"/>
      <c r="R18" s="1877"/>
      <c r="S18" s="944"/>
      <c r="T18" s="1871" t="s">
        <v>57</v>
      </c>
      <c r="U18" s="1871"/>
      <c r="V18" s="1877">
        <v>1620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491743</v>
      </c>
      <c r="C19" s="1876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874">
        <f t="shared" ref="Q19" si="14">Q15+Q16+Q17-Q18</f>
        <v>0</v>
      </c>
      <c r="R19" s="1876"/>
      <c r="S19" s="944">
        <f>S15+S16-S17-S18</f>
        <v>53</v>
      </c>
      <c r="T19" s="1869" t="s">
        <v>48</v>
      </c>
      <c r="U19" s="49" t="s">
        <v>58</v>
      </c>
      <c r="V19" s="1877">
        <v>48292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473302.63750000001</v>
      </c>
      <c r="C20" s="1904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>
        <v>58500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857764.62950000004</v>
      </c>
      <c r="C21" s="1910"/>
      <c r="O21" s="953"/>
      <c r="P21" s="953"/>
      <c r="Q21" s="953"/>
      <c r="R21" s="953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647185</v>
      </c>
      <c r="D22" s="1908">
        <v>48292</v>
      </c>
      <c r="E22" s="1908"/>
      <c r="F22" s="1908">
        <f>C22-D22+E22</f>
        <v>598893</v>
      </c>
      <c r="G22" s="953"/>
      <c r="Q22" s="953"/>
      <c r="R22" s="953"/>
      <c r="T22" s="1863" t="s">
        <v>83</v>
      </c>
      <c r="U22" s="50" t="s">
        <v>60</v>
      </c>
      <c r="V22" s="1877">
        <v>106792</v>
      </c>
      <c r="W22" s="1877"/>
      <c r="X22" s="1877"/>
      <c r="Y22" s="1883"/>
    </row>
    <row r="23" spans="1:25" ht="39.75" customHeight="1" x14ac:dyDescent="0.25">
      <c r="A23" s="953"/>
      <c r="B23" s="1906"/>
      <c r="C23" s="1909"/>
      <c r="D23" s="1909"/>
      <c r="E23" s="1909"/>
      <c r="F23" s="1909"/>
      <c r="G23" s="953"/>
      <c r="Q23" s="953"/>
      <c r="R23" s="953"/>
      <c r="T23" s="1864"/>
      <c r="U23" s="50" t="s">
        <v>61</v>
      </c>
      <c r="V23" s="1877">
        <v>106792</v>
      </c>
      <c r="W23" s="1877"/>
      <c r="X23" s="1877"/>
      <c r="Y23" s="1883"/>
    </row>
    <row r="24" spans="1:25" ht="48" customHeight="1" x14ac:dyDescent="0.25">
      <c r="A24" s="95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849" t="s">
        <v>47</v>
      </c>
      <c r="U24" s="51" t="s">
        <v>62</v>
      </c>
      <c r="V24" s="1879">
        <f>V14+V16+V17-V18-V19-V20-V22+V23-V21</f>
        <v>137082.01500000001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13910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53"/>
      <c r="J33" s="95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842" t="s">
        <v>419</v>
      </c>
      <c r="U3" s="1842"/>
      <c r="V3" s="1842"/>
      <c r="W3" s="1842"/>
      <c r="X3" s="1842"/>
      <c r="Y3" s="1842"/>
    </row>
    <row r="4" spans="1:25" s="94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43" customFormat="1" ht="25.5" customHeight="1" x14ac:dyDescent="0.25">
      <c r="A5" s="1843"/>
      <c r="B5" s="1843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914" t="s">
        <v>378</v>
      </c>
      <c r="R14" s="1915"/>
      <c r="S14" s="952" t="s">
        <v>401</v>
      </c>
      <c r="T14" s="1849" t="s">
        <v>46</v>
      </c>
      <c r="U14" s="944" t="s">
        <v>176</v>
      </c>
      <c r="V14" s="1874">
        <v>137082</v>
      </c>
      <c r="W14" s="1875"/>
      <c r="X14" s="1876"/>
    </row>
    <row r="15" spans="1:25" ht="22.5" customHeight="1" x14ac:dyDescent="0.25">
      <c r="A15" s="100" t="s">
        <v>38</v>
      </c>
      <c r="B15" s="1874">
        <v>491743</v>
      </c>
      <c r="C15" s="1876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874">
        <v>0</v>
      </c>
      <c r="R15" s="1876"/>
      <c r="S15" s="944">
        <v>53</v>
      </c>
      <c r="T15" s="1849"/>
      <c r="U15" s="944" t="s">
        <v>64</v>
      </c>
      <c r="V15" s="1877">
        <v>13910</v>
      </c>
      <c r="W15" s="1877"/>
      <c r="X15" s="1877"/>
    </row>
    <row r="16" spans="1:25" ht="24.75" customHeight="1" x14ac:dyDescent="0.25">
      <c r="A16" s="100" t="s">
        <v>39</v>
      </c>
      <c r="B16" s="1874">
        <v>311688</v>
      </c>
      <c r="C16" s="1876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855"/>
      <c r="R16" s="1855"/>
      <c r="S16" s="949"/>
      <c r="T16" s="1871" t="s">
        <v>55</v>
      </c>
      <c r="U16" s="1871"/>
      <c r="V16" s="1878">
        <f>Y12</f>
        <v>121924.71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855"/>
      <c r="R17" s="1855"/>
      <c r="S17" s="946"/>
      <c r="T17" s="1900" t="s">
        <v>362</v>
      </c>
      <c r="U17" s="1901"/>
      <c r="V17" s="1902">
        <v>130000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117756</v>
      </c>
      <c r="C18" s="1876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877"/>
      <c r="R18" s="1877"/>
      <c r="S18" s="944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685675</v>
      </c>
      <c r="C19" s="1876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874">
        <f t="shared" ref="Q19" si="14">Q15+Q16+Q17-Q18</f>
        <v>0</v>
      </c>
      <c r="R19" s="1876"/>
      <c r="S19" s="944">
        <f>S15+S16-S17-S18</f>
        <v>53</v>
      </c>
      <c r="T19" s="1869" t="s">
        <v>48</v>
      </c>
      <c r="U19" s="49" t="s">
        <v>58</v>
      </c>
      <c r="V19" s="1877">
        <v>351708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659962.1875</v>
      </c>
      <c r="C20" s="1904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1037080.6114999999</v>
      </c>
      <c r="C21" s="1910"/>
      <c r="O21" s="953"/>
      <c r="P21" s="953"/>
      <c r="Q21" s="953"/>
      <c r="R21" s="953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598893</v>
      </c>
      <c r="D22" s="1908">
        <v>351708</v>
      </c>
      <c r="E22" s="1908">
        <v>300000</v>
      </c>
      <c r="F22" s="1908">
        <f>C22-D22+E22</f>
        <v>547185</v>
      </c>
      <c r="G22" s="953"/>
      <c r="Q22" s="953"/>
      <c r="R22" s="953"/>
      <c r="T22" s="1863" t="s">
        <v>83</v>
      </c>
      <c r="U22" s="50" t="s">
        <v>60</v>
      </c>
      <c r="V22" s="1877">
        <v>350340</v>
      </c>
      <c r="W22" s="1877"/>
      <c r="X22" s="1877"/>
      <c r="Y22" s="1883"/>
    </row>
    <row r="23" spans="1:25" ht="39.75" customHeight="1" x14ac:dyDescent="0.25">
      <c r="A23" s="953"/>
      <c r="B23" s="1906"/>
      <c r="C23" s="1909"/>
      <c r="D23" s="1909"/>
      <c r="E23" s="1909"/>
      <c r="F23" s="1909"/>
      <c r="G23" s="953"/>
      <c r="Q23" s="953"/>
      <c r="R23" s="953"/>
      <c r="T23" s="1864"/>
      <c r="U23" s="50" t="s">
        <v>61</v>
      </c>
      <c r="V23" s="1877">
        <v>351708</v>
      </c>
      <c r="W23" s="1877"/>
      <c r="X23" s="1877"/>
      <c r="Y23" s="1883"/>
    </row>
    <row r="24" spans="1:25" ht="48" customHeight="1" x14ac:dyDescent="0.25">
      <c r="A24" s="95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849" t="s">
        <v>47</v>
      </c>
      <c r="U24" s="51" t="s">
        <v>62</v>
      </c>
      <c r="V24" s="1879">
        <f>V14+V16+V17-V18-V19-V20-V22+V23-V21</f>
        <v>38146.710000000021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12542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53"/>
      <c r="J33" s="95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842" t="s">
        <v>420</v>
      </c>
      <c r="U3" s="1842"/>
      <c r="V3" s="1842"/>
      <c r="W3" s="1842"/>
      <c r="X3" s="1842"/>
      <c r="Y3" s="1842"/>
    </row>
    <row r="4" spans="1:25" s="95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59" customFormat="1" ht="25.5" customHeight="1" x14ac:dyDescent="0.25">
      <c r="A5" s="1843"/>
      <c r="B5" s="1843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914" t="s">
        <v>378</v>
      </c>
      <c r="R14" s="1915"/>
      <c r="S14" s="963" t="s">
        <v>401</v>
      </c>
      <c r="T14" s="1849" t="s">
        <v>46</v>
      </c>
      <c r="U14" s="957" t="s">
        <v>176</v>
      </c>
      <c r="V14" s="1874">
        <v>38147</v>
      </c>
      <c r="W14" s="1875"/>
      <c r="X14" s="1876"/>
    </row>
    <row r="15" spans="1:25" ht="22.5" customHeight="1" x14ac:dyDescent="0.25">
      <c r="A15" s="100" t="s">
        <v>38</v>
      </c>
      <c r="B15" s="1874">
        <v>685675</v>
      </c>
      <c r="C15" s="1876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874">
        <v>0</v>
      </c>
      <c r="R15" s="1876"/>
      <c r="S15" s="957">
        <v>53</v>
      </c>
      <c r="T15" s="1849"/>
      <c r="U15" s="957" t="s">
        <v>64</v>
      </c>
      <c r="V15" s="1877">
        <v>12542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855"/>
      <c r="R16" s="1855"/>
      <c r="S16" s="960"/>
      <c r="T16" s="1871" t="s">
        <v>55</v>
      </c>
      <c r="U16" s="1871"/>
      <c r="V16" s="1878">
        <f>Y12</f>
        <v>192045.27000000002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855"/>
      <c r="R17" s="1855"/>
      <c r="S17" s="956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140172</v>
      </c>
      <c r="C18" s="1876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877"/>
      <c r="R18" s="1877"/>
      <c r="S18" s="957"/>
      <c r="T18" s="1871" t="s">
        <v>57</v>
      </c>
      <c r="U18" s="1871"/>
      <c r="V18" s="1877">
        <v>7470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545503</v>
      </c>
      <c r="C19" s="1876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874">
        <f t="shared" ref="Q19" si="14">Q15+Q16+Q17-Q18</f>
        <v>0</v>
      </c>
      <c r="R19" s="1876"/>
      <c r="S19" s="957">
        <f>S15+S16-S17-S18</f>
        <v>53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525046.63750000007</v>
      </c>
      <c r="C20" s="1904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847004.46149999998</v>
      </c>
      <c r="C21" s="1910"/>
      <c r="O21" s="964"/>
      <c r="P21" s="964"/>
      <c r="Q21" s="964"/>
      <c r="R21" s="964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547185</v>
      </c>
      <c r="D22" s="1908"/>
      <c r="E22" s="1908"/>
      <c r="F22" s="1908">
        <f>C22-D22+E22</f>
        <v>547185</v>
      </c>
      <c r="G22" s="964"/>
      <c r="Q22" s="964"/>
      <c r="R22" s="964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964"/>
      <c r="B23" s="1906"/>
      <c r="C23" s="1909"/>
      <c r="D23" s="1909"/>
      <c r="E23" s="1909"/>
      <c r="F23" s="1909"/>
      <c r="G23" s="964"/>
      <c r="Q23" s="964"/>
      <c r="R23" s="964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96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849" t="s">
        <v>47</v>
      </c>
      <c r="U24" s="51" t="s">
        <v>62</v>
      </c>
      <c r="V24" s="1879">
        <f>V14+V16+V17-V18-V19-V20-V22+V23-V21</f>
        <v>222722.27000000002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12542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64"/>
      <c r="J33" s="96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842" t="s">
        <v>421</v>
      </c>
      <c r="U3" s="1842"/>
      <c r="V3" s="1842"/>
      <c r="W3" s="1842"/>
      <c r="X3" s="1842"/>
      <c r="Y3" s="1842"/>
    </row>
    <row r="4" spans="1:25" s="96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65" customFormat="1" ht="25.5" customHeight="1" x14ac:dyDescent="0.25">
      <c r="A5" s="1843"/>
      <c r="B5" s="184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914" t="s">
        <v>378</v>
      </c>
      <c r="R14" s="1915"/>
      <c r="S14" s="974" t="s">
        <v>401</v>
      </c>
      <c r="T14" s="1849" t="s">
        <v>46</v>
      </c>
      <c r="U14" s="966" t="s">
        <v>176</v>
      </c>
      <c r="V14" s="1874">
        <v>222722</v>
      </c>
      <c r="W14" s="1875"/>
      <c r="X14" s="1876"/>
    </row>
    <row r="15" spans="1:25" ht="22.5" customHeight="1" x14ac:dyDescent="0.25">
      <c r="A15" s="100" t="s">
        <v>38</v>
      </c>
      <c r="B15" s="1874">
        <v>545503</v>
      </c>
      <c r="C15" s="1876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874">
        <v>0</v>
      </c>
      <c r="R15" s="1876"/>
      <c r="S15" s="966">
        <v>53</v>
      </c>
      <c r="T15" s="1849"/>
      <c r="U15" s="966" t="s">
        <v>64</v>
      </c>
      <c r="V15" s="1877">
        <v>12542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855"/>
      <c r="R16" s="1855"/>
      <c r="S16" s="971"/>
      <c r="T16" s="1871" t="s">
        <v>55</v>
      </c>
      <c r="U16" s="1871"/>
      <c r="V16" s="1878">
        <f>Y12</f>
        <v>175431.61000000002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855"/>
      <c r="R17" s="1855"/>
      <c r="S17" s="968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146596</v>
      </c>
      <c r="C18" s="1876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877"/>
      <c r="R18" s="1877"/>
      <c r="S18" s="966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513192</v>
      </c>
      <c r="C19" s="1876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874">
        <f t="shared" ref="Q19" si="14">Q15+Q16+Q17-Q18</f>
        <v>0</v>
      </c>
      <c r="R19" s="1876"/>
      <c r="S19" s="966">
        <f>S15+S16-S17-S18</f>
        <v>53</v>
      </c>
      <c r="T19" s="1869" t="s">
        <v>48</v>
      </c>
      <c r="U19" s="49" t="s">
        <v>58</v>
      </c>
      <c r="V19" s="1877">
        <v>300000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493947.3</v>
      </c>
      <c r="C20" s="1904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783361.71600000001</v>
      </c>
      <c r="C21" s="1910"/>
      <c r="O21" s="975"/>
      <c r="P21" s="975"/>
      <c r="Q21" s="975"/>
      <c r="R21" s="975"/>
      <c r="T21" s="1900" t="s">
        <v>366</v>
      </c>
      <c r="U21" s="1901"/>
      <c r="V21" s="1911">
        <v>67000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547185</v>
      </c>
      <c r="D22" s="1908">
        <v>300000</v>
      </c>
      <c r="E22" s="1908">
        <v>110000</v>
      </c>
      <c r="F22" s="1908">
        <f>C22-D22+E22</f>
        <v>357185</v>
      </c>
      <c r="G22" s="975"/>
      <c r="Q22" s="975"/>
      <c r="R22" s="975"/>
      <c r="T22" s="1863" t="s">
        <v>83</v>
      </c>
      <c r="U22" s="50" t="s">
        <v>60</v>
      </c>
      <c r="V22" s="1877">
        <v>362600</v>
      </c>
      <c r="W22" s="1877"/>
      <c r="X22" s="1877"/>
      <c r="Y22" s="1883"/>
    </row>
    <row r="23" spans="1:25" ht="39.75" customHeight="1" x14ac:dyDescent="0.25">
      <c r="A23" s="975"/>
      <c r="B23" s="1906"/>
      <c r="C23" s="1909"/>
      <c r="D23" s="1909"/>
      <c r="E23" s="1909"/>
      <c r="F23" s="1909"/>
      <c r="G23" s="975"/>
      <c r="Q23" s="975"/>
      <c r="R23" s="975"/>
      <c r="T23" s="1864"/>
      <c r="U23" s="50" t="s">
        <v>61</v>
      </c>
      <c r="V23" s="1877">
        <v>367000</v>
      </c>
      <c r="W23" s="1877"/>
      <c r="X23" s="1877"/>
      <c r="Y23" s="1883"/>
    </row>
    <row r="24" spans="1:25" ht="48" customHeight="1" x14ac:dyDescent="0.25">
      <c r="A24" s="97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849" t="s">
        <v>47</v>
      </c>
      <c r="U24" s="51" t="s">
        <v>62</v>
      </c>
      <c r="V24" s="1879">
        <f>V14+V16+V17-V18-V19-V20-V22+V23-V21</f>
        <v>35033.609999999986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8142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75"/>
      <c r="J33" s="97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842" t="s">
        <v>422</v>
      </c>
      <c r="U3" s="1842"/>
      <c r="V3" s="1842"/>
      <c r="W3" s="1842"/>
      <c r="X3" s="1842"/>
      <c r="Y3" s="1842"/>
    </row>
    <row r="4" spans="1:25" s="96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65" customFormat="1" ht="25.5" customHeight="1" x14ac:dyDescent="0.25">
      <c r="A5" s="1843"/>
      <c r="B5" s="1843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914" t="s">
        <v>378</v>
      </c>
      <c r="R14" s="1915"/>
      <c r="S14" s="974" t="s">
        <v>401</v>
      </c>
      <c r="T14" s="1849" t="s">
        <v>46</v>
      </c>
      <c r="U14" s="966" t="s">
        <v>176</v>
      </c>
      <c r="V14" s="1874">
        <v>35034</v>
      </c>
      <c r="W14" s="1875"/>
      <c r="X14" s="1876"/>
    </row>
    <row r="15" spans="1:25" ht="22.5" customHeight="1" x14ac:dyDescent="0.25">
      <c r="A15" s="100" t="s">
        <v>38</v>
      </c>
      <c r="B15" s="1874">
        <v>513192</v>
      </c>
      <c r="C15" s="1876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874">
        <v>0</v>
      </c>
      <c r="R15" s="1876"/>
      <c r="S15" s="966">
        <v>53</v>
      </c>
      <c r="T15" s="1849"/>
      <c r="U15" s="966" t="s">
        <v>64</v>
      </c>
      <c r="V15" s="1877">
        <v>8142</v>
      </c>
      <c r="W15" s="1877"/>
      <c r="X15" s="1877"/>
    </row>
    <row r="16" spans="1:25" ht="24.75" customHeight="1" x14ac:dyDescent="0.25">
      <c r="A16" s="100" t="s">
        <v>39</v>
      </c>
      <c r="B16" s="1874">
        <v>312726</v>
      </c>
      <c r="C16" s="1876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855"/>
      <c r="R16" s="1855"/>
      <c r="S16" s="971"/>
      <c r="T16" s="1871" t="s">
        <v>55</v>
      </c>
      <c r="U16" s="1871"/>
      <c r="V16" s="1878">
        <f>Y12</f>
        <v>353201.8775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855"/>
      <c r="R17" s="1855"/>
      <c r="S17" s="968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246659</v>
      </c>
      <c r="C18" s="1876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877"/>
      <c r="R18" s="1877"/>
      <c r="S18" s="966"/>
      <c r="T18" s="1871" t="s">
        <v>57</v>
      </c>
      <c r="U18" s="1871"/>
      <c r="V18" s="1877">
        <v>2055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579259</v>
      </c>
      <c r="C19" s="1876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874">
        <f t="shared" ref="Q19" si="14">Q15+Q16+Q17-Q18</f>
        <v>0</v>
      </c>
      <c r="R19" s="1876"/>
      <c r="S19" s="966">
        <f>S15+S16-S17-S18</f>
        <v>53</v>
      </c>
      <c r="T19" s="1869" t="s">
        <v>48</v>
      </c>
      <c r="U19" s="49" t="s">
        <v>58</v>
      </c>
      <c r="V19" s="1877">
        <v>357185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557536.78749999998</v>
      </c>
      <c r="C20" s="1904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>
        <v>1000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734779.56350000005</v>
      </c>
      <c r="C21" s="1910"/>
      <c r="O21" s="975"/>
      <c r="P21" s="975"/>
      <c r="Q21" s="975"/>
      <c r="R21" s="975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357185</v>
      </c>
      <c r="D22" s="1908">
        <v>357185</v>
      </c>
      <c r="E22" s="1908">
        <v>300000</v>
      </c>
      <c r="F22" s="1908">
        <f>C22-D22+E22</f>
        <v>300000</v>
      </c>
      <c r="G22" s="975"/>
      <c r="Q22" s="975"/>
      <c r="R22" s="975"/>
      <c r="T22" s="1863" t="s">
        <v>83</v>
      </c>
      <c r="U22" s="50" t="s">
        <v>60</v>
      </c>
      <c r="V22" s="1877">
        <v>360740</v>
      </c>
      <c r="W22" s="1877"/>
      <c r="X22" s="1877"/>
      <c r="Y22" s="1883"/>
    </row>
    <row r="23" spans="1:25" ht="39.75" customHeight="1" x14ac:dyDescent="0.25">
      <c r="A23" s="975"/>
      <c r="B23" s="1906"/>
      <c r="C23" s="1909"/>
      <c r="D23" s="1909"/>
      <c r="E23" s="1909"/>
      <c r="F23" s="1909"/>
      <c r="G23" s="975"/>
      <c r="Q23" s="975"/>
      <c r="R23" s="975"/>
      <c r="T23" s="1864"/>
      <c r="U23" s="50" t="s">
        <v>61</v>
      </c>
      <c r="V23" s="1877">
        <v>357185</v>
      </c>
      <c r="W23" s="1877"/>
      <c r="X23" s="1877"/>
      <c r="Y23" s="1883"/>
    </row>
    <row r="24" spans="1:25" ht="48" customHeight="1" x14ac:dyDescent="0.25">
      <c r="A24" s="97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849" t="s">
        <v>47</v>
      </c>
      <c r="U24" s="51" t="s">
        <v>62</v>
      </c>
      <c r="V24" s="1879">
        <f>V14+V16+V17-V18-V19-V20-V22+V23-V21</f>
        <v>24440.877500000002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11697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75"/>
      <c r="J33" s="97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842" t="s">
        <v>423</v>
      </c>
      <c r="U3" s="1842"/>
      <c r="V3" s="1842"/>
      <c r="W3" s="1842"/>
      <c r="X3" s="1842"/>
      <c r="Y3" s="1842"/>
    </row>
    <row r="4" spans="1:25" s="98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81" customFormat="1" ht="25.5" customHeight="1" x14ac:dyDescent="0.25">
      <c r="A5" s="1843"/>
      <c r="B5" s="1843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914" t="s">
        <v>378</v>
      </c>
      <c r="R14" s="1915"/>
      <c r="S14" s="985" t="s">
        <v>401</v>
      </c>
      <c r="T14" s="1849" t="s">
        <v>46</v>
      </c>
      <c r="U14" s="979" t="s">
        <v>176</v>
      </c>
      <c r="V14" s="1874">
        <v>24441</v>
      </c>
      <c r="W14" s="1875"/>
      <c r="X14" s="1876"/>
    </row>
    <row r="15" spans="1:25" ht="22.5" customHeight="1" x14ac:dyDescent="0.25">
      <c r="A15" s="100" t="s">
        <v>38</v>
      </c>
      <c r="B15" s="1874">
        <v>579259</v>
      </c>
      <c r="C15" s="1876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874">
        <v>0</v>
      </c>
      <c r="R15" s="1876"/>
      <c r="S15" s="979">
        <v>53</v>
      </c>
      <c r="T15" s="1849"/>
      <c r="U15" s="979" t="s">
        <v>64</v>
      </c>
      <c r="V15" s="1877">
        <v>11697</v>
      </c>
      <c r="W15" s="1877"/>
      <c r="X15" s="1877"/>
    </row>
    <row r="16" spans="1:25" ht="24.75" customHeight="1" x14ac:dyDescent="0.25">
      <c r="A16" s="100" t="s">
        <v>39</v>
      </c>
      <c r="B16" s="1874">
        <v>342421</v>
      </c>
      <c r="C16" s="1876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855"/>
      <c r="R16" s="1855"/>
      <c r="S16" s="982"/>
      <c r="T16" s="1871" t="s">
        <v>55</v>
      </c>
      <c r="U16" s="1871"/>
      <c r="V16" s="1878">
        <f>Y12</f>
        <v>397064.26750000002</v>
      </c>
      <c r="W16" s="1878"/>
      <c r="X16" s="1877"/>
    </row>
    <row r="17" spans="1:25" ht="28.5" customHeight="1" x14ac:dyDescent="0.25">
      <c r="A17" s="101" t="s">
        <v>44</v>
      </c>
      <c r="B17" s="1874">
        <v>53752</v>
      </c>
      <c r="C17" s="1876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855"/>
      <c r="R17" s="1855"/>
      <c r="S17" s="978"/>
      <c r="T17" s="1900" t="s">
        <v>362</v>
      </c>
      <c r="U17" s="1901"/>
      <c r="V17" s="1902">
        <v>237000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400063</v>
      </c>
      <c r="C18" s="1876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877"/>
      <c r="R18" s="1877"/>
      <c r="S18" s="979"/>
      <c r="T18" s="1871" t="s">
        <v>57</v>
      </c>
      <c r="U18" s="1871"/>
      <c r="V18" s="1877">
        <v>920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575369</v>
      </c>
      <c r="C19" s="1876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874">
        <f t="shared" ref="Q19" si="14">Q15+Q16+Q17-Q18</f>
        <v>0</v>
      </c>
      <c r="R19" s="1876"/>
      <c r="S19" s="979">
        <f>S15+S16-S17-S18</f>
        <v>53</v>
      </c>
      <c r="T19" s="1869" t="s">
        <v>48</v>
      </c>
      <c r="U19" s="49" t="s">
        <v>58</v>
      </c>
      <c r="V19" s="1877">
        <v>300000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553792.66249999998</v>
      </c>
      <c r="C20" s="1904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>
        <v>332400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1125931.2264999999</v>
      </c>
      <c r="C21" s="1910"/>
      <c r="O21" s="986"/>
      <c r="P21" s="986"/>
      <c r="Q21" s="986"/>
      <c r="R21" s="986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300000</v>
      </c>
      <c r="D22" s="1908">
        <v>300000</v>
      </c>
      <c r="E22" s="1908">
        <v>400000</v>
      </c>
      <c r="F22" s="1908">
        <f>C22-D22+E22</f>
        <v>400000</v>
      </c>
      <c r="G22" s="986"/>
      <c r="Q22" s="986"/>
      <c r="R22" s="986"/>
      <c r="T22" s="1863" t="s">
        <v>83</v>
      </c>
      <c r="U22" s="50" t="s">
        <v>60</v>
      </c>
      <c r="V22" s="1877">
        <v>627550</v>
      </c>
      <c r="W22" s="1877"/>
      <c r="X22" s="1877"/>
      <c r="Y22" s="1883"/>
    </row>
    <row r="23" spans="1:25" ht="39.75" customHeight="1" x14ac:dyDescent="0.25">
      <c r="A23" s="986"/>
      <c r="B23" s="1906"/>
      <c r="C23" s="1909"/>
      <c r="D23" s="1909"/>
      <c r="E23" s="1909"/>
      <c r="F23" s="1909"/>
      <c r="G23" s="986"/>
      <c r="Q23" s="986"/>
      <c r="R23" s="986"/>
      <c r="T23" s="1864"/>
      <c r="U23" s="50" t="s">
        <v>61</v>
      </c>
      <c r="V23" s="1877">
        <v>632400</v>
      </c>
      <c r="W23" s="1877"/>
      <c r="X23" s="1877"/>
      <c r="Y23" s="1883"/>
    </row>
    <row r="24" spans="1:25" ht="48" customHeight="1" x14ac:dyDescent="0.25">
      <c r="A24" s="98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849" t="s">
        <v>47</v>
      </c>
      <c r="U24" s="51" t="s">
        <v>62</v>
      </c>
      <c r="V24" s="1879">
        <f>V14+V16+V17-V18-V19-V20-V22+V23-V21</f>
        <v>30035.267500000075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6847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86"/>
      <c r="J33" s="986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842" t="s">
        <v>424</v>
      </c>
      <c r="U3" s="1842"/>
      <c r="V3" s="1842"/>
      <c r="W3" s="1842"/>
      <c r="X3" s="1842"/>
      <c r="Y3" s="1842"/>
    </row>
    <row r="4" spans="1:25" s="98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987" customFormat="1" ht="25.5" customHeight="1" x14ac:dyDescent="0.25">
      <c r="A5" s="1843"/>
      <c r="B5" s="1843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914" t="s">
        <v>378</v>
      </c>
      <c r="R14" s="1915"/>
      <c r="S14" s="996" t="s">
        <v>401</v>
      </c>
      <c r="T14" s="1849" t="s">
        <v>46</v>
      </c>
      <c r="U14" s="988" t="s">
        <v>176</v>
      </c>
      <c r="V14" s="1874">
        <v>30035</v>
      </c>
      <c r="W14" s="1875"/>
      <c r="X14" s="1876"/>
    </row>
    <row r="15" spans="1:25" ht="22.5" customHeight="1" x14ac:dyDescent="0.25">
      <c r="A15" s="100" t="s">
        <v>38</v>
      </c>
      <c r="B15" s="1874">
        <v>575369</v>
      </c>
      <c r="C15" s="1876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874">
        <v>0</v>
      </c>
      <c r="R15" s="1876"/>
      <c r="S15" s="988">
        <v>53</v>
      </c>
      <c r="T15" s="1849"/>
      <c r="U15" s="988" t="s">
        <v>64</v>
      </c>
      <c r="V15" s="1877">
        <v>6847</v>
      </c>
      <c r="W15" s="1877"/>
      <c r="X15" s="1877"/>
    </row>
    <row r="16" spans="1:25" ht="24.75" customHeight="1" x14ac:dyDescent="0.25">
      <c r="A16" s="100" t="s">
        <v>39</v>
      </c>
      <c r="B16" s="1874">
        <v>124752</v>
      </c>
      <c r="C16" s="1876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855"/>
      <c r="R16" s="1855"/>
      <c r="S16" s="993"/>
      <c r="T16" s="1871" t="s">
        <v>55</v>
      </c>
      <c r="U16" s="1871"/>
      <c r="V16" s="1878">
        <f>Y12</f>
        <v>527649.78249999997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855"/>
      <c r="R17" s="1855"/>
      <c r="S17" s="990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179317</v>
      </c>
      <c r="C18" s="1876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877"/>
      <c r="R18" s="1877"/>
      <c r="S18" s="988"/>
      <c r="T18" s="1871" t="s">
        <v>57</v>
      </c>
      <c r="U18" s="1871"/>
      <c r="V18" s="1877">
        <v>9790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520804</v>
      </c>
      <c r="C19" s="1876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874">
        <f t="shared" ref="Q19" si="14">Q15+Q16+Q17-Q18</f>
        <v>0</v>
      </c>
      <c r="R19" s="1876"/>
      <c r="S19" s="988">
        <f>S15+S16-S17-S18</f>
        <v>53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501273.85000000003</v>
      </c>
      <c r="C20" s="1904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>
        <v>120074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723771.07799999998</v>
      </c>
      <c r="C21" s="1910"/>
      <c r="O21" s="997"/>
      <c r="P21" s="997"/>
      <c r="Q21" s="997"/>
      <c r="R21" s="997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997"/>
      <c r="Q22" s="997"/>
      <c r="R22" s="997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997"/>
      <c r="B23" s="1906"/>
      <c r="C23" s="1909"/>
      <c r="D23" s="1909"/>
      <c r="E23" s="1909"/>
      <c r="F23" s="1909"/>
      <c r="G23" s="997"/>
      <c r="Q23" s="997"/>
      <c r="R23" s="997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99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849" t="s">
        <v>47</v>
      </c>
      <c r="U24" s="51" t="s">
        <v>62</v>
      </c>
      <c r="V24" s="1879">
        <f>V14+V16+V17-V18-V19-V20-V22+V23-V21</f>
        <v>427820.78249999997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6847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997"/>
      <c r="J33" s="997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842" t="s">
        <v>425</v>
      </c>
      <c r="U3" s="1842"/>
      <c r="V3" s="1842"/>
      <c r="W3" s="1842"/>
      <c r="X3" s="1842"/>
      <c r="Y3" s="1842"/>
    </row>
    <row r="4" spans="1:25" s="100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03" customFormat="1" ht="25.5" customHeight="1" x14ac:dyDescent="0.25">
      <c r="A5" s="1843"/>
      <c r="B5" s="18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914" t="s">
        <v>378</v>
      </c>
      <c r="R14" s="1915"/>
      <c r="S14" s="1007" t="s">
        <v>401</v>
      </c>
      <c r="T14" s="1849" t="s">
        <v>46</v>
      </c>
      <c r="U14" s="1001" t="s">
        <v>176</v>
      </c>
      <c r="V14" s="1874">
        <v>427821</v>
      </c>
      <c r="W14" s="1875"/>
      <c r="X14" s="1876"/>
    </row>
    <row r="15" spans="1:25" ht="22.5" customHeight="1" x14ac:dyDescent="0.25">
      <c r="A15" s="100" t="s">
        <v>38</v>
      </c>
      <c r="B15" s="1874">
        <v>520804</v>
      </c>
      <c r="C15" s="1876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874">
        <v>0</v>
      </c>
      <c r="R15" s="1876"/>
      <c r="S15" s="1001">
        <v>53</v>
      </c>
      <c r="T15" s="1849"/>
      <c r="U15" s="1001" t="s">
        <v>64</v>
      </c>
      <c r="V15" s="1877">
        <v>6847</v>
      </c>
      <c r="W15" s="1877"/>
      <c r="X15" s="1877"/>
    </row>
    <row r="16" spans="1:25" ht="24.75" customHeight="1" x14ac:dyDescent="0.25">
      <c r="A16" s="100" t="s">
        <v>39</v>
      </c>
      <c r="B16" s="1874">
        <v>138181</v>
      </c>
      <c r="C16" s="1876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855"/>
      <c r="R16" s="1855"/>
      <c r="S16" s="1004"/>
      <c r="T16" s="1871" t="s">
        <v>55</v>
      </c>
      <c r="U16" s="1871"/>
      <c r="V16" s="1878">
        <f>Y12</f>
        <v>65448.494999999995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55"/>
      <c r="R17" s="1855"/>
      <c r="S17" s="1000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63582</v>
      </c>
      <c r="C18" s="1876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877"/>
      <c r="R18" s="1877"/>
      <c r="S18" s="1001"/>
      <c r="T18" s="1871" t="s">
        <v>57</v>
      </c>
      <c r="U18" s="1871"/>
      <c r="V18" s="1877">
        <v>25399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595403</v>
      </c>
      <c r="C19" s="1876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874">
        <f t="shared" ref="Q19" si="14">Q15+Q16+Q17-Q18</f>
        <v>0</v>
      </c>
      <c r="R19" s="1876"/>
      <c r="S19" s="1001">
        <f>S15+S16-S17-S18</f>
        <v>53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573075.38750000007</v>
      </c>
      <c r="C20" s="1904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791957.61549999996</v>
      </c>
      <c r="C21" s="1910"/>
      <c r="O21" s="1008"/>
      <c r="P21" s="1008"/>
      <c r="Q21" s="1008"/>
      <c r="R21" s="1008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133000</v>
      </c>
      <c r="F22" s="1908">
        <f>C22-D22+E22</f>
        <v>133000</v>
      </c>
      <c r="G22" s="1008"/>
      <c r="Q22" s="1008"/>
      <c r="R22" s="1008"/>
      <c r="T22" s="1863" t="s">
        <v>83</v>
      </c>
      <c r="U22" s="50" t="s">
        <v>60</v>
      </c>
      <c r="V22" s="1877">
        <v>401100</v>
      </c>
      <c r="W22" s="1877"/>
      <c r="X22" s="1877"/>
      <c r="Y22" s="1883"/>
    </row>
    <row r="23" spans="1:25" ht="39.75" customHeight="1" x14ac:dyDescent="0.25">
      <c r="A23" s="1008"/>
      <c r="B23" s="1906"/>
      <c r="C23" s="1909"/>
      <c r="D23" s="1909"/>
      <c r="E23" s="1909"/>
      <c r="F23" s="1909"/>
      <c r="G23" s="1008"/>
      <c r="Q23" s="1008"/>
      <c r="R23" s="1008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100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49" t="s">
        <v>47</v>
      </c>
      <c r="U24" s="51" t="s">
        <v>62</v>
      </c>
      <c r="V24" s="1879">
        <f>V14+V16+V17-V18-V19-V20-V22+V23-V21</f>
        <v>66770.494999999995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7947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08"/>
      <c r="J33" s="100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842" t="s">
        <v>426</v>
      </c>
      <c r="U3" s="1842"/>
      <c r="V3" s="1842"/>
      <c r="W3" s="1842"/>
      <c r="X3" s="1842"/>
      <c r="Y3" s="1842"/>
    </row>
    <row r="4" spans="1:25" s="100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67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03" customFormat="1" ht="25.5" customHeight="1" x14ac:dyDescent="0.25">
      <c r="A5" s="1843"/>
      <c r="B5" s="18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914" t="s">
        <v>378</v>
      </c>
      <c r="R14" s="1915"/>
      <c r="S14" s="1007" t="s">
        <v>401</v>
      </c>
      <c r="T14" s="1849" t="s">
        <v>46</v>
      </c>
      <c r="U14" s="1001" t="s">
        <v>176</v>
      </c>
      <c r="V14" s="1874">
        <v>66770</v>
      </c>
      <c r="W14" s="1875"/>
      <c r="X14" s="1876"/>
    </row>
    <row r="15" spans="1:25" ht="22.5" customHeight="1" x14ac:dyDescent="0.25">
      <c r="A15" s="100" t="s">
        <v>38</v>
      </c>
      <c r="B15" s="1874">
        <v>595403</v>
      </c>
      <c r="C15" s="1876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874">
        <v>0</v>
      </c>
      <c r="R15" s="1876"/>
      <c r="S15" s="1001">
        <v>53</v>
      </c>
      <c r="T15" s="1849"/>
      <c r="U15" s="1001" t="s">
        <v>64</v>
      </c>
      <c r="V15" s="1877">
        <v>7947</v>
      </c>
      <c r="W15" s="1877"/>
      <c r="X15" s="1877"/>
    </row>
    <row r="16" spans="1:25" ht="24.75" customHeight="1" x14ac:dyDescent="0.25">
      <c r="A16" s="100" t="s">
        <v>39</v>
      </c>
      <c r="B16" s="1874">
        <v>210914</v>
      </c>
      <c r="C16" s="1876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855"/>
      <c r="R16" s="1855"/>
      <c r="S16" s="1004"/>
      <c r="T16" s="1871" t="s">
        <v>55</v>
      </c>
      <c r="U16" s="1871"/>
      <c r="V16" s="1878">
        <f>Y12</f>
        <v>186779.83499999999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55"/>
      <c r="R17" s="1855"/>
      <c r="S17" s="1000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146406</v>
      </c>
      <c r="C18" s="1876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877"/>
      <c r="R18" s="1877"/>
      <c r="S18" s="1001"/>
      <c r="T18" s="1871" t="s">
        <v>57</v>
      </c>
      <c r="U18" s="1871"/>
      <c r="V18" s="1877">
        <v>16570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659911</v>
      </c>
      <c r="C19" s="1876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874">
        <f t="shared" ref="Q19" si="14">Q15+Q16+Q17-Q18</f>
        <v>0</v>
      </c>
      <c r="R19" s="1876"/>
      <c r="S19" s="1001">
        <f>S15+S16-S17-S18</f>
        <v>53</v>
      </c>
      <c r="T19" s="1869" t="s">
        <v>48</v>
      </c>
      <c r="U19" s="49" t="s">
        <v>58</v>
      </c>
      <c r="V19" s="1877">
        <v>133000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635164.33750000002</v>
      </c>
      <c r="C20" s="1904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18073</v>
      </c>
      <c r="T20" s="1870"/>
      <c r="U20" s="49" t="s">
        <v>59</v>
      </c>
      <c r="V20" s="1877">
        <v>50000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957097.56549999991</v>
      </c>
      <c r="C21" s="1910"/>
      <c r="O21" s="1008"/>
      <c r="P21" s="1008"/>
      <c r="Q21" s="1008"/>
      <c r="R21" s="1008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133000</v>
      </c>
      <c r="D22" s="1908">
        <v>133000</v>
      </c>
      <c r="E22" s="1908">
        <v>300000</v>
      </c>
      <c r="F22" s="1908">
        <f>C22-D22+E22</f>
        <v>300000</v>
      </c>
      <c r="G22" s="1008"/>
      <c r="Q22" s="1008"/>
      <c r="R22" s="1008"/>
      <c r="T22" s="1863" t="s">
        <v>83</v>
      </c>
      <c r="U22" s="50" t="s">
        <v>60</v>
      </c>
      <c r="V22" s="1877">
        <v>217801</v>
      </c>
      <c r="W22" s="1877"/>
      <c r="X22" s="1877"/>
      <c r="Y22" s="1883"/>
    </row>
    <row r="23" spans="1:25" ht="39.75" customHeight="1" x14ac:dyDescent="0.25">
      <c r="A23" s="1008"/>
      <c r="B23" s="1906"/>
      <c r="C23" s="1909"/>
      <c r="D23" s="1909"/>
      <c r="E23" s="1909"/>
      <c r="F23" s="1909"/>
      <c r="G23" s="1008"/>
      <c r="Q23" s="1008"/>
      <c r="R23" s="1008"/>
      <c r="T23" s="1864"/>
      <c r="U23" s="50" t="s">
        <v>61</v>
      </c>
      <c r="V23" s="1877">
        <v>183000</v>
      </c>
      <c r="W23" s="1877"/>
      <c r="X23" s="1877"/>
      <c r="Y23" s="1883"/>
    </row>
    <row r="24" spans="1:25" ht="48" customHeight="1" x14ac:dyDescent="0.25">
      <c r="A24" s="100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49" t="s">
        <v>47</v>
      </c>
      <c r="U24" s="51" t="s">
        <v>62</v>
      </c>
      <c r="V24" s="1879">
        <f>V14+V16+V17-V18-V19-V20-V22+V23-V21</f>
        <v>19178.834999999992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42748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08"/>
      <c r="J33" s="100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842" t="s">
        <v>428</v>
      </c>
      <c r="U3" s="1842"/>
      <c r="V3" s="1842"/>
      <c r="W3" s="1842"/>
      <c r="X3" s="1842"/>
      <c r="Y3" s="1842"/>
    </row>
    <row r="4" spans="1:25" s="100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03" customFormat="1" ht="25.5" customHeight="1" x14ac:dyDescent="0.25">
      <c r="A5" s="1843"/>
      <c r="B5" s="18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914" t="s">
        <v>378</v>
      </c>
      <c r="R14" s="1915"/>
      <c r="S14" s="1007" t="s">
        <v>401</v>
      </c>
      <c r="T14" s="1849" t="s">
        <v>46</v>
      </c>
      <c r="U14" s="1001" t="s">
        <v>176</v>
      </c>
      <c r="V14" s="1874">
        <v>19179</v>
      </c>
      <c r="W14" s="1875"/>
      <c r="X14" s="1876"/>
    </row>
    <row r="15" spans="1:25" ht="22.5" customHeight="1" x14ac:dyDescent="0.25">
      <c r="A15" s="100" t="s">
        <v>38</v>
      </c>
      <c r="B15" s="1874">
        <v>659911</v>
      </c>
      <c r="C15" s="1876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874">
        <v>0</v>
      </c>
      <c r="R15" s="1876"/>
      <c r="S15" s="1001">
        <v>53</v>
      </c>
      <c r="T15" s="1849"/>
      <c r="U15" s="1001" t="s">
        <v>64</v>
      </c>
      <c r="V15" s="1877">
        <v>42748</v>
      </c>
      <c r="W15" s="1877"/>
      <c r="X15" s="1877"/>
    </row>
    <row r="16" spans="1:25" ht="24.75" customHeight="1" x14ac:dyDescent="0.25">
      <c r="A16" s="100" t="s">
        <v>39</v>
      </c>
      <c r="B16" s="1874">
        <v>31168</v>
      </c>
      <c r="C16" s="1876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855"/>
      <c r="R16" s="1855"/>
      <c r="S16" s="1004"/>
      <c r="T16" s="1871" t="s">
        <v>55</v>
      </c>
      <c r="U16" s="1871"/>
      <c r="V16" s="1878">
        <f>Y12</f>
        <v>357765.04749999999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55"/>
      <c r="R17" s="1855"/>
      <c r="S17" s="1000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332271</v>
      </c>
      <c r="C18" s="1876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877"/>
      <c r="R18" s="1877"/>
      <c r="S18" s="1001">
        <v>46</v>
      </c>
      <c r="T18" s="1871" t="s">
        <v>57</v>
      </c>
      <c r="U18" s="1871"/>
      <c r="V18" s="1877">
        <v>89702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358808</v>
      </c>
      <c r="C19" s="1876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874">
        <f t="shared" ref="Q19" si="14">Q15+Q16+Q17-Q18</f>
        <v>0</v>
      </c>
      <c r="R19" s="1876"/>
      <c r="S19" s="1001">
        <f>S15+S16-S17-S18</f>
        <v>7</v>
      </c>
      <c r="T19" s="1869" t="s">
        <v>48</v>
      </c>
      <c r="U19" s="49" t="s">
        <v>58</v>
      </c>
      <c r="V19" s="1877">
        <v>300000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345352.7</v>
      </c>
      <c r="C20" s="1904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701121.05799999996</v>
      </c>
      <c r="C21" s="1910"/>
      <c r="O21" s="1008"/>
      <c r="P21" s="1008"/>
      <c r="Q21" s="1008"/>
      <c r="R21" s="1008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300000</v>
      </c>
      <c r="D22" s="1908">
        <v>300000</v>
      </c>
      <c r="E22" s="1908">
        <v>102108</v>
      </c>
      <c r="F22" s="1908">
        <f>C22-D22+E22</f>
        <v>102108</v>
      </c>
      <c r="G22" s="1008"/>
      <c r="Q22" s="1008"/>
      <c r="R22" s="1008"/>
      <c r="T22" s="1863" t="s">
        <v>83</v>
      </c>
      <c r="U22" s="50" t="s">
        <v>60</v>
      </c>
      <c r="V22" s="1877">
        <v>265000</v>
      </c>
      <c r="W22" s="1877"/>
      <c r="X22" s="1877"/>
      <c r="Y22" s="1883"/>
    </row>
    <row r="23" spans="1:25" ht="39.75" customHeight="1" x14ac:dyDescent="0.25">
      <c r="A23" s="1008"/>
      <c r="B23" s="1906"/>
      <c r="C23" s="1909"/>
      <c r="D23" s="1909"/>
      <c r="E23" s="1909"/>
      <c r="F23" s="1909"/>
      <c r="G23" s="1008"/>
      <c r="Q23" s="1008"/>
      <c r="R23" s="1008"/>
      <c r="T23" s="1864"/>
      <c r="U23" s="50" t="s">
        <v>61</v>
      </c>
      <c r="V23" s="1877">
        <v>300000</v>
      </c>
      <c r="W23" s="1877"/>
      <c r="X23" s="1877"/>
      <c r="Y23" s="1883"/>
    </row>
    <row r="24" spans="1:25" ht="48" customHeight="1" x14ac:dyDescent="0.25">
      <c r="A24" s="100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49" t="s">
        <v>47</v>
      </c>
      <c r="U24" s="51" t="s">
        <v>62</v>
      </c>
      <c r="V24" s="1879">
        <f>V14+V16+V17-V18-V19-V20-V22+V23-V21</f>
        <v>22242.047499999986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7748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08"/>
      <c r="J33" s="100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842" t="s">
        <v>430</v>
      </c>
      <c r="U3" s="1842"/>
      <c r="V3" s="1842"/>
      <c r="W3" s="1842"/>
      <c r="X3" s="1842"/>
      <c r="Y3" s="1842"/>
    </row>
    <row r="4" spans="1:25" s="100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03" customFormat="1" ht="25.5" customHeight="1" x14ac:dyDescent="0.25">
      <c r="A5" s="1843"/>
      <c r="B5" s="18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914" t="s">
        <v>378</v>
      </c>
      <c r="R14" s="1915"/>
      <c r="S14" s="1007" t="s">
        <v>401</v>
      </c>
      <c r="T14" s="1849" t="s">
        <v>46</v>
      </c>
      <c r="U14" s="1001" t="s">
        <v>176</v>
      </c>
      <c r="V14" s="1874">
        <v>22242</v>
      </c>
      <c r="W14" s="1875"/>
      <c r="X14" s="1876"/>
    </row>
    <row r="15" spans="1:25" ht="22.5" customHeight="1" x14ac:dyDescent="0.25">
      <c r="A15" s="100" t="s">
        <v>38</v>
      </c>
      <c r="B15" s="1874">
        <v>358808</v>
      </c>
      <c r="C15" s="1876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874">
        <v>0</v>
      </c>
      <c r="R15" s="1876"/>
      <c r="S15" s="1001">
        <v>7</v>
      </c>
      <c r="T15" s="1849"/>
      <c r="U15" s="1001" t="s">
        <v>64</v>
      </c>
      <c r="V15" s="1877">
        <v>7748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855"/>
      <c r="R16" s="1855"/>
      <c r="S16" s="1004"/>
      <c r="T16" s="1871" t="s">
        <v>55</v>
      </c>
      <c r="U16" s="1871"/>
      <c r="V16" s="1878">
        <f>Y12</f>
        <v>108951.875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55"/>
      <c r="R17" s="1855"/>
      <c r="S17" s="1000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109750</v>
      </c>
      <c r="C18" s="1876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877"/>
      <c r="R18" s="1877"/>
      <c r="S18" s="1001"/>
      <c r="T18" s="1871" t="s">
        <v>57</v>
      </c>
      <c r="U18" s="1871"/>
      <c r="V18" s="1877">
        <v>570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363343</v>
      </c>
      <c r="C19" s="1876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874">
        <f t="shared" ref="Q19" si="14">Q15+Q16+Q17-Q18</f>
        <v>0</v>
      </c>
      <c r="R19" s="1876"/>
      <c r="S19" s="1001">
        <f>S15+S16-S17-S18</f>
        <v>7</v>
      </c>
      <c r="T19" s="1869" t="s">
        <v>48</v>
      </c>
      <c r="U19" s="49" t="s">
        <v>58</v>
      </c>
      <c r="V19" s="1877">
        <v>102108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349717.63750000001</v>
      </c>
      <c r="C20" s="1904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703288.79550000001</v>
      </c>
      <c r="C21" s="1910"/>
      <c r="O21" s="1008"/>
      <c r="P21" s="1008"/>
      <c r="Q21" s="1008"/>
      <c r="R21" s="1008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102108</v>
      </c>
      <c r="D22" s="1908">
        <v>102108</v>
      </c>
      <c r="E22" s="1908">
        <v>110000</v>
      </c>
      <c r="F22" s="1908">
        <f>C22-D22+E22</f>
        <v>110000</v>
      </c>
      <c r="G22" s="1008"/>
      <c r="Q22" s="1008"/>
      <c r="R22" s="1008"/>
      <c r="T22" s="1863" t="s">
        <v>83</v>
      </c>
      <c r="U22" s="50" t="s">
        <v>60</v>
      </c>
      <c r="V22" s="1877">
        <v>106380</v>
      </c>
      <c r="W22" s="1877"/>
      <c r="X22" s="1877"/>
      <c r="Y22" s="1883"/>
    </row>
    <row r="23" spans="1:25" ht="39.75" customHeight="1" x14ac:dyDescent="0.25">
      <c r="A23" s="1008"/>
      <c r="B23" s="1906"/>
      <c r="C23" s="1909"/>
      <c r="D23" s="1909"/>
      <c r="E23" s="1909"/>
      <c r="F23" s="1909"/>
      <c r="G23" s="1008"/>
      <c r="Q23" s="1008"/>
      <c r="R23" s="1008"/>
      <c r="T23" s="1864"/>
      <c r="U23" s="50" t="s">
        <v>61</v>
      </c>
      <c r="V23" s="1877">
        <v>102108</v>
      </c>
      <c r="W23" s="1877"/>
      <c r="X23" s="1877"/>
      <c r="Y23" s="1883"/>
    </row>
    <row r="24" spans="1:25" ht="48" customHeight="1" x14ac:dyDescent="0.25">
      <c r="A24" s="100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49" t="s">
        <v>47</v>
      </c>
      <c r="U24" s="51" t="s">
        <v>62</v>
      </c>
      <c r="V24" s="1879">
        <f>V14+V16+V17-V18-V19-V20-V22+V23-V21</f>
        <v>24243.875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12020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08"/>
      <c r="J33" s="100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842" t="s">
        <v>431</v>
      </c>
      <c r="U3" s="1842"/>
      <c r="V3" s="1842"/>
      <c r="W3" s="1842"/>
      <c r="X3" s="1842"/>
      <c r="Y3" s="1842"/>
    </row>
    <row r="4" spans="1:25" s="100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03" customFormat="1" ht="25.5" customHeight="1" x14ac:dyDescent="0.25">
      <c r="A5" s="1843"/>
      <c r="B5" s="1843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914" t="s">
        <v>378</v>
      </c>
      <c r="R14" s="1915"/>
      <c r="S14" s="1007" t="s">
        <v>401</v>
      </c>
      <c r="T14" s="1849" t="s">
        <v>46</v>
      </c>
      <c r="U14" s="1001" t="s">
        <v>176</v>
      </c>
      <c r="V14" s="1874">
        <v>24244</v>
      </c>
      <c r="W14" s="1875"/>
      <c r="X14" s="1876"/>
    </row>
    <row r="15" spans="1:25" ht="22.5" customHeight="1" x14ac:dyDescent="0.25">
      <c r="A15" s="100" t="s">
        <v>38</v>
      </c>
      <c r="B15" s="1874">
        <v>363343</v>
      </c>
      <c r="C15" s="1876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874">
        <v>0</v>
      </c>
      <c r="R15" s="1876"/>
      <c r="S15" s="1001">
        <v>7</v>
      </c>
      <c r="T15" s="1849"/>
      <c r="U15" s="1001" t="s">
        <v>64</v>
      </c>
      <c r="V15" s="1877">
        <v>12020</v>
      </c>
      <c r="W15" s="1877"/>
      <c r="X15" s="1877"/>
    </row>
    <row r="16" spans="1:25" ht="24.75" customHeight="1" x14ac:dyDescent="0.25">
      <c r="A16" s="100" t="s">
        <v>39</v>
      </c>
      <c r="B16" s="1874">
        <v>308532</v>
      </c>
      <c r="C16" s="1876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855"/>
      <c r="R16" s="1855"/>
      <c r="S16" s="1004"/>
      <c r="T16" s="1871" t="s">
        <v>55</v>
      </c>
      <c r="U16" s="1871"/>
      <c r="V16" s="1878">
        <f>Y12</f>
        <v>219706.74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855"/>
      <c r="R17" s="1855"/>
      <c r="S17" s="1000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148264</v>
      </c>
      <c r="C18" s="1876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877"/>
      <c r="R18" s="1877"/>
      <c r="S18" s="1001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523611</v>
      </c>
      <c r="C19" s="1876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874">
        <f t="shared" ref="Q19" si="14">Q15+Q16+Q17-Q18</f>
        <v>0</v>
      </c>
      <c r="R19" s="1876"/>
      <c r="S19" s="1001">
        <f>S15+S16-S17-S18</f>
        <v>7</v>
      </c>
      <c r="T19" s="1869" t="s">
        <v>48</v>
      </c>
      <c r="U19" s="49" t="s">
        <v>58</v>
      </c>
      <c r="V19" s="1877">
        <v>121164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503975.58750000002</v>
      </c>
      <c r="C20" s="1904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>
        <v>108000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1006034.8655000001</v>
      </c>
      <c r="C21" s="1910"/>
      <c r="O21" s="1008"/>
      <c r="P21" s="1008"/>
      <c r="Q21" s="1008"/>
      <c r="R21" s="1008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110000</v>
      </c>
      <c r="D22" s="1908">
        <v>121164</v>
      </c>
      <c r="E22" s="1908">
        <v>411164</v>
      </c>
      <c r="F22" s="1908">
        <f>C22-D22+E22</f>
        <v>400000</v>
      </c>
      <c r="G22" s="1008"/>
      <c r="Q22" s="1008"/>
      <c r="R22" s="1008"/>
      <c r="T22" s="1863" t="s">
        <v>83</v>
      </c>
      <c r="U22" s="50" t="s">
        <v>60</v>
      </c>
      <c r="V22" s="1877">
        <v>224550</v>
      </c>
      <c r="W22" s="1877"/>
      <c r="X22" s="1877"/>
      <c r="Y22" s="1883"/>
    </row>
    <row r="23" spans="1:25" ht="39.75" customHeight="1" x14ac:dyDescent="0.25">
      <c r="A23" s="1008"/>
      <c r="B23" s="1906"/>
      <c r="C23" s="1909"/>
      <c r="D23" s="1909"/>
      <c r="E23" s="1909"/>
      <c r="F23" s="1909"/>
      <c r="G23" s="1008"/>
      <c r="Q23" s="1008"/>
      <c r="R23" s="1008"/>
      <c r="T23" s="1864"/>
      <c r="U23" s="50" t="s">
        <v>61</v>
      </c>
      <c r="V23" s="1877">
        <v>229164</v>
      </c>
      <c r="W23" s="1877"/>
      <c r="X23" s="1877"/>
      <c r="Y23" s="1883"/>
    </row>
    <row r="24" spans="1:25" ht="48" customHeight="1" x14ac:dyDescent="0.25">
      <c r="A24" s="100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849" t="s">
        <v>47</v>
      </c>
      <c r="U24" s="51" t="s">
        <v>62</v>
      </c>
      <c r="V24" s="1879">
        <f>V14+V16+V17-V18-V19-V20-V22+V23-V21</f>
        <v>18880.739999999991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7406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08"/>
      <c r="J33" s="100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842" t="s">
        <v>432</v>
      </c>
      <c r="U3" s="1842"/>
      <c r="V3" s="1842"/>
      <c r="W3" s="1842"/>
      <c r="X3" s="1842"/>
      <c r="Y3" s="1842"/>
    </row>
    <row r="4" spans="1:25" s="100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09" customFormat="1" ht="25.5" customHeight="1" x14ac:dyDescent="0.25">
      <c r="A5" s="1843"/>
      <c r="B5" s="1843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914" t="s">
        <v>378</v>
      </c>
      <c r="R14" s="1915"/>
      <c r="S14" s="1018" t="s">
        <v>401</v>
      </c>
      <c r="T14" s="1849" t="s">
        <v>46</v>
      </c>
      <c r="U14" s="1010" t="s">
        <v>176</v>
      </c>
      <c r="V14" s="1874">
        <v>18881</v>
      </c>
      <c r="W14" s="1875"/>
      <c r="X14" s="1876"/>
    </row>
    <row r="15" spans="1:25" ht="22.5" customHeight="1" x14ac:dyDescent="0.25">
      <c r="A15" s="100" t="s">
        <v>38</v>
      </c>
      <c r="B15" s="1874">
        <v>523611</v>
      </c>
      <c r="C15" s="1876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874">
        <v>0</v>
      </c>
      <c r="R15" s="1876"/>
      <c r="S15" s="1010">
        <v>7</v>
      </c>
      <c r="T15" s="1849"/>
      <c r="U15" s="1010" t="s">
        <v>64</v>
      </c>
      <c r="V15" s="1877">
        <v>7406</v>
      </c>
      <c r="W15" s="1877"/>
      <c r="X15" s="1877"/>
    </row>
    <row r="16" spans="1:25" ht="24.75" customHeight="1" x14ac:dyDescent="0.25">
      <c r="A16" s="100" t="s">
        <v>39</v>
      </c>
      <c r="B16" s="1874">
        <v>51948</v>
      </c>
      <c r="C16" s="1876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855"/>
      <c r="R16" s="1855"/>
      <c r="S16" s="1015"/>
      <c r="T16" s="1871" t="s">
        <v>55</v>
      </c>
      <c r="U16" s="1871"/>
      <c r="V16" s="1878">
        <f>Y12</f>
        <v>202617.08250000002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855"/>
      <c r="R17" s="1855"/>
      <c r="S17" s="1012"/>
      <c r="T17" s="1900" t="s">
        <v>362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101997</v>
      </c>
      <c r="C18" s="1876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877"/>
      <c r="R18" s="1877"/>
      <c r="S18" s="1010"/>
      <c r="T18" s="1871" t="s">
        <v>57</v>
      </c>
      <c r="U18" s="1871"/>
      <c r="V18" s="1877">
        <v>570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473562</v>
      </c>
      <c r="C19" s="1876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874">
        <f t="shared" ref="Q19" si="14">Q15+Q16+Q17-Q18</f>
        <v>0</v>
      </c>
      <c r="R19" s="1876"/>
      <c r="S19" s="1010">
        <f>S15+S16-S17-S18</f>
        <v>7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455803.42499999999</v>
      </c>
      <c r="C20" s="1904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>
        <v>50000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855962.70299999998</v>
      </c>
      <c r="C21" s="1910"/>
      <c r="O21" s="1019"/>
      <c r="P21" s="1019"/>
      <c r="Q21" s="1019"/>
      <c r="R21" s="1019"/>
      <c r="T21" s="1900" t="s">
        <v>366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019"/>
      <c r="Q22" s="1019"/>
      <c r="R22" s="1019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019"/>
      <c r="B23" s="1906"/>
      <c r="C23" s="1909"/>
      <c r="D23" s="1909"/>
      <c r="E23" s="1909"/>
      <c r="F23" s="1909"/>
      <c r="G23" s="1019"/>
      <c r="Q23" s="1019"/>
      <c r="R23" s="1019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01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849" t="s">
        <v>47</v>
      </c>
      <c r="U24" s="51" t="s">
        <v>62</v>
      </c>
      <c r="V24" s="1879">
        <f>V14+V16+V17-V18-V19-V20-V22+V23-V21</f>
        <v>170928.08250000002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7406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19"/>
      <c r="J33" s="1019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842" t="s">
        <v>433</v>
      </c>
      <c r="U3" s="1842"/>
      <c r="V3" s="1842"/>
      <c r="W3" s="1842"/>
      <c r="X3" s="1842"/>
      <c r="Y3" s="1842"/>
    </row>
    <row r="4" spans="1:25" s="102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25" customFormat="1" ht="25.5" customHeight="1" x14ac:dyDescent="0.25">
      <c r="A5" s="1843"/>
      <c r="B5" s="1843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914" t="s">
        <v>378</v>
      </c>
      <c r="R14" s="1915"/>
      <c r="S14" s="1029" t="s">
        <v>401</v>
      </c>
      <c r="T14" s="1849" t="s">
        <v>46</v>
      </c>
      <c r="U14" s="1023" t="s">
        <v>176</v>
      </c>
      <c r="V14" s="1874">
        <v>170928</v>
      </c>
      <c r="W14" s="1875"/>
      <c r="X14" s="1876"/>
    </row>
    <row r="15" spans="1:25" ht="22.5" customHeight="1" x14ac:dyDescent="0.25">
      <c r="A15" s="100" t="s">
        <v>38</v>
      </c>
      <c r="B15" s="1874">
        <v>473562</v>
      </c>
      <c r="C15" s="1876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874">
        <v>0</v>
      </c>
      <c r="R15" s="1876"/>
      <c r="S15" s="1023">
        <v>7</v>
      </c>
      <c r="T15" s="1849"/>
      <c r="U15" s="1023" t="s">
        <v>64</v>
      </c>
      <c r="V15" s="1877">
        <v>7406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855"/>
      <c r="R16" s="1855"/>
      <c r="S16" s="1026"/>
      <c r="T16" s="1871" t="s">
        <v>55</v>
      </c>
      <c r="U16" s="1871"/>
      <c r="V16" s="1878">
        <f>Y12</f>
        <v>196312.875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855"/>
      <c r="R17" s="1855"/>
      <c r="S17" s="1022"/>
      <c r="T17" s="1900" t="s">
        <v>434</v>
      </c>
      <c r="U17" s="1901"/>
      <c r="V17" s="1902">
        <v>40000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112150</v>
      </c>
      <c r="C18" s="1876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877"/>
      <c r="R18" s="1877"/>
      <c r="S18" s="1023"/>
      <c r="T18" s="1871" t="s">
        <v>57</v>
      </c>
      <c r="U18" s="1871"/>
      <c r="V18" s="1877">
        <v>2230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361412</v>
      </c>
      <c r="C19" s="1876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874">
        <f t="shared" ref="Q19" si="14">Q15+Q16+Q17-Q18</f>
        <v>0</v>
      </c>
      <c r="R19" s="1876"/>
      <c r="S19" s="1023">
        <f>S15+S16-S17-S18</f>
        <v>7</v>
      </c>
      <c r="T19" s="1869" t="s">
        <v>48</v>
      </c>
      <c r="U19" s="49" t="s">
        <v>58</v>
      </c>
      <c r="V19" s="1877">
        <v>350000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347859.05</v>
      </c>
      <c r="C20" s="1904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665619.87800000003</v>
      </c>
      <c r="C21" s="1910"/>
      <c r="O21" s="1030"/>
      <c r="P21" s="1030"/>
      <c r="Q21" s="1030"/>
      <c r="R21" s="1030"/>
      <c r="T21" s="1900" t="s">
        <v>435</v>
      </c>
      <c r="U21" s="1901"/>
      <c r="V21" s="1911">
        <v>40000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350000</v>
      </c>
      <c r="E22" s="1908"/>
      <c r="F22" s="1908">
        <f>C22-D22+E22</f>
        <v>50000</v>
      </c>
      <c r="G22" s="1030"/>
      <c r="Q22" s="1030"/>
      <c r="R22" s="1030"/>
      <c r="T22" s="1863" t="s">
        <v>83</v>
      </c>
      <c r="U22" s="50" t="s">
        <v>60</v>
      </c>
      <c r="V22" s="1877">
        <v>354080</v>
      </c>
      <c r="W22" s="1877"/>
      <c r="X22" s="1877"/>
      <c r="Y22" s="1883"/>
    </row>
    <row r="23" spans="1:25" ht="39.75" customHeight="1" x14ac:dyDescent="0.25">
      <c r="A23" s="1030"/>
      <c r="B23" s="1906"/>
      <c r="C23" s="1909"/>
      <c r="D23" s="1909"/>
      <c r="E23" s="1909"/>
      <c r="F23" s="1909"/>
      <c r="G23" s="1030"/>
      <c r="Q23" s="1030"/>
      <c r="R23" s="1030"/>
      <c r="T23" s="1864"/>
      <c r="U23" s="50" t="s">
        <v>61</v>
      </c>
      <c r="V23" s="1877">
        <v>350000</v>
      </c>
      <c r="W23" s="1877"/>
      <c r="X23" s="1877"/>
      <c r="Y23" s="1883"/>
    </row>
    <row r="24" spans="1:25" ht="48" customHeight="1" x14ac:dyDescent="0.25">
      <c r="A24" s="103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849" t="s">
        <v>47</v>
      </c>
      <c r="U24" s="51" t="s">
        <v>62</v>
      </c>
      <c r="V24" s="1879">
        <f>V14+V16+V17-V18-V19-V20-V22+V23-V21</f>
        <v>10930.875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11486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30"/>
      <c r="J33" s="103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842" t="s">
        <v>436</v>
      </c>
      <c r="U3" s="1842"/>
      <c r="V3" s="1842"/>
      <c r="W3" s="1842"/>
      <c r="X3" s="1842"/>
      <c r="Y3" s="1842"/>
    </row>
    <row r="4" spans="1:25" s="103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68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31" customFormat="1" ht="25.5" customHeight="1" x14ac:dyDescent="0.25">
      <c r="A5" s="1843"/>
      <c r="B5" s="1843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914" t="s">
        <v>378</v>
      </c>
      <c r="R14" s="1915"/>
      <c r="S14" s="1040" t="s">
        <v>401</v>
      </c>
      <c r="T14" s="1849" t="s">
        <v>46</v>
      </c>
      <c r="U14" s="1032" t="s">
        <v>176</v>
      </c>
      <c r="V14" s="1874">
        <v>10931</v>
      </c>
      <c r="W14" s="1875"/>
      <c r="X14" s="1876"/>
    </row>
    <row r="15" spans="1:25" ht="22.5" customHeight="1" x14ac:dyDescent="0.25">
      <c r="A15" s="100" t="s">
        <v>38</v>
      </c>
      <c r="B15" s="1874">
        <v>361412</v>
      </c>
      <c r="C15" s="1876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874">
        <v>0</v>
      </c>
      <c r="R15" s="1876"/>
      <c r="S15" s="1032">
        <v>7</v>
      </c>
      <c r="T15" s="1849"/>
      <c r="U15" s="1032" t="s">
        <v>64</v>
      </c>
      <c r="V15" s="1877">
        <v>11486</v>
      </c>
      <c r="W15" s="1877"/>
      <c r="X15" s="1877"/>
    </row>
    <row r="16" spans="1:25" ht="24.75" customHeight="1" x14ac:dyDescent="0.25">
      <c r="A16" s="100" t="s">
        <v>39</v>
      </c>
      <c r="B16" s="1874">
        <v>109091</v>
      </c>
      <c r="C16" s="1876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855"/>
      <c r="R16" s="1855"/>
      <c r="S16" s="1037"/>
      <c r="T16" s="1871" t="s">
        <v>55</v>
      </c>
      <c r="U16" s="1871"/>
      <c r="V16" s="1878">
        <f>Y12</f>
        <v>191315.56700000001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855"/>
      <c r="R17" s="1855"/>
      <c r="S17" s="1034"/>
      <c r="T17" s="1900" t="s">
        <v>437</v>
      </c>
      <c r="U17" s="1901"/>
      <c r="V17" s="1902">
        <v>10000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109428</v>
      </c>
      <c r="C18" s="1876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877"/>
      <c r="R18" s="1877"/>
      <c r="S18" s="1032"/>
      <c r="T18" s="1871" t="s">
        <v>57</v>
      </c>
      <c r="U18" s="1871"/>
      <c r="V18" s="1877">
        <v>3370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361075</v>
      </c>
      <c r="C19" s="1876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874">
        <f t="shared" ref="Q19" si="14">Q15+Q16+Q17-Q18</f>
        <v>0</v>
      </c>
      <c r="R19" s="1876"/>
      <c r="S19" s="1032">
        <f>S15+S16-S17-S18</f>
        <v>7</v>
      </c>
      <c r="T19" s="1869" t="s">
        <v>48</v>
      </c>
      <c r="U19" s="49" t="s">
        <v>58</v>
      </c>
      <c r="V19" s="1877">
        <v>50000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347534.6875</v>
      </c>
      <c r="C20" s="1904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757482.67850000004</v>
      </c>
      <c r="C21" s="1910"/>
      <c r="O21" s="1041"/>
      <c r="P21" s="1041"/>
      <c r="Q21" s="1041"/>
      <c r="R21" s="1041"/>
      <c r="T21" s="1900" t="s">
        <v>438</v>
      </c>
      <c r="U21" s="1901"/>
      <c r="V21" s="1911">
        <v>10000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50000</v>
      </c>
      <c r="D22" s="1908">
        <v>50000</v>
      </c>
      <c r="E22" s="1908">
        <v>281200</v>
      </c>
      <c r="F22" s="1908">
        <f>C22-D22+E22</f>
        <v>281200</v>
      </c>
      <c r="G22" s="1041"/>
      <c r="Q22" s="1041"/>
      <c r="R22" s="1041"/>
      <c r="T22" s="1863" t="s">
        <v>83</v>
      </c>
      <c r="U22" s="50" t="s">
        <v>60</v>
      </c>
      <c r="V22" s="1877">
        <v>192370</v>
      </c>
      <c r="W22" s="1877"/>
      <c r="X22" s="1877"/>
      <c r="Y22" s="1883"/>
    </row>
    <row r="23" spans="1:25" ht="39.75" customHeight="1" x14ac:dyDescent="0.25">
      <c r="A23" s="1041"/>
      <c r="B23" s="1906"/>
      <c r="C23" s="1909"/>
      <c r="D23" s="1909"/>
      <c r="E23" s="1909"/>
      <c r="F23" s="1909"/>
      <c r="G23" s="1041"/>
      <c r="Q23" s="1041"/>
      <c r="R23" s="1041"/>
      <c r="T23" s="1864"/>
      <c r="U23" s="50" t="s">
        <v>61</v>
      </c>
      <c r="V23" s="1877">
        <v>60000</v>
      </c>
      <c r="W23" s="1877"/>
      <c r="X23" s="1877"/>
      <c r="Y23" s="1883"/>
    </row>
    <row r="24" spans="1:25" ht="48" customHeight="1" x14ac:dyDescent="0.25">
      <c r="A24" s="104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849" t="s">
        <v>47</v>
      </c>
      <c r="U24" s="51" t="s">
        <v>62</v>
      </c>
      <c r="V24" s="1879">
        <f>V14+V16+V17-V18-V19-V20-V22+V23-V21</f>
        <v>16506.56700000001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143856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41"/>
      <c r="J33" s="104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842" t="s">
        <v>440</v>
      </c>
      <c r="U3" s="1842"/>
      <c r="V3" s="1842"/>
      <c r="W3" s="1842"/>
      <c r="X3" s="1842"/>
      <c r="Y3" s="1842"/>
    </row>
    <row r="4" spans="1:25" s="104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47" customFormat="1" ht="25.5" customHeight="1" x14ac:dyDescent="0.25">
      <c r="A5" s="1843"/>
      <c r="B5" s="184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914" t="s">
        <v>378</v>
      </c>
      <c r="R14" s="1915"/>
      <c r="S14" s="1051" t="s">
        <v>401</v>
      </c>
      <c r="T14" s="1849" t="s">
        <v>46</v>
      </c>
      <c r="U14" s="1045" t="s">
        <v>176</v>
      </c>
      <c r="V14" s="1874">
        <v>16507</v>
      </c>
      <c r="W14" s="1875"/>
      <c r="X14" s="1876"/>
    </row>
    <row r="15" spans="1:25" ht="22.5" customHeight="1" x14ac:dyDescent="0.25">
      <c r="A15" s="100" t="s">
        <v>38</v>
      </c>
      <c r="B15" s="1874">
        <v>361075</v>
      </c>
      <c r="C15" s="1876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874">
        <v>0</v>
      </c>
      <c r="R15" s="1876"/>
      <c r="S15" s="1045">
        <v>7</v>
      </c>
      <c r="T15" s="1849"/>
      <c r="U15" s="1045" t="s">
        <v>64</v>
      </c>
      <c r="V15" s="1877">
        <v>143856</v>
      </c>
      <c r="W15" s="1877"/>
      <c r="X15" s="1877"/>
    </row>
    <row r="16" spans="1:25" ht="24.75" customHeight="1" x14ac:dyDescent="0.25">
      <c r="A16" s="100" t="s">
        <v>39</v>
      </c>
      <c r="B16" s="1874">
        <v>218181</v>
      </c>
      <c r="C16" s="1876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855"/>
      <c r="R16" s="1855"/>
      <c r="S16" s="1048"/>
      <c r="T16" s="1871" t="s">
        <v>55</v>
      </c>
      <c r="U16" s="1871"/>
      <c r="V16" s="1878">
        <f>Y12</f>
        <v>251149.00150000001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855"/>
      <c r="R17" s="1855"/>
      <c r="S17" s="1044"/>
      <c r="T17" s="1900" t="s">
        <v>437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220683</v>
      </c>
      <c r="C18" s="1876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877"/>
      <c r="R18" s="1877"/>
      <c r="S18" s="1045"/>
      <c r="T18" s="1871" t="s">
        <v>57</v>
      </c>
      <c r="U18" s="1871"/>
      <c r="V18" s="1877">
        <v>2980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358573</v>
      </c>
      <c r="C19" s="1876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874">
        <f t="shared" ref="Q19" si="15">Q15+Q16+Q17-Q18</f>
        <v>0</v>
      </c>
      <c r="R19" s="1876"/>
      <c r="S19" s="1045">
        <f>S15+S16-S17-S18</f>
        <v>7</v>
      </c>
      <c r="T19" s="1869" t="s">
        <v>48</v>
      </c>
      <c r="U19" s="49" t="s">
        <v>58</v>
      </c>
      <c r="V19" s="1877">
        <v>281200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345126.51250000001</v>
      </c>
      <c r="C20" s="1904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718949.71550000005</v>
      </c>
      <c r="C21" s="1910"/>
      <c r="O21" s="1052"/>
      <c r="P21" s="1052"/>
      <c r="Q21" s="1052"/>
      <c r="R21" s="1052"/>
      <c r="T21" s="1900" t="s">
        <v>438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281200</v>
      </c>
      <c r="D22" s="1908">
        <v>281200</v>
      </c>
      <c r="E22" s="1908">
        <v>210000</v>
      </c>
      <c r="F22" s="1908">
        <f>C22-D22+E22</f>
        <v>210000</v>
      </c>
      <c r="G22" s="1052"/>
      <c r="Q22" s="1052"/>
      <c r="R22" s="1052"/>
      <c r="T22" s="1863" t="s">
        <v>83</v>
      </c>
      <c r="U22" s="50" t="s">
        <v>60</v>
      </c>
      <c r="V22" s="1877">
        <v>248660</v>
      </c>
      <c r="W22" s="1877"/>
      <c r="X22" s="1877"/>
      <c r="Y22" s="1883"/>
    </row>
    <row r="23" spans="1:25" ht="39.75" customHeight="1" x14ac:dyDescent="0.25">
      <c r="A23" s="1052"/>
      <c r="B23" s="1906"/>
      <c r="C23" s="1909"/>
      <c r="D23" s="1909"/>
      <c r="E23" s="1909"/>
      <c r="F23" s="1909"/>
      <c r="G23" s="1052"/>
      <c r="Q23" s="1052"/>
      <c r="R23" s="1052"/>
      <c r="T23" s="1864"/>
      <c r="U23" s="50" t="s">
        <v>61</v>
      </c>
      <c r="V23" s="1877">
        <v>281200</v>
      </c>
      <c r="W23" s="1877"/>
      <c r="X23" s="1877"/>
      <c r="Y23" s="1883"/>
    </row>
    <row r="24" spans="1:25" ht="48" customHeight="1" x14ac:dyDescent="0.25">
      <c r="A24" s="105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849" t="s">
        <v>47</v>
      </c>
      <c r="U24" s="51" t="s">
        <v>62</v>
      </c>
      <c r="V24" s="1879">
        <f>V14+V16+V17-V18-V19-V20-V22+V23-V21</f>
        <v>16016.001500000013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111316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52"/>
      <c r="J33" s="105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842" t="s">
        <v>443</v>
      </c>
      <c r="U3" s="1842"/>
      <c r="V3" s="1842"/>
      <c r="W3" s="1842"/>
      <c r="X3" s="1842"/>
      <c r="Y3" s="1842"/>
    </row>
    <row r="4" spans="1:25" s="104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47" customFormat="1" ht="25.5" customHeight="1" x14ac:dyDescent="0.25">
      <c r="A5" s="1843"/>
      <c r="B5" s="1843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914" t="s">
        <v>378</v>
      </c>
      <c r="R14" s="1915"/>
      <c r="S14" s="1051" t="s">
        <v>401</v>
      </c>
      <c r="T14" s="1849" t="s">
        <v>46</v>
      </c>
      <c r="U14" s="1045" t="s">
        <v>176</v>
      </c>
      <c r="V14" s="1874">
        <v>16016</v>
      </c>
      <c r="W14" s="1875"/>
      <c r="X14" s="1876"/>
    </row>
    <row r="15" spans="1:25" ht="22.5" customHeight="1" x14ac:dyDescent="0.25">
      <c r="A15" s="100" t="s">
        <v>38</v>
      </c>
      <c r="B15" s="1874">
        <v>358573</v>
      </c>
      <c r="C15" s="1876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874">
        <v>0</v>
      </c>
      <c r="R15" s="1876"/>
      <c r="S15" s="1045">
        <v>7</v>
      </c>
      <c r="T15" s="1849"/>
      <c r="U15" s="1045" t="s">
        <v>64</v>
      </c>
      <c r="V15" s="1877">
        <v>111316</v>
      </c>
      <c r="W15" s="1877"/>
      <c r="X15" s="1877"/>
    </row>
    <row r="16" spans="1:25" ht="24.75" customHeight="1" x14ac:dyDescent="0.25">
      <c r="A16" s="100" t="s">
        <v>39</v>
      </c>
      <c r="B16" s="1874">
        <v>155844</v>
      </c>
      <c r="C16" s="1876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855"/>
      <c r="R16" s="1855"/>
      <c r="S16" s="1048"/>
      <c r="T16" s="1871" t="s">
        <v>55</v>
      </c>
      <c r="U16" s="1871"/>
      <c r="V16" s="1878">
        <f>Y12</f>
        <v>190029.87150000001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855"/>
      <c r="R17" s="1855"/>
      <c r="S17" s="1044"/>
      <c r="T17" s="1900" t="s">
        <v>437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132321</v>
      </c>
      <c r="C18" s="1876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877"/>
      <c r="R18" s="1877"/>
      <c r="S18" s="1045"/>
      <c r="T18" s="1871" t="s">
        <v>57</v>
      </c>
      <c r="U18" s="1871"/>
      <c r="V18" s="1877">
        <v>1471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382096</v>
      </c>
      <c r="C19" s="1876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874">
        <f t="shared" si="14"/>
        <v>0</v>
      </c>
      <c r="R19" s="1876"/>
      <c r="S19" s="1045">
        <f>S15+S16-S17-S18</f>
        <v>7</v>
      </c>
      <c r="T19" s="1869" t="s">
        <v>48</v>
      </c>
      <c r="U19" s="49" t="s">
        <v>58</v>
      </c>
      <c r="V19" s="1877">
        <v>210000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367767.4</v>
      </c>
      <c r="C20" s="1904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680913.054</v>
      </c>
      <c r="C21" s="1910"/>
      <c r="O21" s="1052"/>
      <c r="P21" s="1052"/>
      <c r="Q21" s="1052"/>
      <c r="R21" s="1052"/>
      <c r="T21" s="1900" t="s">
        <v>438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210000</v>
      </c>
      <c r="D22" s="1908">
        <v>210000</v>
      </c>
      <c r="E22" s="1908">
        <v>150000</v>
      </c>
      <c r="F22" s="1908">
        <f>C22-D22+E22</f>
        <v>150000</v>
      </c>
      <c r="G22" s="1052"/>
      <c r="Q22" s="1052"/>
      <c r="R22" s="1052"/>
      <c r="T22" s="1863" t="s">
        <v>83</v>
      </c>
      <c r="U22" s="50" t="s">
        <v>60</v>
      </c>
      <c r="V22" s="1877">
        <v>182820</v>
      </c>
      <c r="W22" s="1877"/>
      <c r="X22" s="1877"/>
      <c r="Y22" s="1883"/>
    </row>
    <row r="23" spans="1:25" ht="39.75" customHeight="1" x14ac:dyDescent="0.25">
      <c r="A23" s="1052"/>
      <c r="B23" s="1906"/>
      <c r="C23" s="1909"/>
      <c r="D23" s="1909"/>
      <c r="E23" s="1909"/>
      <c r="F23" s="1909"/>
      <c r="G23" s="1052"/>
      <c r="Q23" s="1052"/>
      <c r="R23" s="1052"/>
      <c r="T23" s="1864"/>
      <c r="U23" s="50" t="s">
        <v>61</v>
      </c>
      <c r="V23" s="1877">
        <v>210000</v>
      </c>
      <c r="W23" s="1877"/>
      <c r="X23" s="1877"/>
      <c r="Y23" s="1883"/>
    </row>
    <row r="24" spans="1:25" ht="48" customHeight="1" x14ac:dyDescent="0.25">
      <c r="A24" s="105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849" t="s">
        <v>47</v>
      </c>
      <c r="U24" s="51" t="s">
        <v>62</v>
      </c>
      <c r="V24" s="1879">
        <f>V14+V16+V17-V18-V19-V20-V22+V23-V21</f>
        <v>21754.871500000008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84136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52"/>
      <c r="J33" s="105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842" t="s">
        <v>444</v>
      </c>
      <c r="U3" s="1842"/>
      <c r="V3" s="1842"/>
      <c r="W3" s="1842"/>
      <c r="X3" s="1842"/>
      <c r="Y3" s="1842"/>
    </row>
    <row r="4" spans="1:25" s="105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53" customFormat="1" ht="25.5" customHeight="1" x14ac:dyDescent="0.25">
      <c r="A5" s="1843"/>
      <c r="B5" s="1843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914" t="s">
        <v>378</v>
      </c>
      <c r="R14" s="1915"/>
      <c r="S14" s="1062" t="s">
        <v>401</v>
      </c>
      <c r="T14" s="1849" t="s">
        <v>46</v>
      </c>
      <c r="U14" s="1054" t="s">
        <v>176</v>
      </c>
      <c r="V14" s="1874">
        <v>21755</v>
      </c>
      <c r="W14" s="1875"/>
      <c r="X14" s="1876"/>
    </row>
    <row r="15" spans="1:25" ht="22.5" customHeight="1" x14ac:dyDescent="0.25">
      <c r="A15" s="100" t="s">
        <v>38</v>
      </c>
      <c r="B15" s="1874">
        <v>382096</v>
      </c>
      <c r="C15" s="1876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874">
        <v>0</v>
      </c>
      <c r="R15" s="1876"/>
      <c r="S15" s="1054">
        <v>7</v>
      </c>
      <c r="T15" s="1849"/>
      <c r="U15" s="1054" t="s">
        <v>64</v>
      </c>
      <c r="V15" s="1877">
        <v>84136</v>
      </c>
      <c r="W15" s="1877"/>
      <c r="X15" s="1877"/>
    </row>
    <row r="16" spans="1:25" ht="24.75" customHeight="1" x14ac:dyDescent="0.25">
      <c r="A16" s="100" t="s">
        <v>39</v>
      </c>
      <c r="B16" s="1874">
        <v>332467</v>
      </c>
      <c r="C16" s="1876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855"/>
      <c r="R16" s="1855"/>
      <c r="S16" s="1059"/>
      <c r="T16" s="1871" t="s">
        <v>55</v>
      </c>
      <c r="U16" s="1871"/>
      <c r="V16" s="1878">
        <f>Y12</f>
        <v>201337.74350000001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855"/>
      <c r="R17" s="1855"/>
      <c r="S17" s="1056"/>
      <c r="T17" s="1900" t="s">
        <v>437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180327</v>
      </c>
      <c r="C18" s="1876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877"/>
      <c r="R18" s="1877"/>
      <c r="S18" s="1054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534236</v>
      </c>
      <c r="C19" s="1876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874">
        <f t="shared" si="14"/>
        <v>0</v>
      </c>
      <c r="R19" s="1876"/>
      <c r="S19" s="1054">
        <f>S15+S16-S17-S18</f>
        <v>7</v>
      </c>
      <c r="T19" s="1869" t="s">
        <v>48</v>
      </c>
      <c r="U19" s="49" t="s">
        <v>58</v>
      </c>
      <c r="V19" s="1877">
        <v>150000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514202.15</v>
      </c>
      <c r="C20" s="1904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801629.16400000011</v>
      </c>
      <c r="C21" s="1910"/>
      <c r="O21" s="1063"/>
      <c r="P21" s="1063"/>
      <c r="Q21" s="1063"/>
      <c r="R21" s="1063"/>
      <c r="T21" s="1900" t="s">
        <v>438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150000</v>
      </c>
      <c r="D22" s="1908">
        <v>150000</v>
      </c>
      <c r="E22" s="1908">
        <v>320000</v>
      </c>
      <c r="F22" s="1908">
        <f>C22-D22+E22</f>
        <v>320000</v>
      </c>
      <c r="G22" s="1063"/>
      <c r="Q22" s="1063"/>
      <c r="R22" s="1063"/>
      <c r="T22" s="1863" t="s">
        <v>83</v>
      </c>
      <c r="U22" s="50" t="s">
        <v>60</v>
      </c>
      <c r="V22" s="1877">
        <v>131860</v>
      </c>
      <c r="W22" s="1877"/>
      <c r="X22" s="1877"/>
      <c r="Y22" s="1883"/>
    </row>
    <row r="23" spans="1:25" ht="39.75" customHeight="1" x14ac:dyDescent="0.25">
      <c r="A23" s="1063"/>
      <c r="B23" s="1906"/>
      <c r="C23" s="1909"/>
      <c r="D23" s="1909"/>
      <c r="E23" s="1909"/>
      <c r="F23" s="1909"/>
      <c r="G23" s="1063"/>
      <c r="Q23" s="1063"/>
      <c r="R23" s="1063"/>
      <c r="T23" s="1864"/>
      <c r="U23" s="50" t="s">
        <v>61</v>
      </c>
      <c r="V23" s="1877">
        <v>150000</v>
      </c>
      <c r="W23" s="1877"/>
      <c r="X23" s="1877"/>
      <c r="Y23" s="1883"/>
    </row>
    <row r="24" spans="1:25" ht="48" customHeight="1" x14ac:dyDescent="0.25">
      <c r="A24" s="106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849" t="s">
        <v>47</v>
      </c>
      <c r="U24" s="51" t="s">
        <v>62</v>
      </c>
      <c r="V24" s="1879">
        <f>V14+V16+V17-V18-V19-V20-V22+V23-V21</f>
        <v>90712.743500000011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65996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63"/>
      <c r="J33" s="106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842" t="s">
        <v>445</v>
      </c>
      <c r="U3" s="1842"/>
      <c r="V3" s="1842"/>
      <c r="W3" s="1842"/>
      <c r="X3" s="1842"/>
      <c r="Y3" s="1842"/>
    </row>
    <row r="4" spans="1:25" s="106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69" customFormat="1" ht="25.5" customHeight="1" x14ac:dyDescent="0.25">
      <c r="A5" s="1843"/>
      <c r="B5" s="1843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914" t="s">
        <v>378</v>
      </c>
      <c r="R14" s="1915"/>
      <c r="S14" s="1073" t="s">
        <v>401</v>
      </c>
      <c r="T14" s="1849" t="s">
        <v>46</v>
      </c>
      <c r="U14" s="1067" t="s">
        <v>176</v>
      </c>
      <c r="V14" s="1874">
        <v>90713</v>
      </c>
      <c r="W14" s="1875"/>
      <c r="X14" s="1876"/>
    </row>
    <row r="15" spans="1:25" ht="22.5" customHeight="1" x14ac:dyDescent="0.25">
      <c r="A15" s="100" t="s">
        <v>38</v>
      </c>
      <c r="B15" s="1874">
        <v>534236</v>
      </c>
      <c r="C15" s="1876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874">
        <v>0</v>
      </c>
      <c r="R15" s="1876"/>
      <c r="S15" s="1067">
        <v>7</v>
      </c>
      <c r="T15" s="1849"/>
      <c r="U15" s="1067" t="s">
        <v>64</v>
      </c>
      <c r="V15" s="1877">
        <v>65996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855"/>
      <c r="R16" s="1855"/>
      <c r="S16" s="1070"/>
      <c r="T16" s="1871" t="s">
        <v>55</v>
      </c>
      <c r="U16" s="1871"/>
      <c r="V16" s="1878">
        <f>Y12</f>
        <v>138809.25650000002</v>
      </c>
      <c r="W16" s="1878"/>
      <c r="X16" s="1877"/>
    </row>
    <row r="17" spans="1:25" ht="28.5" customHeight="1" x14ac:dyDescent="0.25">
      <c r="A17" s="101" t="s">
        <v>44</v>
      </c>
      <c r="B17" s="1874">
        <v>145113</v>
      </c>
      <c r="C17" s="1876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855"/>
      <c r="R17" s="1855"/>
      <c r="S17" s="1066"/>
      <c r="T17" s="1900" t="s">
        <v>447</v>
      </c>
      <c r="U17" s="1901"/>
      <c r="V17" s="1902">
        <v>2000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117849</v>
      </c>
      <c r="C18" s="1876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877"/>
      <c r="R18" s="1877"/>
      <c r="S18" s="1067"/>
      <c r="T18" s="1871" t="s">
        <v>57</v>
      </c>
      <c r="U18" s="1871"/>
      <c r="V18" s="1877">
        <v>39570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561500</v>
      </c>
      <c r="C19" s="1876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874">
        <f t="shared" si="14"/>
        <v>0</v>
      </c>
      <c r="R19" s="1876"/>
      <c r="S19" s="1067">
        <f>S15+S16-S17-S18</f>
        <v>7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540443.75</v>
      </c>
      <c r="C20" s="1904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803926.06</v>
      </c>
      <c r="C21" s="1910"/>
      <c r="O21" s="1074"/>
      <c r="P21" s="1074"/>
      <c r="Q21" s="1074"/>
      <c r="R21" s="1074"/>
      <c r="T21" s="1900" t="s">
        <v>446</v>
      </c>
      <c r="U21" s="1901"/>
      <c r="V21" s="1911">
        <v>2000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320000</v>
      </c>
      <c r="D22" s="1908"/>
      <c r="E22" s="1908"/>
      <c r="F22" s="1908">
        <f>C22-D22+E22</f>
        <v>320000</v>
      </c>
      <c r="G22" s="1074"/>
      <c r="Q22" s="1074"/>
      <c r="R22" s="1074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074"/>
      <c r="B23" s="1906"/>
      <c r="C23" s="1909"/>
      <c r="D23" s="1909"/>
      <c r="E23" s="1909"/>
      <c r="F23" s="1909"/>
      <c r="G23" s="1074"/>
      <c r="Q23" s="1074"/>
      <c r="R23" s="1074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07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849" t="s">
        <v>47</v>
      </c>
      <c r="U24" s="51" t="s">
        <v>62</v>
      </c>
      <c r="V24" s="1879">
        <f>V14+V16+V17-V18-V19-V20-V22+V23-V21</f>
        <v>189952.25650000002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65996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74"/>
      <c r="J33" s="107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842" t="s">
        <v>448</v>
      </c>
      <c r="U3" s="1842"/>
      <c r="V3" s="1842"/>
      <c r="W3" s="1842"/>
      <c r="X3" s="1842"/>
      <c r="Y3" s="1842"/>
    </row>
    <row r="4" spans="1:25" s="108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80" customFormat="1" ht="25.5" customHeight="1" x14ac:dyDescent="0.25">
      <c r="A5" s="1843"/>
      <c r="B5" s="1843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914" t="s">
        <v>378</v>
      </c>
      <c r="R14" s="1915"/>
      <c r="S14" s="1084" t="s">
        <v>401</v>
      </c>
      <c r="T14" s="1849" t="s">
        <v>46</v>
      </c>
      <c r="U14" s="1078" t="s">
        <v>176</v>
      </c>
      <c r="V14" s="1874">
        <v>189952</v>
      </c>
      <c r="W14" s="1875"/>
      <c r="X14" s="1876"/>
    </row>
    <row r="15" spans="1:25" ht="22.5" customHeight="1" x14ac:dyDescent="0.25">
      <c r="A15" s="100" t="s">
        <v>38</v>
      </c>
      <c r="B15" s="1874">
        <v>561500</v>
      </c>
      <c r="C15" s="1876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874">
        <v>0</v>
      </c>
      <c r="R15" s="1876"/>
      <c r="S15" s="1078">
        <v>7</v>
      </c>
      <c r="T15" s="1849"/>
      <c r="U15" s="1078" t="s">
        <v>64</v>
      </c>
      <c r="V15" s="1877">
        <v>65996</v>
      </c>
      <c r="W15" s="1877"/>
      <c r="X15" s="1877"/>
    </row>
    <row r="16" spans="1:25" ht="24.75" customHeight="1" x14ac:dyDescent="0.25">
      <c r="A16" s="100" t="s">
        <v>39</v>
      </c>
      <c r="B16" s="1874">
        <v>51948</v>
      </c>
      <c r="C16" s="1876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855"/>
      <c r="R16" s="1855"/>
      <c r="S16" s="1081"/>
      <c r="T16" s="1871" t="s">
        <v>55</v>
      </c>
      <c r="U16" s="1871"/>
      <c r="V16" s="1878">
        <f>Y12</f>
        <v>295990.4325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855"/>
      <c r="R17" s="1855"/>
      <c r="S17" s="1077"/>
      <c r="T17" s="1900" t="s">
        <v>447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260457</v>
      </c>
      <c r="C18" s="1876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877"/>
      <c r="R18" s="1877"/>
      <c r="S18" s="1078"/>
      <c r="T18" s="1871" t="s">
        <v>57</v>
      </c>
      <c r="U18" s="1871"/>
      <c r="V18" s="1877">
        <v>19829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352991</v>
      </c>
      <c r="C19" s="1876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874">
        <f t="shared" si="14"/>
        <v>0</v>
      </c>
      <c r="R19" s="1876"/>
      <c r="S19" s="1078">
        <f>S15+S16-S17-S18</f>
        <v>7</v>
      </c>
      <c r="T19" s="1869" t="s">
        <v>48</v>
      </c>
      <c r="U19" s="49" t="s">
        <v>58</v>
      </c>
      <c r="V19" s="1877">
        <v>277000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339753.83750000002</v>
      </c>
      <c r="C20" s="1904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563477.54749999999</v>
      </c>
      <c r="C21" s="1910"/>
      <c r="O21" s="1085"/>
      <c r="P21" s="1085"/>
      <c r="Q21" s="1085"/>
      <c r="R21" s="1085"/>
      <c r="T21" s="1900" t="s">
        <v>446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320000</v>
      </c>
      <c r="D22" s="1908">
        <v>277000</v>
      </c>
      <c r="E22" s="1908">
        <v>52500</v>
      </c>
      <c r="F22" s="1908">
        <f>C22-D22+E22</f>
        <v>95500</v>
      </c>
      <c r="G22" s="1085"/>
      <c r="Q22" s="1085"/>
      <c r="R22" s="1085"/>
      <c r="T22" s="1863" t="s">
        <v>83</v>
      </c>
      <c r="U22" s="50" t="s">
        <v>60</v>
      </c>
      <c r="V22" s="1877">
        <v>221900</v>
      </c>
      <c r="W22" s="1877"/>
      <c r="X22" s="1877"/>
      <c r="Y22" s="1883"/>
    </row>
    <row r="23" spans="1:25" ht="39.75" customHeight="1" x14ac:dyDescent="0.25">
      <c r="A23" s="1085"/>
      <c r="B23" s="1906"/>
      <c r="C23" s="1909"/>
      <c r="D23" s="1909"/>
      <c r="E23" s="1909"/>
      <c r="F23" s="1909"/>
      <c r="G23" s="1085"/>
      <c r="Q23" s="1085"/>
      <c r="R23" s="1085"/>
      <c r="T23" s="1864"/>
      <c r="U23" s="50" t="s">
        <v>61</v>
      </c>
      <c r="V23" s="1877">
        <v>277000</v>
      </c>
      <c r="W23" s="1877"/>
      <c r="X23" s="1877"/>
      <c r="Y23" s="1883"/>
    </row>
    <row r="24" spans="1:25" ht="48" customHeight="1" x14ac:dyDescent="0.25">
      <c r="A24" s="108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849" t="s">
        <v>47</v>
      </c>
      <c r="U24" s="51" t="s">
        <v>62</v>
      </c>
      <c r="V24" s="1879">
        <f>V14+V16+V17-V18-V19-V20-V22+V23-V21</f>
        <v>244213.4325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10896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85"/>
      <c r="J33" s="1085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842" t="s">
        <v>449</v>
      </c>
      <c r="U3" s="1842"/>
      <c r="V3" s="1842"/>
      <c r="W3" s="1842"/>
      <c r="X3" s="1842"/>
      <c r="Y3" s="1842"/>
    </row>
    <row r="4" spans="1:25" s="108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086" customFormat="1" ht="25.5" customHeight="1" x14ac:dyDescent="0.25">
      <c r="A5" s="1843"/>
      <c r="B5" s="1843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914" t="s">
        <v>378</v>
      </c>
      <c r="R14" s="1915"/>
      <c r="S14" s="1095" t="s">
        <v>401</v>
      </c>
      <c r="T14" s="1849" t="s">
        <v>46</v>
      </c>
      <c r="U14" s="1087" t="s">
        <v>176</v>
      </c>
      <c r="V14" s="1874">
        <v>244213</v>
      </c>
      <c r="W14" s="1875"/>
      <c r="X14" s="1876"/>
    </row>
    <row r="15" spans="1:25" ht="22.5" customHeight="1" x14ac:dyDescent="0.25">
      <c r="A15" s="100" t="s">
        <v>38</v>
      </c>
      <c r="B15" s="1874">
        <v>352991</v>
      </c>
      <c r="C15" s="1876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874">
        <v>0</v>
      </c>
      <c r="R15" s="1876"/>
      <c r="S15" s="1087">
        <v>7</v>
      </c>
      <c r="T15" s="1849"/>
      <c r="U15" s="1087" t="s">
        <v>64</v>
      </c>
      <c r="V15" s="1877">
        <v>10896</v>
      </c>
      <c r="W15" s="1877"/>
      <c r="X15" s="1877"/>
    </row>
    <row r="16" spans="1:25" ht="24.75" customHeight="1" x14ac:dyDescent="0.25">
      <c r="A16" s="100" t="s">
        <v>39</v>
      </c>
      <c r="B16" s="1874">
        <v>51948</v>
      </c>
      <c r="C16" s="1876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855"/>
      <c r="R16" s="1855"/>
      <c r="S16" s="1092"/>
      <c r="T16" s="1871" t="s">
        <v>55</v>
      </c>
      <c r="U16" s="1871"/>
      <c r="V16" s="1878">
        <f>Y12</f>
        <v>159615.30850000001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855"/>
      <c r="R17" s="1855"/>
      <c r="S17" s="1089"/>
      <c r="T17" s="1900" t="s">
        <v>450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118337</v>
      </c>
      <c r="C18" s="1876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877"/>
      <c r="R18" s="1877"/>
      <c r="S18" s="1087"/>
      <c r="T18" s="1871" t="s">
        <v>57</v>
      </c>
      <c r="U18" s="1871"/>
      <c r="V18" s="1877">
        <v>580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286602</v>
      </c>
      <c r="C19" s="1876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874">
        <f t="shared" si="14"/>
        <v>0</v>
      </c>
      <c r="R19" s="1876"/>
      <c r="S19" s="1087">
        <f>S15+S16-S17-S18</f>
        <v>7</v>
      </c>
      <c r="T19" s="1869" t="s">
        <v>48</v>
      </c>
      <c r="U19" s="49" t="s">
        <v>58</v>
      </c>
      <c r="V19" s="1877">
        <v>95500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275854.42499999999</v>
      </c>
      <c r="C20" s="1904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2387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684512.75899999996</v>
      </c>
      <c r="C21" s="1910"/>
      <c r="O21" s="1096"/>
      <c r="P21" s="1096"/>
      <c r="Q21" s="1096"/>
      <c r="R21" s="1096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95500</v>
      </c>
      <c r="D22" s="1908">
        <v>95500</v>
      </c>
      <c r="E22" s="1908">
        <v>278875</v>
      </c>
      <c r="F22" s="1908">
        <f>C22-D22+E22</f>
        <v>278875</v>
      </c>
      <c r="G22" s="1096"/>
      <c r="Q22" s="1096"/>
      <c r="R22" s="1096"/>
      <c r="T22" s="1863" t="s">
        <v>83</v>
      </c>
      <c r="U22" s="50" t="s">
        <v>60</v>
      </c>
      <c r="V22" s="1877">
        <v>377410</v>
      </c>
      <c r="W22" s="1877"/>
      <c r="X22" s="1877"/>
      <c r="Y22" s="1883"/>
    </row>
    <row r="23" spans="1:25" ht="39.75" customHeight="1" x14ac:dyDescent="0.25">
      <c r="A23" s="1096"/>
      <c r="B23" s="1906"/>
      <c r="C23" s="1909"/>
      <c r="D23" s="1909"/>
      <c r="E23" s="1909"/>
      <c r="F23" s="1909"/>
      <c r="G23" s="1096"/>
      <c r="Q23" s="1096"/>
      <c r="R23" s="1096"/>
      <c r="T23" s="1864"/>
      <c r="U23" s="50" t="s">
        <v>61</v>
      </c>
      <c r="V23" s="1877">
        <v>95500</v>
      </c>
      <c r="W23" s="1877"/>
      <c r="X23" s="1877"/>
      <c r="Y23" s="1883"/>
    </row>
    <row r="24" spans="1:25" ht="48" customHeight="1" x14ac:dyDescent="0.25">
      <c r="A24" s="109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849" t="s">
        <v>47</v>
      </c>
      <c r="U24" s="51" t="s">
        <v>62</v>
      </c>
      <c r="V24" s="1879">
        <f>V14+V16+V17-V18-V19-V20-V22+V23-V21</f>
        <v>25838.308500000043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292806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096"/>
      <c r="J33" s="109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842" t="s">
        <v>452</v>
      </c>
      <c r="U3" s="1842"/>
      <c r="V3" s="1842"/>
      <c r="W3" s="1842"/>
      <c r="X3" s="1842"/>
      <c r="Y3" s="1842"/>
    </row>
    <row r="4" spans="1:25" s="110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02" customFormat="1" ht="25.5" customHeight="1" x14ac:dyDescent="0.25">
      <c r="A5" s="1843"/>
      <c r="B5" s="1843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914" t="s">
        <v>378</v>
      </c>
      <c r="R14" s="1915"/>
      <c r="S14" s="1106" t="s">
        <v>401</v>
      </c>
      <c r="T14" s="1849" t="s">
        <v>46</v>
      </c>
      <c r="U14" s="1100" t="s">
        <v>176</v>
      </c>
      <c r="V14" s="1874">
        <v>25838</v>
      </c>
      <c r="W14" s="1875"/>
      <c r="X14" s="1876"/>
    </row>
    <row r="15" spans="1:25" ht="22.5" customHeight="1" x14ac:dyDescent="0.25">
      <c r="A15" s="100" t="s">
        <v>38</v>
      </c>
      <c r="B15" s="1874">
        <v>286602</v>
      </c>
      <c r="C15" s="1876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874">
        <v>0</v>
      </c>
      <c r="R15" s="1876"/>
      <c r="S15" s="1100">
        <v>7</v>
      </c>
      <c r="T15" s="1849"/>
      <c r="U15" s="1100" t="s">
        <v>64</v>
      </c>
      <c r="V15" s="1877">
        <v>292806</v>
      </c>
      <c r="W15" s="1877"/>
      <c r="X15" s="1877"/>
    </row>
    <row r="16" spans="1:25" ht="24.75" customHeight="1" x14ac:dyDescent="0.25">
      <c r="A16" s="100" t="s">
        <v>39</v>
      </c>
      <c r="B16" s="1874">
        <v>187013</v>
      </c>
      <c r="C16" s="1876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855"/>
      <c r="R16" s="1855"/>
      <c r="S16" s="1103"/>
      <c r="T16" s="1871" t="s">
        <v>55</v>
      </c>
      <c r="U16" s="1871"/>
      <c r="V16" s="1878">
        <f>Y12</f>
        <v>149809.32449999999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855"/>
      <c r="R17" s="1855"/>
      <c r="S17" s="1099"/>
      <c r="T17" s="1900" t="s">
        <v>450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118931</v>
      </c>
      <c r="C18" s="1876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877"/>
      <c r="R18" s="1877"/>
      <c r="S18" s="1100">
        <v>1</v>
      </c>
      <c r="T18" s="1871" t="s">
        <v>57</v>
      </c>
      <c r="U18" s="1871"/>
      <c r="V18" s="1877">
        <v>49053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354684</v>
      </c>
      <c r="C19" s="1876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874">
        <f t="shared" si="14"/>
        <v>0</v>
      </c>
      <c r="R19" s="1876"/>
      <c r="S19" s="1100">
        <f>S15+S16-S17-S18</f>
        <v>6</v>
      </c>
      <c r="T19" s="1869" t="s">
        <v>48</v>
      </c>
      <c r="U19" s="49" t="s">
        <v>58</v>
      </c>
      <c r="V19" s="1877">
        <v>278875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341383.35000000003</v>
      </c>
      <c r="C20" s="1904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716353.73699999996</v>
      </c>
      <c r="C21" s="1910"/>
      <c r="O21" s="1107"/>
      <c r="P21" s="1107"/>
      <c r="Q21" s="1107"/>
      <c r="R21" s="1107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278875</v>
      </c>
      <c r="D22" s="1908">
        <v>278875</v>
      </c>
      <c r="E22" s="1908">
        <v>180000</v>
      </c>
      <c r="F22" s="1908">
        <f>C22-D22+E22</f>
        <v>180000</v>
      </c>
      <c r="G22" s="1107"/>
      <c r="Q22" s="1107"/>
      <c r="R22" s="1107"/>
      <c r="T22" s="1863" t="s">
        <v>83</v>
      </c>
      <c r="U22" s="50" t="s">
        <v>60</v>
      </c>
      <c r="V22" s="1877">
        <v>48000</v>
      </c>
      <c r="W22" s="1877"/>
      <c r="X22" s="1877"/>
      <c r="Y22" s="1883"/>
    </row>
    <row r="23" spans="1:25" ht="39.75" customHeight="1" x14ac:dyDescent="0.25">
      <c r="A23" s="1107"/>
      <c r="B23" s="1906"/>
      <c r="C23" s="1909"/>
      <c r="D23" s="1909"/>
      <c r="E23" s="1909"/>
      <c r="F23" s="1909"/>
      <c r="G23" s="1107"/>
      <c r="Q23" s="1107"/>
      <c r="R23" s="1107"/>
      <c r="T23" s="1864"/>
      <c r="U23" s="50" t="s">
        <v>61</v>
      </c>
      <c r="V23" s="1877">
        <v>278875</v>
      </c>
      <c r="W23" s="1877"/>
      <c r="X23" s="1877"/>
      <c r="Y23" s="1883"/>
    </row>
    <row r="24" spans="1:25" ht="48" customHeight="1" x14ac:dyDescent="0.25">
      <c r="A24" s="110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849" t="s">
        <v>47</v>
      </c>
      <c r="U24" s="51" t="s">
        <v>62</v>
      </c>
      <c r="V24" s="1879">
        <f>V14+V16+V17-V18-V19-V20-V22+V23-V21</f>
        <v>78594.324499999988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61931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107"/>
      <c r="J33" s="110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842" t="s">
        <v>453</v>
      </c>
      <c r="U3" s="1842"/>
      <c r="V3" s="1842"/>
      <c r="W3" s="1842"/>
      <c r="X3" s="1842"/>
      <c r="Y3" s="1842"/>
    </row>
    <row r="4" spans="1:25" s="110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08" customFormat="1" ht="25.5" customHeight="1" x14ac:dyDescent="0.25">
      <c r="A5" s="1843"/>
      <c r="B5" s="1843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914" t="s">
        <v>378</v>
      </c>
      <c r="R14" s="1915"/>
      <c r="S14" s="1117" t="s">
        <v>401</v>
      </c>
      <c r="T14" s="1849" t="s">
        <v>46</v>
      </c>
      <c r="U14" s="1109" t="s">
        <v>176</v>
      </c>
      <c r="V14" s="1874">
        <v>78594</v>
      </c>
      <c r="W14" s="1875"/>
      <c r="X14" s="1876"/>
    </row>
    <row r="15" spans="1:25" ht="22.5" customHeight="1" x14ac:dyDescent="0.25">
      <c r="A15" s="100" t="s">
        <v>38</v>
      </c>
      <c r="B15" s="1874">
        <v>354684</v>
      </c>
      <c r="C15" s="1876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874">
        <v>0</v>
      </c>
      <c r="R15" s="1876"/>
      <c r="S15" s="1109">
        <v>6</v>
      </c>
      <c r="T15" s="1849"/>
      <c r="U15" s="1109" t="s">
        <v>64</v>
      </c>
      <c r="V15" s="1877">
        <v>61931</v>
      </c>
      <c r="W15" s="1877"/>
      <c r="X15" s="1877"/>
    </row>
    <row r="16" spans="1:25" ht="24.75" customHeight="1" x14ac:dyDescent="0.25">
      <c r="A16" s="100" t="s">
        <v>39</v>
      </c>
      <c r="B16" s="1874">
        <v>415584</v>
      </c>
      <c r="C16" s="1876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855"/>
      <c r="R16" s="1855"/>
      <c r="S16" s="1114"/>
      <c r="T16" s="1871" t="s">
        <v>55</v>
      </c>
      <c r="U16" s="1871"/>
      <c r="V16" s="1878">
        <f>Y12</f>
        <v>214477.266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855"/>
      <c r="R17" s="1855"/>
      <c r="S17" s="1111"/>
      <c r="T17" s="1900" t="s">
        <v>450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210484</v>
      </c>
      <c r="C18" s="1876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877"/>
      <c r="R18" s="1877"/>
      <c r="S18" s="1109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559784</v>
      </c>
      <c r="C19" s="1876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874">
        <f t="shared" si="14"/>
        <v>0</v>
      </c>
      <c r="R19" s="1876"/>
      <c r="S19" s="1109">
        <f>S15+S16-S17-S18</f>
        <v>6</v>
      </c>
      <c r="T19" s="1869" t="s">
        <v>48</v>
      </c>
      <c r="U19" s="49" t="s">
        <v>58</v>
      </c>
      <c r="V19" s="1877">
        <v>180000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538792.1</v>
      </c>
      <c r="C20" s="1904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>
        <v>20000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904019.91099999996</v>
      </c>
      <c r="C21" s="1910"/>
      <c r="O21" s="1118"/>
      <c r="P21" s="1118"/>
      <c r="Q21" s="1118"/>
      <c r="R21" s="1118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180000</v>
      </c>
      <c r="D22" s="1908">
        <v>180000</v>
      </c>
      <c r="E22" s="1908">
        <v>380000</v>
      </c>
      <c r="F22" s="1908">
        <f>C22-D22+E22</f>
        <v>380000</v>
      </c>
      <c r="G22" s="1118"/>
      <c r="Q22" s="1118"/>
      <c r="R22" s="1118"/>
      <c r="T22" s="1863" t="s">
        <v>83</v>
      </c>
      <c r="U22" s="50" t="s">
        <v>60</v>
      </c>
      <c r="V22" s="1877">
        <v>213840</v>
      </c>
      <c r="W22" s="1877"/>
      <c r="X22" s="1877"/>
      <c r="Y22" s="1883"/>
    </row>
    <row r="23" spans="1:25" ht="39.75" customHeight="1" x14ac:dyDescent="0.25">
      <c r="A23" s="1118"/>
      <c r="B23" s="1906"/>
      <c r="C23" s="1909"/>
      <c r="D23" s="1909"/>
      <c r="E23" s="1909"/>
      <c r="F23" s="1909"/>
      <c r="G23" s="1118"/>
      <c r="Q23" s="1118"/>
      <c r="R23" s="1118"/>
      <c r="T23" s="1864"/>
      <c r="U23" s="50" t="s">
        <v>61</v>
      </c>
      <c r="V23" s="1877">
        <v>200000</v>
      </c>
      <c r="W23" s="1877"/>
      <c r="X23" s="1877"/>
      <c r="Y23" s="1883"/>
    </row>
    <row r="24" spans="1:25" ht="48" customHeight="1" x14ac:dyDescent="0.25">
      <c r="A24" s="111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849" t="s">
        <v>47</v>
      </c>
      <c r="U24" s="51" t="s">
        <v>62</v>
      </c>
      <c r="V24" s="1879">
        <f>V14+V16+V17-V18-V19-V20-V22+V23-V21</f>
        <v>78711.266000000003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75771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118"/>
      <c r="J33" s="111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842" t="s">
        <v>454</v>
      </c>
      <c r="U3" s="1842"/>
      <c r="V3" s="1842"/>
      <c r="W3" s="1842"/>
      <c r="X3" s="1842"/>
      <c r="Y3" s="1842"/>
    </row>
    <row r="4" spans="1:25" s="112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24" customFormat="1" ht="25.5" customHeight="1" x14ac:dyDescent="0.25">
      <c r="A5" s="1843"/>
      <c r="B5" s="1843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914" t="s">
        <v>378</v>
      </c>
      <c r="R14" s="1915"/>
      <c r="S14" s="1128" t="s">
        <v>401</v>
      </c>
      <c r="T14" s="1849" t="s">
        <v>46</v>
      </c>
      <c r="U14" s="1122" t="s">
        <v>176</v>
      </c>
      <c r="V14" s="1874">
        <v>78711</v>
      </c>
      <c r="W14" s="1875"/>
      <c r="X14" s="1876"/>
    </row>
    <row r="15" spans="1:25" ht="22.5" customHeight="1" x14ac:dyDescent="0.25">
      <c r="A15" s="100" t="s">
        <v>38</v>
      </c>
      <c r="B15" s="1874">
        <v>559784</v>
      </c>
      <c r="C15" s="1876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874">
        <v>0</v>
      </c>
      <c r="R15" s="1876"/>
      <c r="S15" s="1122">
        <v>6</v>
      </c>
      <c r="T15" s="1849"/>
      <c r="U15" s="1122" t="s">
        <v>64</v>
      </c>
      <c r="V15" s="1877">
        <v>75771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855"/>
      <c r="R16" s="1855"/>
      <c r="S16" s="1125"/>
      <c r="T16" s="1871" t="s">
        <v>55</v>
      </c>
      <c r="U16" s="1871"/>
      <c r="V16" s="1878">
        <f>Y12</f>
        <v>257322.73250000001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855"/>
      <c r="R17" s="1855"/>
      <c r="S17" s="1121"/>
      <c r="T17" s="1900" t="s">
        <v>450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92247</v>
      </c>
      <c r="C18" s="1876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877"/>
      <c r="R18" s="1877"/>
      <c r="S18" s="1122"/>
      <c r="T18" s="1871" t="s">
        <v>57</v>
      </c>
      <c r="U18" s="1871"/>
      <c r="V18" s="1877">
        <v>680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467537</v>
      </c>
      <c r="C19" s="1876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874">
        <f t="shared" si="14"/>
        <v>0</v>
      </c>
      <c r="R19" s="1876"/>
      <c r="S19" s="1122">
        <f>S15+S16-S17-S18</f>
        <v>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450004.36249999999</v>
      </c>
      <c r="C20" s="1904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649337.04850000003</v>
      </c>
      <c r="C21" s="1910"/>
      <c r="O21" s="1129"/>
      <c r="P21" s="1129"/>
      <c r="Q21" s="1129"/>
      <c r="R21" s="1129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380000</v>
      </c>
      <c r="D22" s="1908"/>
      <c r="E22" s="1908"/>
      <c r="F22" s="1908">
        <f>C22-D22+E22</f>
        <v>380000</v>
      </c>
      <c r="G22" s="1129"/>
      <c r="Q22" s="1129"/>
      <c r="R22" s="1129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129"/>
      <c r="B23" s="1906"/>
      <c r="C23" s="1909"/>
      <c r="D23" s="1909"/>
      <c r="E23" s="1909"/>
      <c r="F23" s="1909"/>
      <c r="G23" s="1129"/>
      <c r="Q23" s="1129"/>
      <c r="R23" s="1129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12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849" t="s">
        <v>47</v>
      </c>
      <c r="U24" s="51" t="s">
        <v>62</v>
      </c>
      <c r="V24" s="1879">
        <f>V14+V16+V17-V18-V19-V20-V22+V23-V21</f>
        <v>335353.73250000004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75771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129"/>
      <c r="J33" s="1129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842" t="s">
        <v>455</v>
      </c>
      <c r="U3" s="1842"/>
      <c r="V3" s="1842"/>
      <c r="W3" s="1842"/>
      <c r="X3" s="1842"/>
      <c r="Y3" s="1842"/>
    </row>
    <row r="4" spans="1:25" s="113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30" customFormat="1" ht="25.5" customHeight="1" x14ac:dyDescent="0.25">
      <c r="A5" s="1843"/>
      <c r="B5" s="1843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914" t="s">
        <v>378</v>
      </c>
      <c r="R14" s="1915"/>
      <c r="S14" s="1139" t="s">
        <v>401</v>
      </c>
      <c r="T14" s="1849" t="s">
        <v>46</v>
      </c>
      <c r="U14" s="1131" t="s">
        <v>176</v>
      </c>
      <c r="V14" s="1874">
        <v>335354</v>
      </c>
      <c r="W14" s="1875"/>
      <c r="X14" s="1876"/>
    </row>
    <row r="15" spans="1:25" ht="22.5" customHeight="1" x14ac:dyDescent="0.25">
      <c r="A15" s="100" t="s">
        <v>38</v>
      </c>
      <c r="B15" s="1874">
        <v>467537</v>
      </c>
      <c r="C15" s="1876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874">
        <v>0</v>
      </c>
      <c r="R15" s="1876"/>
      <c r="S15" s="1131">
        <v>6</v>
      </c>
      <c r="T15" s="1849"/>
      <c r="U15" s="1131" t="s">
        <v>64</v>
      </c>
      <c r="V15" s="1877">
        <v>75771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855"/>
      <c r="R16" s="1855"/>
      <c r="S16" s="1136"/>
      <c r="T16" s="1871" t="s">
        <v>55</v>
      </c>
      <c r="U16" s="1871"/>
      <c r="V16" s="1878">
        <f>Y12</f>
        <v>175565.70749999999</v>
      </c>
      <c r="W16" s="1878"/>
      <c r="X16" s="1877"/>
    </row>
    <row r="17" spans="1:25" ht="28.5" customHeight="1" x14ac:dyDescent="0.25">
      <c r="A17" s="101" t="s">
        <v>44</v>
      </c>
      <c r="B17" s="1874">
        <v>16223</v>
      </c>
      <c r="C17" s="187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855"/>
      <c r="R17" s="1855"/>
      <c r="S17" s="1133"/>
      <c r="T17" s="1900" t="s">
        <v>450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130014</v>
      </c>
      <c r="C18" s="1876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877"/>
      <c r="R18" s="1877"/>
      <c r="S18" s="1131"/>
      <c r="T18" s="1871" t="s">
        <v>57</v>
      </c>
      <c r="U18" s="1871"/>
      <c r="V18" s="1877">
        <v>4530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353746</v>
      </c>
      <c r="C19" s="1876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874">
        <f t="shared" si="14"/>
        <v>0</v>
      </c>
      <c r="R19" s="1876"/>
      <c r="S19" s="1131">
        <f>S15+S16-S17-S18</f>
        <v>6</v>
      </c>
      <c r="T19" s="1869" t="s">
        <v>48</v>
      </c>
      <c r="U19" s="49" t="s">
        <v>58</v>
      </c>
      <c r="V19" s="1877">
        <v>380000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340480.52500000002</v>
      </c>
      <c r="C20" s="1904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811548.84850000008</v>
      </c>
      <c r="C21" s="1910"/>
      <c r="O21" s="1140"/>
      <c r="P21" s="1140"/>
      <c r="Q21" s="1140"/>
      <c r="R21" s="1140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380000</v>
      </c>
      <c r="D22" s="1908">
        <v>380000</v>
      </c>
      <c r="E22" s="1908">
        <v>320425</v>
      </c>
      <c r="F22" s="1908">
        <f>C22-D22+E22</f>
        <v>320425</v>
      </c>
      <c r="G22" s="1140"/>
      <c r="Q22" s="1140"/>
      <c r="R22" s="1140"/>
      <c r="T22" s="1863" t="s">
        <v>83</v>
      </c>
      <c r="U22" s="50" t="s">
        <v>60</v>
      </c>
      <c r="V22" s="1877">
        <v>443560</v>
      </c>
      <c r="W22" s="1877"/>
      <c r="X22" s="1877"/>
      <c r="Y22" s="1883"/>
    </row>
    <row r="23" spans="1:25" ht="39.75" customHeight="1" x14ac:dyDescent="0.25">
      <c r="A23" s="1140"/>
      <c r="B23" s="1906"/>
      <c r="C23" s="1909"/>
      <c r="D23" s="1909"/>
      <c r="E23" s="1909"/>
      <c r="F23" s="1909"/>
      <c r="G23" s="1140"/>
      <c r="Q23" s="1140"/>
      <c r="R23" s="1140"/>
      <c r="T23" s="1864"/>
      <c r="U23" s="50" t="s">
        <v>61</v>
      </c>
      <c r="V23" s="1877">
        <v>380000</v>
      </c>
      <c r="W23" s="1877"/>
      <c r="X23" s="1877"/>
      <c r="Y23" s="1883"/>
    </row>
    <row r="24" spans="1:25" ht="48" customHeight="1" x14ac:dyDescent="0.25">
      <c r="A24" s="114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849" t="s">
        <v>47</v>
      </c>
      <c r="U24" s="51" t="s">
        <v>62</v>
      </c>
      <c r="V24" s="1879">
        <f>V14+V16+V17-V18-V19-V20-V22+V23-V21</f>
        <v>62829.707500000019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139331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140"/>
      <c r="J33" s="114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842" t="s">
        <v>456</v>
      </c>
      <c r="U3" s="1842"/>
      <c r="V3" s="1842"/>
      <c r="W3" s="1842"/>
      <c r="X3" s="1842"/>
      <c r="Y3" s="1842"/>
    </row>
    <row r="4" spans="1:25" s="114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46" customFormat="1" ht="25.5" customHeight="1" x14ac:dyDescent="0.25">
      <c r="A5" s="1843"/>
      <c r="B5" s="1843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914" t="s">
        <v>378</v>
      </c>
      <c r="R14" s="1915"/>
      <c r="S14" s="1150" t="s">
        <v>401</v>
      </c>
      <c r="T14" s="1849" t="s">
        <v>46</v>
      </c>
      <c r="U14" s="1144" t="s">
        <v>176</v>
      </c>
      <c r="V14" s="1874">
        <v>62830</v>
      </c>
      <c r="W14" s="1875"/>
      <c r="X14" s="1876"/>
    </row>
    <row r="15" spans="1:25" ht="22.5" customHeight="1" x14ac:dyDescent="0.25">
      <c r="A15" s="100" t="s">
        <v>38</v>
      </c>
      <c r="B15" s="1874">
        <v>353746</v>
      </c>
      <c r="C15" s="1876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874">
        <v>0</v>
      </c>
      <c r="R15" s="1876"/>
      <c r="S15" s="1144">
        <v>6</v>
      </c>
      <c r="T15" s="1849"/>
      <c r="U15" s="1144" t="s">
        <v>64</v>
      </c>
      <c r="V15" s="1877">
        <v>139331</v>
      </c>
      <c r="W15" s="1877"/>
      <c r="X15" s="1877"/>
    </row>
    <row r="16" spans="1:25" ht="24.75" customHeight="1" x14ac:dyDescent="0.25">
      <c r="A16" s="100" t="s">
        <v>39</v>
      </c>
      <c r="B16" s="1874">
        <v>93506</v>
      </c>
      <c r="C16" s="1876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855"/>
      <c r="R16" s="1855"/>
      <c r="S16" s="1147"/>
      <c r="T16" s="1871" t="s">
        <v>55</v>
      </c>
      <c r="U16" s="1871"/>
      <c r="V16" s="1878">
        <f>Y12</f>
        <v>157576.59050000002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855"/>
      <c r="R17" s="1855"/>
      <c r="S17" s="1143"/>
      <c r="T17" s="1900" t="s">
        <v>450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129506</v>
      </c>
      <c r="C18" s="1876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877"/>
      <c r="R18" s="1877"/>
      <c r="S18" s="1144"/>
      <c r="T18" s="1871" t="s">
        <v>57</v>
      </c>
      <c r="U18" s="1871"/>
      <c r="V18" s="1877">
        <v>9820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317746</v>
      </c>
      <c r="C19" s="1876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874">
        <f t="shared" si="14"/>
        <v>0</v>
      </c>
      <c r="R19" s="1876"/>
      <c r="S19" s="1144">
        <f>S15+S16-S17-S18</f>
        <v>6</v>
      </c>
      <c r="T19" s="1869" t="s">
        <v>48</v>
      </c>
      <c r="U19" s="49" t="s">
        <v>58</v>
      </c>
      <c r="V19" s="1877">
        <v>320425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305830.52500000002</v>
      </c>
      <c r="C20" s="1904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745573.01300000004</v>
      </c>
      <c r="C21" s="1910"/>
      <c r="O21" s="1151"/>
      <c r="P21" s="1151"/>
      <c r="Q21" s="1151"/>
      <c r="R21" s="1151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320425</v>
      </c>
      <c r="D22" s="1908">
        <v>320425</v>
      </c>
      <c r="E22" s="1908">
        <v>90000</v>
      </c>
      <c r="F22" s="1908">
        <f>C22-D22+E22</f>
        <v>90000</v>
      </c>
      <c r="G22" s="1151"/>
      <c r="Q22" s="1151"/>
      <c r="R22" s="1151"/>
      <c r="T22" s="1863" t="s">
        <v>83</v>
      </c>
      <c r="U22" s="50" t="s">
        <v>60</v>
      </c>
      <c r="V22" s="1877">
        <v>187695</v>
      </c>
      <c r="W22" s="1877"/>
      <c r="X22" s="1877"/>
      <c r="Y22" s="1883"/>
    </row>
    <row r="23" spans="1:25" ht="39.75" customHeight="1" x14ac:dyDescent="0.25">
      <c r="A23" s="1151"/>
      <c r="B23" s="1906"/>
      <c r="C23" s="1909"/>
      <c r="D23" s="1909"/>
      <c r="E23" s="1909"/>
      <c r="F23" s="1909"/>
      <c r="G23" s="1151"/>
      <c r="Q23" s="1151"/>
      <c r="R23" s="1151"/>
      <c r="T23" s="1864"/>
      <c r="U23" s="50" t="s">
        <v>61</v>
      </c>
      <c r="V23" s="1877">
        <v>320425</v>
      </c>
      <c r="W23" s="1877"/>
      <c r="X23" s="1877"/>
      <c r="Y23" s="1883"/>
    </row>
    <row r="24" spans="1:25" ht="48" customHeight="1" x14ac:dyDescent="0.25">
      <c r="A24" s="115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849" t="s">
        <v>47</v>
      </c>
      <c r="U24" s="51" t="s">
        <v>62</v>
      </c>
      <c r="V24" s="1879">
        <f>V14+V16+V17-V18-V19-V20-V22+V23-V21</f>
        <v>22891.590500000049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6601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151"/>
      <c r="J33" s="115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842" t="s">
        <v>457</v>
      </c>
      <c r="U3" s="1842"/>
      <c r="V3" s="1842"/>
      <c r="W3" s="1842"/>
      <c r="X3" s="1842"/>
      <c r="Y3" s="1842"/>
    </row>
    <row r="4" spans="1:25" s="115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52" customFormat="1" ht="25.5" customHeight="1" x14ac:dyDescent="0.25">
      <c r="A5" s="1843"/>
      <c r="B5" s="1843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914" t="s">
        <v>378</v>
      </c>
      <c r="R14" s="1915"/>
      <c r="S14" s="1161" t="s">
        <v>401</v>
      </c>
      <c r="T14" s="1849" t="s">
        <v>46</v>
      </c>
      <c r="U14" s="1153" t="s">
        <v>176</v>
      </c>
      <c r="V14" s="1874">
        <v>22892</v>
      </c>
      <c r="W14" s="1875"/>
      <c r="X14" s="1876"/>
    </row>
    <row r="15" spans="1:25" ht="22.5" customHeight="1" x14ac:dyDescent="0.25">
      <c r="A15" s="100" t="s">
        <v>38</v>
      </c>
      <c r="B15" s="1874">
        <v>317746</v>
      </c>
      <c r="C15" s="1876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874">
        <v>0</v>
      </c>
      <c r="R15" s="1876"/>
      <c r="S15" s="1153">
        <v>6</v>
      </c>
      <c r="T15" s="1849"/>
      <c r="U15" s="1153" t="s">
        <v>64</v>
      </c>
      <c r="V15" s="1877">
        <v>6601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855"/>
      <c r="R16" s="1855"/>
      <c r="S16" s="1158"/>
      <c r="T16" s="1871" t="s">
        <v>55</v>
      </c>
      <c r="U16" s="1871"/>
      <c r="V16" s="1878">
        <f>Y12</f>
        <v>141723.05050000001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855"/>
      <c r="R17" s="1855"/>
      <c r="S17" s="1155"/>
      <c r="T17" s="1900" t="s">
        <v>450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133085</v>
      </c>
      <c r="C18" s="1876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877"/>
      <c r="R18" s="1877"/>
      <c r="S18" s="1153"/>
      <c r="T18" s="1871" t="s">
        <v>57</v>
      </c>
      <c r="U18" s="1871"/>
      <c r="V18" s="1877">
        <v>28549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298946</v>
      </c>
      <c r="C19" s="1876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874">
        <f t="shared" si="14"/>
        <v>0</v>
      </c>
      <c r="R19" s="1876"/>
      <c r="S19" s="1153">
        <f>S15+S16-S17-S18</f>
        <v>6</v>
      </c>
      <c r="T19" s="1869" t="s">
        <v>48</v>
      </c>
      <c r="U19" s="49" t="s">
        <v>58</v>
      </c>
      <c r="V19" s="1877">
        <v>90000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287735.52500000002</v>
      </c>
      <c r="C20" s="1904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715294.625</v>
      </c>
      <c r="C21" s="1910"/>
      <c r="O21" s="1162"/>
      <c r="P21" s="1162"/>
      <c r="Q21" s="1162"/>
      <c r="R21" s="1162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90000</v>
      </c>
      <c r="D22" s="1908">
        <v>90000</v>
      </c>
      <c r="E22" s="1908">
        <v>110000</v>
      </c>
      <c r="F22" s="1908">
        <f>C22-D22+E22</f>
        <v>110000</v>
      </c>
      <c r="G22" s="1162"/>
      <c r="Q22" s="1162"/>
      <c r="R22" s="1162"/>
      <c r="T22" s="1863" t="s">
        <v>83</v>
      </c>
      <c r="U22" s="50" t="s">
        <v>60</v>
      </c>
      <c r="V22" s="1877">
        <v>112990</v>
      </c>
      <c r="W22" s="1877"/>
      <c r="X22" s="1877"/>
      <c r="Y22" s="1883"/>
    </row>
    <row r="23" spans="1:25" ht="39.75" customHeight="1" x14ac:dyDescent="0.25">
      <c r="A23" s="1162"/>
      <c r="B23" s="1906"/>
      <c r="C23" s="1909"/>
      <c r="D23" s="1909"/>
      <c r="E23" s="1909"/>
      <c r="F23" s="1909"/>
      <c r="G23" s="1162"/>
      <c r="Q23" s="1162"/>
      <c r="R23" s="1162"/>
      <c r="T23" s="1864"/>
      <c r="U23" s="50" t="s">
        <v>61</v>
      </c>
      <c r="V23" s="1877">
        <v>90000</v>
      </c>
      <c r="W23" s="1877"/>
      <c r="X23" s="1877"/>
      <c r="Y23" s="1883"/>
    </row>
    <row r="24" spans="1:25" ht="48" customHeight="1" x14ac:dyDescent="0.25">
      <c r="A24" s="116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849" t="s">
        <v>47</v>
      </c>
      <c r="U24" s="51" t="s">
        <v>62</v>
      </c>
      <c r="V24" s="1879">
        <f>V14+V16+V17-V18-V19-V20-V22+V23-V21</f>
        <v>23076.050500000012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29591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162"/>
      <c r="J33" s="116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842" t="s">
        <v>458</v>
      </c>
      <c r="U3" s="1842"/>
      <c r="V3" s="1842"/>
      <c r="W3" s="1842"/>
      <c r="X3" s="1842"/>
      <c r="Y3" s="1842"/>
    </row>
    <row r="4" spans="1:25" s="116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68" customFormat="1" ht="25.5" customHeight="1" x14ac:dyDescent="0.25">
      <c r="A5" s="1843"/>
      <c r="B5" s="1843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914" t="s">
        <v>378</v>
      </c>
      <c r="R14" s="1915"/>
      <c r="S14" s="1172" t="s">
        <v>401</v>
      </c>
      <c r="T14" s="1849" t="s">
        <v>46</v>
      </c>
      <c r="U14" s="1166" t="s">
        <v>176</v>
      </c>
      <c r="V14" s="1874">
        <v>23076</v>
      </c>
      <c r="W14" s="1875"/>
      <c r="X14" s="1876"/>
    </row>
    <row r="15" spans="1:25" ht="22.5" customHeight="1" x14ac:dyDescent="0.25">
      <c r="A15" s="100" t="s">
        <v>38</v>
      </c>
      <c r="B15" s="1874">
        <v>298946</v>
      </c>
      <c r="C15" s="1876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874">
        <v>0</v>
      </c>
      <c r="R15" s="1876"/>
      <c r="S15" s="1166">
        <v>6</v>
      </c>
      <c r="T15" s="1849"/>
      <c r="U15" s="1166" t="s">
        <v>64</v>
      </c>
      <c r="V15" s="1877">
        <v>29591</v>
      </c>
      <c r="W15" s="1877"/>
      <c r="X15" s="1877"/>
    </row>
    <row r="16" spans="1:25" ht="24.75" customHeight="1" x14ac:dyDescent="0.25">
      <c r="A16" s="100" t="s">
        <v>39</v>
      </c>
      <c r="B16" s="1874">
        <v>166233</v>
      </c>
      <c r="C16" s="1876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855"/>
      <c r="R16" s="1855"/>
      <c r="S16" s="1169"/>
      <c r="T16" s="1871" t="s">
        <v>55</v>
      </c>
      <c r="U16" s="1871"/>
      <c r="V16" s="1878">
        <f>Y12</f>
        <v>185246.74500000002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855"/>
      <c r="R17" s="1855"/>
      <c r="S17" s="1165"/>
      <c r="T17" s="1900" t="s">
        <v>450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156882</v>
      </c>
      <c r="C18" s="1876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877"/>
      <c r="R18" s="1877"/>
      <c r="S18" s="1166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308297</v>
      </c>
      <c r="C19" s="1876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874">
        <f t="shared" si="14"/>
        <v>0</v>
      </c>
      <c r="R19" s="1876"/>
      <c r="S19" s="1166">
        <f>S15+S16-S17-S18</f>
        <v>6</v>
      </c>
      <c r="T19" s="1869" t="s">
        <v>48</v>
      </c>
      <c r="U19" s="49" t="s">
        <v>58</v>
      </c>
      <c r="V19" s="1877">
        <v>110000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296735.86249999999</v>
      </c>
      <c r="C20" s="1904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691949.36250000005</v>
      </c>
      <c r="C21" s="1910"/>
      <c r="O21" s="1173"/>
      <c r="P21" s="1173"/>
      <c r="Q21" s="1173"/>
      <c r="R21" s="1173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110000</v>
      </c>
      <c r="D22" s="1908">
        <v>110000</v>
      </c>
      <c r="E22" s="1908">
        <v>160000</v>
      </c>
      <c r="F22" s="1908">
        <f>C22-D22+E22</f>
        <v>160000</v>
      </c>
      <c r="G22" s="1173"/>
      <c r="Q22" s="1173"/>
      <c r="R22" s="1173"/>
      <c r="T22" s="1863" t="s">
        <v>83</v>
      </c>
      <c r="U22" s="50" t="s">
        <v>60</v>
      </c>
      <c r="V22" s="1877">
        <v>168620</v>
      </c>
      <c r="W22" s="1877"/>
      <c r="X22" s="1877"/>
      <c r="Y22" s="1883"/>
    </row>
    <row r="23" spans="1:25" ht="39.75" customHeight="1" x14ac:dyDescent="0.25">
      <c r="A23" s="1173"/>
      <c r="B23" s="1906"/>
      <c r="C23" s="1909"/>
      <c r="D23" s="1909"/>
      <c r="E23" s="1909"/>
      <c r="F23" s="1909"/>
      <c r="G23" s="1173"/>
      <c r="Q23" s="1173"/>
      <c r="R23" s="1173"/>
      <c r="T23" s="1864"/>
      <c r="U23" s="50" t="s">
        <v>61</v>
      </c>
      <c r="V23" s="1877">
        <v>110000</v>
      </c>
      <c r="W23" s="1877"/>
      <c r="X23" s="1877"/>
      <c r="Y23" s="1883"/>
    </row>
    <row r="24" spans="1:25" ht="48" customHeight="1" x14ac:dyDescent="0.25">
      <c r="A24" s="117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849" t="s">
        <v>47</v>
      </c>
      <c r="U24" s="51" t="s">
        <v>62</v>
      </c>
      <c r="V24" s="1879">
        <f>V14+V16+V17-V18-V19-V20-V22+V23-V21</f>
        <v>39082.745000000024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88211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173"/>
      <c r="J33" s="1173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842" t="s">
        <v>459</v>
      </c>
      <c r="U3" s="1842"/>
      <c r="V3" s="1842"/>
      <c r="W3" s="1842"/>
      <c r="X3" s="1842"/>
      <c r="Y3" s="1842"/>
    </row>
    <row r="4" spans="1:25" s="117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79" customFormat="1" ht="25.5" customHeight="1" x14ac:dyDescent="0.25">
      <c r="A5" s="1843"/>
      <c r="B5" s="1843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914" t="s">
        <v>378</v>
      </c>
      <c r="R14" s="1915"/>
      <c r="S14" s="1183" t="s">
        <v>401</v>
      </c>
      <c r="T14" s="1849" t="s">
        <v>46</v>
      </c>
      <c r="U14" s="1177" t="s">
        <v>176</v>
      </c>
      <c r="V14" s="1874">
        <v>39083</v>
      </c>
      <c r="W14" s="1875"/>
      <c r="X14" s="1876"/>
    </row>
    <row r="15" spans="1:25" ht="22.5" customHeight="1" x14ac:dyDescent="0.25">
      <c r="A15" s="100" t="s">
        <v>38</v>
      </c>
      <c r="B15" s="1874">
        <v>308297</v>
      </c>
      <c r="C15" s="1876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874">
        <v>0</v>
      </c>
      <c r="R15" s="1876"/>
      <c r="S15" s="1177">
        <v>6</v>
      </c>
      <c r="T15" s="1849"/>
      <c r="U15" s="1177" t="s">
        <v>64</v>
      </c>
      <c r="V15" s="1877">
        <v>88211</v>
      </c>
      <c r="W15" s="1877"/>
      <c r="X15" s="1877"/>
    </row>
    <row r="16" spans="1:25" ht="24.75" customHeight="1" x14ac:dyDescent="0.25">
      <c r="A16" s="100" t="s">
        <v>39</v>
      </c>
      <c r="B16" s="1874">
        <v>214838</v>
      </c>
      <c r="C16" s="1876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855"/>
      <c r="R16" s="1855"/>
      <c r="S16" s="1180"/>
      <c r="T16" s="1871" t="s">
        <v>55</v>
      </c>
      <c r="U16" s="1871"/>
      <c r="V16" s="1878">
        <f>Y12</f>
        <v>256540.12000000002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855"/>
      <c r="R17" s="1855"/>
      <c r="S17" s="1176"/>
      <c r="T17" s="1900" t="s">
        <v>450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208432</v>
      </c>
      <c r="C18" s="1876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877"/>
      <c r="R18" s="1877"/>
      <c r="S18" s="1177"/>
      <c r="T18" s="1871" t="s">
        <v>57</v>
      </c>
      <c r="U18" s="1871"/>
      <c r="V18" s="1877">
        <v>2946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314703</v>
      </c>
      <c r="C19" s="1876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874">
        <f t="shared" si="14"/>
        <v>0</v>
      </c>
      <c r="R19" s="1876"/>
      <c r="S19" s="1177">
        <f>S15+S16-S17-S18</f>
        <v>6</v>
      </c>
      <c r="T19" s="1869" t="s">
        <v>48</v>
      </c>
      <c r="U19" s="49" t="s">
        <v>58</v>
      </c>
      <c r="V19" s="1877">
        <v>160000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302901.63750000001</v>
      </c>
      <c r="C20" s="1904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>
        <v>143000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938235.13749999995</v>
      </c>
      <c r="C21" s="1910"/>
      <c r="O21" s="1184"/>
      <c r="P21" s="1184"/>
      <c r="Q21" s="1184"/>
      <c r="R21" s="1184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160000</v>
      </c>
      <c r="D22" s="1908">
        <v>160000</v>
      </c>
      <c r="E22" s="1908">
        <v>357190</v>
      </c>
      <c r="F22" s="1908">
        <f>C22-D22+E22</f>
        <v>357190</v>
      </c>
      <c r="G22" s="1184"/>
      <c r="Q22" s="1184"/>
      <c r="R22" s="1184"/>
      <c r="T22" s="1863" t="s">
        <v>83</v>
      </c>
      <c r="U22" s="50" t="s">
        <v>60</v>
      </c>
      <c r="V22" s="1877">
        <v>222400</v>
      </c>
      <c r="W22" s="1877"/>
      <c r="X22" s="1877"/>
      <c r="Y22" s="1883"/>
    </row>
    <row r="23" spans="1:25" ht="39.75" customHeight="1" x14ac:dyDescent="0.25">
      <c r="A23" s="1184"/>
      <c r="B23" s="1906"/>
      <c r="C23" s="1909"/>
      <c r="D23" s="1909"/>
      <c r="E23" s="1909"/>
      <c r="F23" s="1909"/>
      <c r="G23" s="1184"/>
      <c r="Q23" s="1184"/>
      <c r="R23" s="1184"/>
      <c r="T23" s="1864"/>
      <c r="U23" s="50" t="s">
        <v>61</v>
      </c>
      <c r="V23" s="1877">
        <v>303000</v>
      </c>
      <c r="W23" s="1877"/>
      <c r="X23" s="1877"/>
      <c r="Y23" s="1883"/>
    </row>
    <row r="24" spans="1:25" ht="48" customHeight="1" x14ac:dyDescent="0.25">
      <c r="A24" s="118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849" t="s">
        <v>47</v>
      </c>
      <c r="U24" s="51" t="s">
        <v>62</v>
      </c>
      <c r="V24" s="1879">
        <f>V14+V16+V17-V18-V19-V20-V22+V23-V21</f>
        <v>70277.119999999995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7611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184"/>
      <c r="J33" s="118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842" t="s">
        <v>460</v>
      </c>
      <c r="U3" s="1842"/>
      <c r="V3" s="1842"/>
      <c r="W3" s="1842"/>
      <c r="X3" s="1842"/>
      <c r="Y3" s="1842"/>
    </row>
    <row r="4" spans="1:25" s="118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85" customFormat="1" ht="25.5" customHeight="1" x14ac:dyDescent="0.25">
      <c r="A5" s="1843"/>
      <c r="B5" s="1843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914" t="s">
        <v>378</v>
      </c>
      <c r="R14" s="1915"/>
      <c r="S14" s="1194" t="s">
        <v>401</v>
      </c>
      <c r="T14" s="1849" t="s">
        <v>46</v>
      </c>
      <c r="U14" s="1186" t="s">
        <v>176</v>
      </c>
      <c r="V14" s="1874">
        <v>70277</v>
      </c>
      <c r="W14" s="1875"/>
      <c r="X14" s="1876"/>
    </row>
    <row r="15" spans="1:25" ht="22.5" customHeight="1" x14ac:dyDescent="0.25">
      <c r="A15" s="100" t="s">
        <v>38</v>
      </c>
      <c r="B15" s="1874">
        <v>314703</v>
      </c>
      <c r="C15" s="1876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874">
        <v>0</v>
      </c>
      <c r="R15" s="1876"/>
      <c r="S15" s="1186">
        <v>6</v>
      </c>
      <c r="T15" s="1849"/>
      <c r="U15" s="1186" t="s">
        <v>64</v>
      </c>
      <c r="V15" s="1877">
        <v>7611</v>
      </c>
      <c r="W15" s="1877"/>
      <c r="X15" s="1877"/>
    </row>
    <row r="16" spans="1:25" ht="24.75" customHeight="1" x14ac:dyDescent="0.25">
      <c r="A16" s="100" t="s">
        <v>39</v>
      </c>
      <c r="B16" s="1874">
        <v>134545</v>
      </c>
      <c r="C16" s="1876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855"/>
      <c r="R16" s="1855"/>
      <c r="S16" s="1191"/>
      <c r="T16" s="1871" t="s">
        <v>55</v>
      </c>
      <c r="U16" s="1871"/>
      <c r="V16" s="1878">
        <f>Y12</f>
        <v>199181.76250000001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855"/>
      <c r="R17" s="1855"/>
      <c r="S17" s="1188"/>
      <c r="T17" s="1900" t="s">
        <v>461</v>
      </c>
      <c r="U17" s="1901"/>
      <c r="V17" s="1902">
        <v>1646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148045</v>
      </c>
      <c r="C18" s="1876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877"/>
      <c r="R18" s="1877"/>
      <c r="S18" s="1186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301203</v>
      </c>
      <c r="C19" s="1876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874">
        <f t="shared" si="14"/>
        <v>0</v>
      </c>
      <c r="R19" s="1876"/>
      <c r="S19" s="1186">
        <f>S15+S16-S17-S18</f>
        <v>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289907.88750000001</v>
      </c>
      <c r="C20" s="1904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>
        <v>86690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870580.58750000002</v>
      </c>
      <c r="C21" s="1910"/>
      <c r="O21" s="1195"/>
      <c r="P21" s="1195"/>
      <c r="Q21" s="1195"/>
      <c r="R21" s="1195"/>
      <c r="T21" s="1900" t="s">
        <v>451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357190</v>
      </c>
      <c r="D22" s="1908"/>
      <c r="E22" s="1908">
        <v>42810</v>
      </c>
      <c r="F22" s="1908">
        <f>C22-D22+E22</f>
        <v>400000</v>
      </c>
      <c r="G22" s="1195"/>
      <c r="Q22" s="1195"/>
      <c r="R22" s="1195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195"/>
      <c r="B23" s="1906"/>
      <c r="C23" s="1909"/>
      <c r="D23" s="1909"/>
      <c r="E23" s="1909"/>
      <c r="F23" s="1909"/>
      <c r="G23" s="1195"/>
      <c r="Q23" s="1195"/>
      <c r="R23" s="1195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19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849" t="s">
        <v>47</v>
      </c>
      <c r="U24" s="51" t="s">
        <v>62</v>
      </c>
      <c r="V24" s="1879">
        <f>V14+V16+V17-V18-V19-V20-V22+V23-V21</f>
        <v>183794.76250000001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7611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195"/>
      <c r="J33" s="119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842" t="s">
        <v>462</v>
      </c>
      <c r="U3" s="1842"/>
      <c r="V3" s="1842"/>
      <c r="W3" s="1842"/>
      <c r="X3" s="1842"/>
      <c r="Y3" s="1842"/>
    </row>
    <row r="4" spans="1:25" s="119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196" customFormat="1" ht="25.5" customHeight="1" x14ac:dyDescent="0.25">
      <c r="A5" s="1843"/>
      <c r="B5" s="1843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914" t="s">
        <v>378</v>
      </c>
      <c r="R14" s="1915"/>
      <c r="S14" s="1205" t="s">
        <v>401</v>
      </c>
      <c r="T14" s="1849" t="s">
        <v>46</v>
      </c>
      <c r="U14" s="1197" t="s">
        <v>176</v>
      </c>
      <c r="V14" s="1874">
        <v>183795</v>
      </c>
      <c r="W14" s="1875"/>
      <c r="X14" s="1876"/>
    </row>
    <row r="15" spans="1:25" ht="22.5" customHeight="1" x14ac:dyDescent="0.25">
      <c r="A15" s="100" t="s">
        <v>38</v>
      </c>
      <c r="B15" s="1874">
        <v>301203</v>
      </c>
      <c r="C15" s="1876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874">
        <v>0</v>
      </c>
      <c r="R15" s="1876"/>
      <c r="S15" s="1197">
        <v>6</v>
      </c>
      <c r="T15" s="1849"/>
      <c r="U15" s="1197" t="s">
        <v>64</v>
      </c>
      <c r="V15" s="1877">
        <v>7611</v>
      </c>
      <c r="W15" s="1877"/>
      <c r="X15" s="1877"/>
    </row>
    <row r="16" spans="1:25" ht="24.75" customHeight="1" x14ac:dyDescent="0.25">
      <c r="A16" s="100" t="s">
        <v>39</v>
      </c>
      <c r="B16" s="1874">
        <v>363636</v>
      </c>
      <c r="C16" s="1876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855"/>
      <c r="R16" s="1855"/>
      <c r="S16" s="1202"/>
      <c r="T16" s="1871" t="s">
        <v>55</v>
      </c>
      <c r="U16" s="1871"/>
      <c r="V16" s="1878">
        <f>Y12</f>
        <v>298061.0625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855"/>
      <c r="R17" s="1855"/>
      <c r="S17" s="1199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286325</v>
      </c>
      <c r="C18" s="1876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877"/>
      <c r="R18" s="1877"/>
      <c r="S18" s="1197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378514</v>
      </c>
      <c r="C19" s="1876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874">
        <f t="shared" si="14"/>
        <v>0</v>
      </c>
      <c r="R19" s="1876"/>
      <c r="S19" s="1197">
        <f>S15+S16-S17-S18</f>
        <v>6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364319.72500000003</v>
      </c>
      <c r="C20" s="1904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>
        <v>50000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925583.82499999995</v>
      </c>
      <c r="C21" s="1910"/>
      <c r="O21" s="1206"/>
      <c r="P21" s="1206"/>
      <c r="Q21" s="1206"/>
      <c r="R21" s="1206"/>
      <c r="T21" s="1900" t="s">
        <v>464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300000</v>
      </c>
      <c r="F22" s="1908">
        <f>C22-D22+E22</f>
        <v>300000</v>
      </c>
      <c r="G22" s="1206"/>
      <c r="Q22" s="1206"/>
      <c r="R22" s="1206"/>
      <c r="T22" s="1863" t="s">
        <v>83</v>
      </c>
      <c r="U22" s="50" t="s">
        <v>60</v>
      </c>
      <c r="V22" s="1877">
        <v>460060</v>
      </c>
      <c r="W22" s="1877"/>
      <c r="X22" s="1877"/>
      <c r="Y22" s="1883"/>
    </row>
    <row r="23" spans="1:25" ht="39.75" customHeight="1" x14ac:dyDescent="0.25">
      <c r="A23" s="1206"/>
      <c r="B23" s="1906"/>
      <c r="C23" s="1909"/>
      <c r="D23" s="1909"/>
      <c r="E23" s="1909"/>
      <c r="F23" s="1909"/>
      <c r="G23" s="1206"/>
      <c r="Q23" s="1206"/>
      <c r="R23" s="1206"/>
      <c r="T23" s="1864"/>
      <c r="U23" s="50" t="s">
        <v>61</v>
      </c>
      <c r="V23" s="1877">
        <v>450000</v>
      </c>
      <c r="W23" s="1877"/>
      <c r="X23" s="1877"/>
      <c r="Y23" s="1883"/>
    </row>
    <row r="24" spans="1:25" ht="48" customHeight="1" x14ac:dyDescent="0.25">
      <c r="A24" s="120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849" t="s">
        <v>47</v>
      </c>
      <c r="U24" s="51" t="s">
        <v>62</v>
      </c>
      <c r="V24" s="1879">
        <f>V14+V16+V17-V18-V19-V20-V22+V23-V21</f>
        <v>21276.0625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17671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206"/>
      <c r="J33" s="120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842" t="s">
        <v>465</v>
      </c>
      <c r="U3" s="1842"/>
      <c r="V3" s="1842"/>
      <c r="W3" s="1842"/>
      <c r="X3" s="1842"/>
      <c r="Y3" s="1842"/>
    </row>
    <row r="4" spans="1:25" s="120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07" customFormat="1" ht="25.5" customHeight="1" x14ac:dyDescent="0.25">
      <c r="A5" s="1843"/>
      <c r="B5" s="1843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914" t="s">
        <v>378</v>
      </c>
      <c r="R14" s="1915"/>
      <c r="S14" s="1216" t="s">
        <v>401</v>
      </c>
      <c r="T14" s="1849" t="s">
        <v>46</v>
      </c>
      <c r="U14" s="1208" t="s">
        <v>176</v>
      </c>
      <c r="V14" s="1874">
        <v>21276</v>
      </c>
      <c r="W14" s="1875"/>
      <c r="X14" s="1876"/>
    </row>
    <row r="15" spans="1:25" ht="22.5" customHeight="1" x14ac:dyDescent="0.25">
      <c r="A15" s="100" t="s">
        <v>38</v>
      </c>
      <c r="B15" s="1874">
        <v>378514</v>
      </c>
      <c r="C15" s="1876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874">
        <v>0</v>
      </c>
      <c r="R15" s="1876"/>
      <c r="S15" s="1208">
        <v>6</v>
      </c>
      <c r="T15" s="1849"/>
      <c r="U15" s="1208" t="s">
        <v>64</v>
      </c>
      <c r="V15" s="1877">
        <v>17671</v>
      </c>
      <c r="W15" s="1877"/>
      <c r="X15" s="1877"/>
    </row>
    <row r="16" spans="1:25" ht="24.75" customHeight="1" x14ac:dyDescent="0.25">
      <c r="A16" s="100" t="s">
        <v>39</v>
      </c>
      <c r="B16" s="1874">
        <v>415584</v>
      </c>
      <c r="C16" s="1876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855"/>
      <c r="R16" s="1855"/>
      <c r="S16" s="1213"/>
      <c r="T16" s="1871" t="s">
        <v>55</v>
      </c>
      <c r="U16" s="1871"/>
      <c r="V16" s="1878">
        <f>Y12</f>
        <v>356593.96249999997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855"/>
      <c r="R17" s="1855"/>
      <c r="S17" s="1210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316365</v>
      </c>
      <c r="C18" s="1876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877"/>
      <c r="R18" s="1877"/>
      <c r="S18" s="1208"/>
      <c r="T18" s="1871" t="s">
        <v>57</v>
      </c>
      <c r="U18" s="1871"/>
      <c r="V18" s="1877">
        <v>7310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477733</v>
      </c>
      <c r="C19" s="1876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874">
        <f t="shared" si="14"/>
        <v>0</v>
      </c>
      <c r="R19" s="1876"/>
      <c r="S19" s="1208">
        <f>S15+S16-S17-S18</f>
        <v>6</v>
      </c>
      <c r="T19" s="1869" t="s">
        <v>48</v>
      </c>
      <c r="U19" s="49" t="s">
        <v>58</v>
      </c>
      <c r="V19" s="1877">
        <v>300000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459818.01250000001</v>
      </c>
      <c r="C20" s="1904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972398.21250000002</v>
      </c>
      <c r="C21" s="1910"/>
      <c r="O21" s="1217"/>
      <c r="P21" s="1217"/>
      <c r="Q21" s="1217"/>
      <c r="R21" s="1217"/>
      <c r="T21" s="1900" t="s">
        <v>464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300000</v>
      </c>
      <c r="D22" s="1908">
        <v>300000</v>
      </c>
      <c r="E22" s="1908">
        <v>400000</v>
      </c>
      <c r="F22" s="1908">
        <f>C22-D22+E22</f>
        <v>400000</v>
      </c>
      <c r="G22" s="1217"/>
      <c r="Q22" s="1217"/>
      <c r="R22" s="1217"/>
      <c r="T22" s="1863" t="s">
        <v>83</v>
      </c>
      <c r="U22" s="50" t="s">
        <v>60</v>
      </c>
      <c r="V22" s="1877">
        <v>329120</v>
      </c>
      <c r="W22" s="1877"/>
      <c r="X22" s="1877"/>
      <c r="Y22" s="1883"/>
    </row>
    <row r="23" spans="1:25" ht="39.75" customHeight="1" x14ac:dyDescent="0.25">
      <c r="A23" s="1217"/>
      <c r="B23" s="1906"/>
      <c r="C23" s="1909"/>
      <c r="D23" s="1909"/>
      <c r="E23" s="1909"/>
      <c r="F23" s="1909"/>
      <c r="G23" s="1217"/>
      <c r="Q23" s="1217"/>
      <c r="R23" s="1217"/>
      <c r="T23" s="1864"/>
      <c r="U23" s="50" t="s">
        <v>61</v>
      </c>
      <c r="V23" s="1877">
        <v>300000</v>
      </c>
      <c r="W23" s="1877"/>
      <c r="X23" s="1877"/>
      <c r="Y23" s="1883"/>
    </row>
    <row r="24" spans="1:25" ht="48" customHeight="1" x14ac:dyDescent="0.25">
      <c r="A24" s="121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849" t="s">
        <v>47</v>
      </c>
      <c r="U24" s="51" t="s">
        <v>62</v>
      </c>
      <c r="V24" s="1879">
        <f>V14+V16+V17-V18-V19-V20-V22+V23-V21</f>
        <v>41439.962499999965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46791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217"/>
      <c r="J33" s="1217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842" t="s">
        <v>466</v>
      </c>
      <c r="U3" s="1842"/>
      <c r="V3" s="1842"/>
      <c r="W3" s="1842"/>
      <c r="X3" s="1842"/>
      <c r="Y3" s="1842"/>
    </row>
    <row r="4" spans="1:25" s="122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23" customFormat="1" ht="25.5" customHeight="1" x14ac:dyDescent="0.25">
      <c r="A5" s="1843"/>
      <c r="B5" s="1843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914" t="s">
        <v>378</v>
      </c>
      <c r="R14" s="1915"/>
      <c r="S14" s="1227" t="s">
        <v>401</v>
      </c>
      <c r="T14" s="1849" t="s">
        <v>46</v>
      </c>
      <c r="U14" s="1221" t="s">
        <v>176</v>
      </c>
      <c r="V14" s="1874">
        <v>41440</v>
      </c>
      <c r="W14" s="1875"/>
      <c r="X14" s="1876"/>
    </row>
    <row r="15" spans="1:25" ht="22.5" customHeight="1" x14ac:dyDescent="0.25">
      <c r="A15" s="100" t="s">
        <v>38</v>
      </c>
      <c r="B15" s="1874">
        <v>477733</v>
      </c>
      <c r="C15" s="1876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874">
        <v>0</v>
      </c>
      <c r="R15" s="1876"/>
      <c r="S15" s="1221">
        <v>6</v>
      </c>
      <c r="T15" s="1849"/>
      <c r="U15" s="1221" t="s">
        <v>64</v>
      </c>
      <c r="V15" s="1877">
        <v>46791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855"/>
      <c r="R16" s="1855"/>
      <c r="S16" s="1224"/>
      <c r="T16" s="1871" t="s">
        <v>55</v>
      </c>
      <c r="U16" s="1871"/>
      <c r="V16" s="1878">
        <f>Y12</f>
        <v>115593.29750000002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855"/>
      <c r="R17" s="1855"/>
      <c r="S17" s="1220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87371</v>
      </c>
      <c r="C18" s="1876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877"/>
      <c r="R18" s="1877"/>
      <c r="S18" s="1221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390362</v>
      </c>
      <c r="C19" s="1876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874">
        <f t="shared" si="14"/>
        <v>0</v>
      </c>
      <c r="R19" s="1876"/>
      <c r="S19" s="1221">
        <f>S15+S16-S17-S18</f>
        <v>6</v>
      </c>
      <c r="T19" s="1869" t="s">
        <v>48</v>
      </c>
      <c r="U19" s="49" t="s">
        <v>58</v>
      </c>
      <c r="V19" s="1877">
        <v>157000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375723.42499999999</v>
      </c>
      <c r="C20" s="1904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857992.125</v>
      </c>
      <c r="C21" s="1910"/>
      <c r="O21" s="1228"/>
      <c r="P21" s="1228"/>
      <c r="Q21" s="1228"/>
      <c r="R21" s="1228"/>
      <c r="T21" s="1900" t="s">
        <v>464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157000</v>
      </c>
      <c r="E22" s="1908"/>
      <c r="F22" s="1908">
        <f>C22-D22+E22</f>
        <v>243000</v>
      </c>
      <c r="G22" s="1228"/>
      <c r="Q22" s="1228"/>
      <c r="R22" s="1228"/>
      <c r="T22" s="1863" t="s">
        <v>83</v>
      </c>
      <c r="U22" s="50" t="s">
        <v>60</v>
      </c>
      <c r="V22" s="1877">
        <v>122848</v>
      </c>
      <c r="W22" s="1877"/>
      <c r="X22" s="1877"/>
      <c r="Y22" s="1883"/>
    </row>
    <row r="23" spans="1:25" ht="39.75" customHeight="1" x14ac:dyDescent="0.25">
      <c r="A23" s="1228"/>
      <c r="B23" s="1906"/>
      <c r="C23" s="1909"/>
      <c r="D23" s="1909"/>
      <c r="E23" s="1909"/>
      <c r="F23" s="1909"/>
      <c r="G23" s="1228"/>
      <c r="Q23" s="1228"/>
      <c r="R23" s="1228"/>
      <c r="T23" s="1864"/>
      <c r="U23" s="50" t="s">
        <v>61</v>
      </c>
      <c r="V23" s="1877">
        <v>157000</v>
      </c>
      <c r="W23" s="1877"/>
      <c r="X23" s="1877"/>
      <c r="Y23" s="1883"/>
    </row>
    <row r="24" spans="1:25" ht="48" customHeight="1" x14ac:dyDescent="0.25">
      <c r="A24" s="122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849" t="s">
        <v>47</v>
      </c>
      <c r="U24" s="51" t="s">
        <v>62</v>
      </c>
      <c r="V24" s="1879">
        <f>V14+V16+V17-V18-V19-V20-V22+V23-V21</f>
        <v>33665.297500000015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12639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228"/>
      <c r="J33" s="122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842" t="s">
        <v>467</v>
      </c>
      <c r="U3" s="1842"/>
      <c r="V3" s="1842"/>
      <c r="W3" s="1842"/>
      <c r="X3" s="1842"/>
      <c r="Y3" s="1842"/>
    </row>
    <row r="4" spans="1:25" s="122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29" customFormat="1" ht="25.5" customHeight="1" x14ac:dyDescent="0.25">
      <c r="A5" s="1843"/>
      <c r="B5" s="1843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914" t="s">
        <v>378</v>
      </c>
      <c r="R14" s="1915"/>
      <c r="S14" s="1238" t="s">
        <v>401</v>
      </c>
      <c r="T14" s="1849" t="s">
        <v>46</v>
      </c>
      <c r="U14" s="1230" t="s">
        <v>176</v>
      </c>
      <c r="V14" s="1874">
        <v>33665</v>
      </c>
      <c r="W14" s="1875"/>
      <c r="X14" s="1876"/>
    </row>
    <row r="15" spans="1:25" ht="22.5" customHeight="1" x14ac:dyDescent="0.25">
      <c r="A15" s="100" t="s">
        <v>38</v>
      </c>
      <c r="B15" s="1874">
        <v>390362</v>
      </c>
      <c r="C15" s="1876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874">
        <v>0</v>
      </c>
      <c r="R15" s="1876"/>
      <c r="S15" s="1230">
        <v>6</v>
      </c>
      <c r="T15" s="1849"/>
      <c r="U15" s="1230" t="s">
        <v>64</v>
      </c>
      <c r="V15" s="1877">
        <v>12639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855"/>
      <c r="R16" s="1855"/>
      <c r="S16" s="1235"/>
      <c r="T16" s="1871" t="s">
        <v>55</v>
      </c>
      <c r="U16" s="1871"/>
      <c r="V16" s="1878">
        <f>Y12</f>
        <v>123358.70250000001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855"/>
      <c r="R17" s="1855"/>
      <c r="S17" s="1232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51429</v>
      </c>
      <c r="C18" s="1876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877"/>
      <c r="R18" s="1877"/>
      <c r="S18" s="1230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338933</v>
      </c>
      <c r="C19" s="1876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874">
        <f t="shared" si="14"/>
        <v>0</v>
      </c>
      <c r="R19" s="1876"/>
      <c r="S19" s="1230">
        <f>S15+S16-S17-S18</f>
        <v>6</v>
      </c>
      <c r="T19" s="1869" t="s">
        <v>48</v>
      </c>
      <c r="U19" s="49" t="s">
        <v>58</v>
      </c>
      <c r="V19" s="1877">
        <v>125000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326223.01250000001</v>
      </c>
      <c r="C20" s="1904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735906.12049999996</v>
      </c>
      <c r="C21" s="1910"/>
      <c r="O21" s="1239"/>
      <c r="P21" s="1239"/>
      <c r="Q21" s="1239"/>
      <c r="R21" s="1239"/>
      <c r="T21" s="1900" t="s">
        <v>464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243000</v>
      </c>
      <c r="D22" s="1908">
        <v>125000</v>
      </c>
      <c r="E22" s="1908"/>
      <c r="F22" s="1908">
        <f>C22-D22+E22</f>
        <v>118000</v>
      </c>
      <c r="G22" s="1239"/>
      <c r="Q22" s="1239"/>
      <c r="R22" s="1239"/>
      <c r="T22" s="1863" t="s">
        <v>83</v>
      </c>
      <c r="U22" s="50" t="s">
        <v>60</v>
      </c>
      <c r="V22" s="1877">
        <v>122610</v>
      </c>
      <c r="W22" s="1877"/>
      <c r="X22" s="1877"/>
      <c r="Y22" s="1883"/>
    </row>
    <row r="23" spans="1:25" ht="39.75" customHeight="1" x14ac:dyDescent="0.25">
      <c r="A23" s="1239"/>
      <c r="B23" s="1906"/>
      <c r="C23" s="1909"/>
      <c r="D23" s="1909"/>
      <c r="E23" s="1909"/>
      <c r="F23" s="1909"/>
      <c r="G23" s="1239"/>
      <c r="Q23" s="1239"/>
      <c r="R23" s="1239"/>
      <c r="T23" s="1864"/>
      <c r="U23" s="50" t="s">
        <v>61</v>
      </c>
      <c r="V23" s="1877">
        <v>125000</v>
      </c>
      <c r="W23" s="1877"/>
      <c r="X23" s="1877"/>
      <c r="Y23" s="1883"/>
    </row>
    <row r="24" spans="1:25" ht="48" customHeight="1" x14ac:dyDescent="0.25">
      <c r="A24" s="123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849" t="s">
        <v>47</v>
      </c>
      <c r="U24" s="51" t="s">
        <v>62</v>
      </c>
      <c r="V24" s="1879">
        <f>V14+V16+V17-V18-V19-V20-V22+V23-V21</f>
        <v>33793.702500000014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10249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239"/>
      <c r="J33" s="1239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842" t="s">
        <v>468</v>
      </c>
      <c r="U3" s="1842"/>
      <c r="V3" s="1842"/>
      <c r="W3" s="1842"/>
      <c r="X3" s="1842"/>
      <c r="Y3" s="1842"/>
    </row>
    <row r="4" spans="1:25" s="124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45" customFormat="1" ht="25.5" customHeight="1" x14ac:dyDescent="0.25">
      <c r="A5" s="1843"/>
      <c r="B5" s="1843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914" t="s">
        <v>378</v>
      </c>
      <c r="R14" s="1915"/>
      <c r="S14" s="1249" t="s">
        <v>401</v>
      </c>
      <c r="T14" s="1849" t="s">
        <v>46</v>
      </c>
      <c r="U14" s="1243" t="s">
        <v>176</v>
      </c>
      <c r="V14" s="1874">
        <v>33794</v>
      </c>
      <c r="W14" s="1875"/>
      <c r="X14" s="1876"/>
    </row>
    <row r="15" spans="1:25" ht="22.5" customHeight="1" x14ac:dyDescent="0.25">
      <c r="A15" s="100" t="s">
        <v>38</v>
      </c>
      <c r="B15" s="1874">
        <v>338933</v>
      </c>
      <c r="C15" s="1876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874">
        <v>0</v>
      </c>
      <c r="R15" s="1876"/>
      <c r="S15" s="1243">
        <v>6</v>
      </c>
      <c r="T15" s="1849"/>
      <c r="U15" s="1243" t="s">
        <v>64</v>
      </c>
      <c r="V15" s="1877">
        <v>10249</v>
      </c>
      <c r="W15" s="1877"/>
      <c r="X15" s="1877"/>
    </row>
    <row r="16" spans="1:25" ht="24.75" customHeight="1" x14ac:dyDescent="0.25">
      <c r="A16" s="100" t="s">
        <v>39</v>
      </c>
      <c r="B16" s="1874">
        <v>233766</v>
      </c>
      <c r="C16" s="1876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855"/>
      <c r="R16" s="1855"/>
      <c r="S16" s="1246"/>
      <c r="T16" s="1871" t="s">
        <v>55</v>
      </c>
      <c r="U16" s="1871"/>
      <c r="V16" s="1878">
        <f>Y12</f>
        <v>107114.13250000001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855"/>
      <c r="R17" s="1855"/>
      <c r="S17" s="1242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84977</v>
      </c>
      <c r="C18" s="1876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877"/>
      <c r="R18" s="1877"/>
      <c r="S18" s="1243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487722</v>
      </c>
      <c r="C19" s="1876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874">
        <f t="shared" si="14"/>
        <v>0</v>
      </c>
      <c r="R19" s="1876"/>
      <c r="S19" s="1243">
        <f>S15+S16-S17-S18</f>
        <v>6</v>
      </c>
      <c r="T19" s="1869" t="s">
        <v>48</v>
      </c>
      <c r="U19" s="49" t="s">
        <v>58</v>
      </c>
      <c r="V19" s="1877">
        <v>118000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469432.42499999999</v>
      </c>
      <c r="C20" s="1904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878013.11700000009</v>
      </c>
      <c r="C21" s="1910"/>
      <c r="O21" s="1250"/>
      <c r="P21" s="1250"/>
      <c r="Q21" s="1250"/>
      <c r="R21" s="1250"/>
      <c r="T21" s="1900" t="s">
        <v>464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118000</v>
      </c>
      <c r="D22" s="1908">
        <v>118000</v>
      </c>
      <c r="E22" s="1908">
        <v>248110</v>
      </c>
      <c r="F22" s="1908">
        <f>C22-D22+E22</f>
        <v>248110</v>
      </c>
      <c r="G22" s="1250"/>
      <c r="Q22" s="1250"/>
      <c r="R22" s="1250"/>
      <c r="T22" s="1863" t="s">
        <v>83</v>
      </c>
      <c r="U22" s="50" t="s">
        <v>60</v>
      </c>
      <c r="V22" s="1877">
        <v>119550</v>
      </c>
      <c r="W22" s="1877"/>
      <c r="X22" s="1877"/>
      <c r="Y22" s="1883"/>
    </row>
    <row r="23" spans="1:25" ht="39.75" customHeight="1" x14ac:dyDescent="0.25">
      <c r="A23" s="1250"/>
      <c r="B23" s="1906"/>
      <c r="C23" s="1909"/>
      <c r="D23" s="1909"/>
      <c r="E23" s="1909"/>
      <c r="F23" s="1909"/>
      <c r="G23" s="1250"/>
      <c r="Q23" s="1250"/>
      <c r="R23" s="1250"/>
      <c r="T23" s="1864"/>
      <c r="U23" s="50" t="s">
        <v>61</v>
      </c>
      <c r="V23" s="1877">
        <v>118000</v>
      </c>
      <c r="W23" s="1877"/>
      <c r="X23" s="1877"/>
      <c r="Y23" s="1883"/>
    </row>
    <row r="24" spans="1:25" ht="48" customHeight="1" x14ac:dyDescent="0.25">
      <c r="A24" s="125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849" t="s">
        <v>47</v>
      </c>
      <c r="U24" s="51" t="s">
        <v>62</v>
      </c>
      <c r="V24" s="1879">
        <f>V14+V16+V17-V18-V19-V20-V22+V23-V21</f>
        <v>20838.132500000007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11799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250"/>
      <c r="J33" s="125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842" t="s">
        <v>469</v>
      </c>
      <c r="U3" s="1842"/>
      <c r="V3" s="1842"/>
      <c r="W3" s="1842"/>
      <c r="X3" s="1842"/>
      <c r="Y3" s="1842"/>
    </row>
    <row r="4" spans="1:25" s="125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51" customFormat="1" ht="25.5" customHeight="1" x14ac:dyDescent="0.25">
      <c r="A5" s="1843"/>
      <c r="B5" s="1843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914" t="s">
        <v>378</v>
      </c>
      <c r="R14" s="1915"/>
      <c r="S14" s="1260" t="s">
        <v>401</v>
      </c>
      <c r="T14" s="1849" t="s">
        <v>46</v>
      </c>
      <c r="U14" s="1252" t="s">
        <v>176</v>
      </c>
      <c r="V14" s="1874">
        <v>20838</v>
      </c>
      <c r="W14" s="1875"/>
      <c r="X14" s="1876"/>
    </row>
    <row r="15" spans="1:25" ht="22.5" customHeight="1" x14ac:dyDescent="0.25">
      <c r="A15" s="100" t="s">
        <v>38</v>
      </c>
      <c r="B15" s="1874">
        <v>487722</v>
      </c>
      <c r="C15" s="1876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874">
        <v>0</v>
      </c>
      <c r="R15" s="1876"/>
      <c r="S15" s="1252">
        <v>6</v>
      </c>
      <c r="T15" s="1849"/>
      <c r="U15" s="1252" t="s">
        <v>64</v>
      </c>
      <c r="V15" s="1877">
        <v>11799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855"/>
      <c r="R16" s="1855"/>
      <c r="S16" s="1257"/>
      <c r="T16" s="1871" t="s">
        <v>55</v>
      </c>
      <c r="U16" s="1871"/>
      <c r="V16" s="1878">
        <f>Y12</f>
        <v>159121.13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855"/>
      <c r="R17" s="1855"/>
      <c r="S17" s="1254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90868</v>
      </c>
      <c r="C18" s="1876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877"/>
      <c r="R18" s="1877"/>
      <c r="S18" s="1252"/>
      <c r="T18" s="1871" t="s">
        <v>57</v>
      </c>
      <c r="U18" s="1871"/>
      <c r="V18" s="1877">
        <v>2782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396854</v>
      </c>
      <c r="C19" s="1876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874">
        <f t="shared" si="14"/>
        <v>0</v>
      </c>
      <c r="R19" s="1876"/>
      <c r="S19" s="1252">
        <f>S15+S16-S17-S18</f>
        <v>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381971.97500000003</v>
      </c>
      <c r="C20" s="1904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720522.12300000002</v>
      </c>
      <c r="C21" s="1910"/>
      <c r="O21" s="1261"/>
      <c r="P21" s="1261"/>
      <c r="Q21" s="1261"/>
      <c r="R21" s="1261"/>
      <c r="T21" s="1900" t="s">
        <v>464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248110</v>
      </c>
      <c r="D22" s="1908"/>
      <c r="E22" s="1908"/>
      <c r="F22" s="1908">
        <f>C22-D22+E22</f>
        <v>248110</v>
      </c>
      <c r="G22" s="1261"/>
      <c r="Q22" s="1261"/>
      <c r="R22" s="1261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261"/>
      <c r="B23" s="1906"/>
      <c r="C23" s="1909"/>
      <c r="D23" s="1909"/>
      <c r="E23" s="1909"/>
      <c r="F23" s="1909"/>
      <c r="G23" s="1261"/>
      <c r="Q23" s="1261"/>
      <c r="R23" s="1261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26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849" t="s">
        <v>47</v>
      </c>
      <c r="U24" s="51" t="s">
        <v>62</v>
      </c>
      <c r="V24" s="1879">
        <f>V14+V16+V17-V18-V19-V20-V22+V23-V21</f>
        <v>177177.13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11799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261"/>
      <c r="J33" s="126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842" t="s">
        <v>470</v>
      </c>
      <c r="U3" s="1842"/>
      <c r="V3" s="1842"/>
      <c r="W3" s="1842"/>
      <c r="X3" s="1842"/>
      <c r="Y3" s="1842"/>
    </row>
    <row r="4" spans="1:25" s="126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67" customFormat="1" ht="25.5" customHeight="1" x14ac:dyDescent="0.25">
      <c r="A5" s="1843"/>
      <c r="B5" s="1843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914" t="s">
        <v>378</v>
      </c>
      <c r="R14" s="1915"/>
      <c r="S14" s="1271" t="s">
        <v>401</v>
      </c>
      <c r="T14" s="1849" t="s">
        <v>46</v>
      </c>
      <c r="U14" s="1265" t="s">
        <v>176</v>
      </c>
      <c r="V14" s="1874">
        <v>177177</v>
      </c>
      <c r="W14" s="1875"/>
      <c r="X14" s="1876"/>
    </row>
    <row r="15" spans="1:25" ht="22.5" customHeight="1" x14ac:dyDescent="0.25">
      <c r="A15" s="100" t="s">
        <v>38</v>
      </c>
      <c r="B15" s="1874">
        <v>396854</v>
      </c>
      <c r="C15" s="1876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874">
        <v>0</v>
      </c>
      <c r="R15" s="1876"/>
      <c r="S15" s="1265">
        <v>6</v>
      </c>
      <c r="T15" s="1849"/>
      <c r="U15" s="1265" t="s">
        <v>64</v>
      </c>
      <c r="V15" s="1877">
        <v>11799</v>
      </c>
      <c r="W15" s="1877"/>
      <c r="X15" s="1877"/>
    </row>
    <row r="16" spans="1:25" ht="24.75" customHeight="1" x14ac:dyDescent="0.25">
      <c r="A16" s="100" t="s">
        <v>39</v>
      </c>
      <c r="B16" s="1874">
        <v>72727</v>
      </c>
      <c r="C16" s="1876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855"/>
      <c r="R16" s="1855"/>
      <c r="S16" s="1268"/>
      <c r="T16" s="1871" t="s">
        <v>55</v>
      </c>
      <c r="U16" s="1871"/>
      <c r="V16" s="1878">
        <f>Y12</f>
        <v>192891.58750000002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855"/>
      <c r="R17" s="1855"/>
      <c r="S17" s="1264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132415</v>
      </c>
      <c r="C18" s="1876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877"/>
      <c r="R18" s="1877"/>
      <c r="S18" s="1265"/>
      <c r="T18" s="1871" t="s">
        <v>57</v>
      </c>
      <c r="U18" s="1871"/>
      <c r="V18" s="1877">
        <v>972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337166</v>
      </c>
      <c r="C19" s="1876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874">
        <f t="shared" si="14"/>
        <v>0</v>
      </c>
      <c r="R19" s="1876"/>
      <c r="S19" s="1265">
        <f>S15+S16-S17-S18</f>
        <v>6</v>
      </c>
      <c r="T19" s="1869" t="s">
        <v>48</v>
      </c>
      <c r="U19" s="49" t="s">
        <v>58</v>
      </c>
      <c r="V19" s="1877">
        <v>248110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324522.27500000002</v>
      </c>
      <c r="C20" s="1904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736932.26300000004</v>
      </c>
      <c r="C21" s="1910"/>
      <c r="O21" s="1272"/>
      <c r="P21" s="1272"/>
      <c r="Q21" s="1272"/>
      <c r="R21" s="1272"/>
      <c r="T21" s="1900" t="s">
        <v>464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248110</v>
      </c>
      <c r="D22" s="1908">
        <v>248110</v>
      </c>
      <c r="E22" s="1908">
        <v>207325</v>
      </c>
      <c r="F22" s="1908">
        <f>C22-D22+E22</f>
        <v>207325</v>
      </c>
      <c r="G22" s="1272"/>
      <c r="Q22" s="1272"/>
      <c r="R22" s="1272"/>
      <c r="T22" s="1863" t="s">
        <v>83</v>
      </c>
      <c r="U22" s="50" t="s">
        <v>60</v>
      </c>
      <c r="V22" s="1877">
        <v>332780</v>
      </c>
      <c r="W22" s="1877"/>
      <c r="X22" s="1877"/>
      <c r="Y22" s="1883"/>
    </row>
    <row r="23" spans="1:25" ht="39.75" customHeight="1" x14ac:dyDescent="0.25">
      <c r="A23" s="1272"/>
      <c r="B23" s="1906"/>
      <c r="C23" s="1909"/>
      <c r="D23" s="1909"/>
      <c r="E23" s="1909"/>
      <c r="F23" s="1909"/>
      <c r="G23" s="1272"/>
      <c r="Q23" s="1272"/>
      <c r="R23" s="1272"/>
      <c r="T23" s="1864"/>
      <c r="U23" s="50" t="s">
        <v>61</v>
      </c>
      <c r="V23" s="1877">
        <v>248110</v>
      </c>
      <c r="W23" s="1877"/>
      <c r="X23" s="1877"/>
      <c r="Y23" s="1883"/>
    </row>
    <row r="24" spans="1:25" ht="48" customHeight="1" x14ac:dyDescent="0.25">
      <c r="A24" s="127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849" t="s">
        <v>47</v>
      </c>
      <c r="U24" s="51" t="s">
        <v>62</v>
      </c>
      <c r="V24" s="1879">
        <f>V14+V16+V17-V18-V19-V20-V22+V23-V21</f>
        <v>36316.587500000023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96469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272"/>
      <c r="J33" s="127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842" t="s">
        <v>471</v>
      </c>
      <c r="U3" s="1842"/>
      <c r="V3" s="1842"/>
      <c r="W3" s="1842"/>
      <c r="X3" s="1842"/>
      <c r="Y3" s="1842"/>
    </row>
    <row r="4" spans="1:25" s="127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73" customFormat="1" ht="25.5" customHeight="1" x14ac:dyDescent="0.25">
      <c r="A5" s="1843"/>
      <c r="B5" s="1843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914" t="s">
        <v>378</v>
      </c>
      <c r="R14" s="1915"/>
      <c r="S14" s="1282" t="s">
        <v>401</v>
      </c>
      <c r="T14" s="1849" t="s">
        <v>46</v>
      </c>
      <c r="U14" s="1274" t="s">
        <v>176</v>
      </c>
      <c r="V14" s="1874">
        <v>36317</v>
      </c>
      <c r="W14" s="1875"/>
      <c r="X14" s="1876"/>
    </row>
    <row r="15" spans="1:25" ht="22.5" customHeight="1" x14ac:dyDescent="0.25">
      <c r="A15" s="100" t="s">
        <v>38</v>
      </c>
      <c r="B15" s="1874">
        <v>337166</v>
      </c>
      <c r="C15" s="1876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874">
        <v>0</v>
      </c>
      <c r="R15" s="1876"/>
      <c r="S15" s="1274">
        <v>6</v>
      </c>
      <c r="T15" s="1849"/>
      <c r="U15" s="1274" t="s">
        <v>64</v>
      </c>
      <c r="V15" s="1877">
        <v>96469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855"/>
      <c r="R16" s="1855"/>
      <c r="S16" s="1279"/>
      <c r="T16" s="1871" t="s">
        <v>55</v>
      </c>
      <c r="U16" s="1871"/>
      <c r="V16" s="1878">
        <f>Y12</f>
        <v>157518.9075</v>
      </c>
      <c r="W16" s="1878"/>
      <c r="X16" s="1877"/>
    </row>
    <row r="17" spans="1:25" ht="28.5" customHeight="1" x14ac:dyDescent="0.25">
      <c r="A17" s="101" t="s">
        <v>44</v>
      </c>
      <c r="B17" s="1874">
        <v>7030</v>
      </c>
      <c r="C17" s="1876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855"/>
      <c r="R17" s="1855"/>
      <c r="S17" s="1276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109167</v>
      </c>
      <c r="C18" s="1876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877"/>
      <c r="R18" s="1877"/>
      <c r="S18" s="1274"/>
      <c r="T18" s="1871" t="s">
        <v>57</v>
      </c>
      <c r="U18" s="1871"/>
      <c r="V18" s="1877">
        <v>41620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349314</v>
      </c>
      <c r="C19" s="1876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874">
        <f t="shared" si="14"/>
        <v>0</v>
      </c>
      <c r="R19" s="1876"/>
      <c r="S19" s="1274">
        <f>S15+S16-S17-S18</f>
        <v>6</v>
      </c>
      <c r="T19" s="1869" t="s">
        <v>48</v>
      </c>
      <c r="U19" s="49" t="s">
        <v>58</v>
      </c>
      <c r="V19" s="1877">
        <v>207325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336214.72500000003</v>
      </c>
      <c r="C20" s="1904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697796.57700000005</v>
      </c>
      <c r="C21" s="1910"/>
      <c r="O21" s="1283"/>
      <c r="P21" s="1283"/>
      <c r="Q21" s="1283"/>
      <c r="R21" s="1283"/>
      <c r="T21" s="1900" t="s">
        <v>464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207325</v>
      </c>
      <c r="D22" s="1908">
        <v>207325</v>
      </c>
      <c r="E22" s="1908">
        <v>110000</v>
      </c>
      <c r="F22" s="1908">
        <f>C22-D22+E22</f>
        <v>110000</v>
      </c>
      <c r="G22" s="1283"/>
      <c r="Q22" s="1283"/>
      <c r="R22" s="1283"/>
      <c r="T22" s="1863" t="s">
        <v>83</v>
      </c>
      <c r="U22" s="50" t="s">
        <v>60</v>
      </c>
      <c r="V22" s="1877">
        <v>127760</v>
      </c>
      <c r="W22" s="1877"/>
      <c r="X22" s="1877"/>
      <c r="Y22" s="1883"/>
    </row>
    <row r="23" spans="1:25" ht="39.75" customHeight="1" x14ac:dyDescent="0.25">
      <c r="A23" s="1283"/>
      <c r="B23" s="1906"/>
      <c r="C23" s="1909"/>
      <c r="D23" s="1909"/>
      <c r="E23" s="1909"/>
      <c r="F23" s="1909"/>
      <c r="G23" s="1283"/>
      <c r="Q23" s="1283"/>
      <c r="R23" s="1283"/>
      <c r="T23" s="1864"/>
      <c r="U23" s="50" t="s">
        <v>61</v>
      </c>
      <c r="V23" s="1877">
        <v>207325</v>
      </c>
      <c r="W23" s="1877"/>
      <c r="X23" s="1877"/>
      <c r="Y23" s="1883"/>
    </row>
    <row r="24" spans="1:25" ht="48" customHeight="1" x14ac:dyDescent="0.25">
      <c r="A24" s="128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849" t="s">
        <v>47</v>
      </c>
      <c r="U24" s="51" t="s">
        <v>62</v>
      </c>
      <c r="V24" s="1879">
        <f>V14+V16+V17-V18-V19-V20-V22+V23-V21</f>
        <v>24455.907500000001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16904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283"/>
      <c r="J33" s="128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842" t="s">
        <v>472</v>
      </c>
      <c r="U3" s="1842"/>
      <c r="V3" s="1842"/>
      <c r="W3" s="1842"/>
      <c r="X3" s="1842"/>
      <c r="Y3" s="1842"/>
    </row>
    <row r="4" spans="1:25" s="128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89" customFormat="1" ht="25.5" customHeight="1" x14ac:dyDescent="0.25">
      <c r="A5" s="1843"/>
      <c r="B5" s="1843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914" t="s">
        <v>378</v>
      </c>
      <c r="R14" s="1915"/>
      <c r="S14" s="1293" t="s">
        <v>401</v>
      </c>
      <c r="T14" s="1849" t="s">
        <v>46</v>
      </c>
      <c r="U14" s="1287" t="s">
        <v>176</v>
      </c>
      <c r="V14" s="1874">
        <v>24456</v>
      </c>
      <c r="W14" s="1875"/>
      <c r="X14" s="1876"/>
    </row>
    <row r="15" spans="1:25" ht="22.5" customHeight="1" x14ac:dyDescent="0.25">
      <c r="A15" s="100" t="s">
        <v>38</v>
      </c>
      <c r="B15" s="1874">
        <v>349314</v>
      </c>
      <c r="C15" s="1876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874">
        <v>0</v>
      </c>
      <c r="R15" s="1876"/>
      <c r="S15" s="1287">
        <v>6</v>
      </c>
      <c r="T15" s="1849"/>
      <c r="U15" s="1287" t="s">
        <v>64</v>
      </c>
      <c r="V15" s="1877">
        <v>16904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855"/>
      <c r="R16" s="1855"/>
      <c r="S16" s="1290"/>
      <c r="T16" s="1871" t="s">
        <v>55</v>
      </c>
      <c r="U16" s="1871"/>
      <c r="V16" s="1878">
        <f>Y12</f>
        <v>128071.2475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855"/>
      <c r="R17" s="1855"/>
      <c r="S17" s="1286"/>
      <c r="T17" s="1900" t="s">
        <v>473</v>
      </c>
      <c r="U17" s="1901"/>
      <c r="V17" s="1902">
        <v>2500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119191</v>
      </c>
      <c r="C18" s="1876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877"/>
      <c r="R18" s="1877"/>
      <c r="S18" s="1287"/>
      <c r="T18" s="1871" t="s">
        <v>57</v>
      </c>
      <c r="U18" s="1871"/>
      <c r="V18" s="1877">
        <v>3450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344408</v>
      </c>
      <c r="C19" s="1876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874">
        <f t="shared" si="14"/>
        <v>0</v>
      </c>
      <c r="R19" s="1876"/>
      <c r="S19" s="1287">
        <f>S15+S16-S17-S18</f>
        <v>6</v>
      </c>
      <c r="T19" s="1869" t="s">
        <v>48</v>
      </c>
      <c r="U19" s="49" t="s">
        <v>58</v>
      </c>
      <c r="V19" s="1877">
        <v>110000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331492.7</v>
      </c>
      <c r="C20" s="1904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341*Q19</f>
        <v>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681037.28</v>
      </c>
      <c r="C21" s="1910"/>
      <c r="O21" s="1294"/>
      <c r="P21" s="1294"/>
      <c r="Q21" s="1294"/>
      <c r="R21" s="1294"/>
      <c r="T21" s="1900" t="s">
        <v>474</v>
      </c>
      <c r="U21" s="1901"/>
      <c r="V21" s="1911">
        <v>2500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110000</v>
      </c>
      <c r="D22" s="1908">
        <v>110000</v>
      </c>
      <c r="E22" s="1908">
        <v>110000</v>
      </c>
      <c r="F22" s="1908">
        <f>C22-D22+E22</f>
        <v>110000</v>
      </c>
      <c r="G22" s="1294"/>
      <c r="Q22" s="1294"/>
      <c r="R22" s="1294"/>
      <c r="T22" s="1863" t="s">
        <v>83</v>
      </c>
      <c r="U22" s="50" t="s">
        <v>60</v>
      </c>
      <c r="V22" s="1877">
        <v>112130</v>
      </c>
      <c r="W22" s="1877"/>
      <c r="X22" s="1877"/>
      <c r="Y22" s="1883"/>
    </row>
    <row r="23" spans="1:25" ht="39.75" customHeight="1" x14ac:dyDescent="0.25">
      <c r="A23" s="1294"/>
      <c r="B23" s="1906"/>
      <c r="C23" s="1909"/>
      <c r="D23" s="1909"/>
      <c r="E23" s="1909"/>
      <c r="F23" s="1909"/>
      <c r="G23" s="1294"/>
      <c r="Q23" s="1294"/>
      <c r="R23" s="1294"/>
      <c r="T23" s="1864"/>
      <c r="U23" s="50" t="s">
        <v>61</v>
      </c>
      <c r="V23" s="1877">
        <v>110000</v>
      </c>
      <c r="W23" s="1877"/>
      <c r="X23" s="1877"/>
      <c r="Y23" s="1883"/>
    </row>
    <row r="24" spans="1:25" ht="48" customHeight="1" x14ac:dyDescent="0.25">
      <c r="A24" s="129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849" t="s">
        <v>47</v>
      </c>
      <c r="U24" s="51" t="s">
        <v>62</v>
      </c>
      <c r="V24" s="1879">
        <f>V14+V16+V17-V18-V19-V20-V22+V23-V21</f>
        <v>36947.247499999998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19034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294"/>
      <c r="J33" s="129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842" t="s">
        <v>475</v>
      </c>
      <c r="U3" s="1842"/>
      <c r="V3" s="1842"/>
      <c r="W3" s="1842"/>
      <c r="X3" s="1842"/>
      <c r="Y3" s="1842"/>
    </row>
    <row r="4" spans="1:25" s="129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295" customFormat="1" ht="25.5" customHeight="1" x14ac:dyDescent="0.25">
      <c r="A5" s="1843"/>
      <c r="B5" s="1843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914" t="s">
        <v>378</v>
      </c>
      <c r="R14" s="1915"/>
      <c r="S14" s="1304" t="s">
        <v>401</v>
      </c>
      <c r="T14" s="1849" t="s">
        <v>46</v>
      </c>
      <c r="U14" s="1296" t="s">
        <v>176</v>
      </c>
      <c r="V14" s="1874">
        <v>36947</v>
      </c>
      <c r="W14" s="1875"/>
      <c r="X14" s="1876"/>
    </row>
    <row r="15" spans="1:25" ht="22.5" customHeight="1" x14ac:dyDescent="0.25">
      <c r="A15" s="100" t="s">
        <v>38</v>
      </c>
      <c r="B15" s="1874">
        <v>344408</v>
      </c>
      <c r="C15" s="1876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874">
        <v>0</v>
      </c>
      <c r="R15" s="1876"/>
      <c r="S15" s="1296">
        <v>6</v>
      </c>
      <c r="T15" s="1849"/>
      <c r="U15" s="1296" t="s">
        <v>64</v>
      </c>
      <c r="V15" s="1877">
        <v>19034</v>
      </c>
      <c r="W15" s="1877"/>
      <c r="X15" s="1877"/>
    </row>
    <row r="16" spans="1:25" ht="24.75" customHeight="1" x14ac:dyDescent="0.25">
      <c r="A16" s="100" t="s">
        <v>39</v>
      </c>
      <c r="B16" s="1874">
        <v>488312</v>
      </c>
      <c r="C16" s="1876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877">
        <v>10</v>
      </c>
      <c r="R16" s="1877"/>
      <c r="S16" s="1301"/>
      <c r="T16" s="1871" t="s">
        <v>55</v>
      </c>
      <c r="U16" s="1871"/>
      <c r="V16" s="1878">
        <f>Y12</f>
        <v>201115.51999999999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855"/>
      <c r="R17" s="1855"/>
      <c r="S17" s="1298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129072</v>
      </c>
      <c r="C18" s="1876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877"/>
      <c r="R18" s="1877"/>
      <c r="S18" s="1296"/>
      <c r="T18" s="1871" t="s">
        <v>57</v>
      </c>
      <c r="U18" s="1871"/>
      <c r="V18" s="1877">
        <v>5008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703648</v>
      </c>
      <c r="C19" s="1876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874">
        <f t="shared" si="14"/>
        <v>10</v>
      </c>
      <c r="R19" s="1876"/>
      <c r="S19" s="1296">
        <f>S15+S16-S17-S18</f>
        <v>6</v>
      </c>
      <c r="T19" s="1869" t="s">
        <v>48</v>
      </c>
      <c r="U19" s="49" t="s">
        <v>58</v>
      </c>
      <c r="V19" s="1877">
        <v>110000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677261.20000000007</v>
      </c>
      <c r="C20" s="1904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2046</v>
      </c>
      <c r="T20" s="1870"/>
      <c r="U20" s="49" t="s">
        <v>59</v>
      </c>
      <c r="V20" s="1877">
        <v>15300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1319526.48</v>
      </c>
      <c r="C21" s="1910"/>
      <c r="O21" s="1305"/>
      <c r="P21" s="1305"/>
      <c r="Q21" s="1305"/>
      <c r="R21" s="1305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110000</v>
      </c>
      <c r="D22" s="1908">
        <v>110000</v>
      </c>
      <c r="E22" s="1908">
        <v>822175</v>
      </c>
      <c r="F22" s="1908">
        <f>C22-D22+E22</f>
        <v>822175</v>
      </c>
      <c r="G22" s="1305"/>
      <c r="Q22" s="1305"/>
      <c r="R22" s="1305"/>
      <c r="T22" s="1863" t="s">
        <v>83</v>
      </c>
      <c r="U22" s="50" t="s">
        <v>60</v>
      </c>
      <c r="V22" s="1877">
        <v>214920</v>
      </c>
      <c r="W22" s="1877"/>
      <c r="X22" s="1877"/>
      <c r="Y22" s="1883"/>
    </row>
    <row r="23" spans="1:25" ht="39.75" customHeight="1" x14ac:dyDescent="0.25">
      <c r="A23" s="1305"/>
      <c r="B23" s="1906"/>
      <c r="C23" s="1909"/>
      <c r="D23" s="1909"/>
      <c r="E23" s="1909"/>
      <c r="F23" s="1909"/>
      <c r="G23" s="1305"/>
      <c r="Q23" s="1305"/>
      <c r="R23" s="1305"/>
      <c r="T23" s="1864"/>
      <c r="U23" s="50" t="s">
        <v>61</v>
      </c>
      <c r="V23" s="1877">
        <v>125300</v>
      </c>
      <c r="W23" s="1877"/>
      <c r="X23" s="1877"/>
      <c r="Y23" s="1883"/>
    </row>
    <row r="24" spans="1:25" ht="48" customHeight="1" x14ac:dyDescent="0.25">
      <c r="A24" s="130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849" t="s">
        <v>47</v>
      </c>
      <c r="U24" s="51" t="s">
        <v>62</v>
      </c>
      <c r="V24" s="1879">
        <f>V14+V16+V17-V18-V19-V20-V22+V23-V21</f>
        <v>18134.51999999999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108654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305"/>
      <c r="J33" s="130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842" t="s">
        <v>476</v>
      </c>
      <c r="U3" s="1842"/>
      <c r="V3" s="1842"/>
      <c r="W3" s="1842"/>
      <c r="X3" s="1842"/>
      <c r="Y3" s="1842"/>
    </row>
    <row r="4" spans="1:25" s="131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11" customFormat="1" ht="25.5" customHeight="1" x14ac:dyDescent="0.25">
      <c r="A5" s="1843"/>
      <c r="B5" s="1843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914" t="s">
        <v>378</v>
      </c>
      <c r="R14" s="1915"/>
      <c r="S14" s="1315" t="s">
        <v>401</v>
      </c>
      <c r="T14" s="1849" t="s">
        <v>46</v>
      </c>
      <c r="U14" s="1309" t="s">
        <v>176</v>
      </c>
      <c r="V14" s="1874">
        <v>18135</v>
      </c>
      <c r="W14" s="1875"/>
      <c r="X14" s="1876"/>
    </row>
    <row r="15" spans="1:25" ht="22.5" customHeight="1" x14ac:dyDescent="0.25">
      <c r="A15" s="100" t="s">
        <v>38</v>
      </c>
      <c r="B15" s="1874">
        <v>703648</v>
      </c>
      <c r="C15" s="1876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874">
        <v>10</v>
      </c>
      <c r="R15" s="1876"/>
      <c r="S15" s="1309">
        <v>6</v>
      </c>
      <c r="T15" s="1849"/>
      <c r="U15" s="1309" t="s">
        <v>64</v>
      </c>
      <c r="V15" s="1877">
        <v>108654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877"/>
      <c r="R16" s="1877"/>
      <c r="S16" s="1312"/>
      <c r="T16" s="1871" t="s">
        <v>55</v>
      </c>
      <c r="U16" s="1871"/>
      <c r="V16" s="1878">
        <f>Y12</f>
        <v>290198.13250000007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855"/>
      <c r="R17" s="1855"/>
      <c r="S17" s="1308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267777</v>
      </c>
      <c r="C18" s="1876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877"/>
      <c r="R18" s="1877"/>
      <c r="S18" s="1309"/>
      <c r="T18" s="1871" t="s">
        <v>57</v>
      </c>
      <c r="U18" s="1871"/>
      <c r="V18" s="1877">
        <v>23500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435871</v>
      </c>
      <c r="C19" s="1876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874">
        <f t="shared" si="14"/>
        <v>10</v>
      </c>
      <c r="R19" s="1876"/>
      <c r="S19" s="1309">
        <f>S15+S16-S17-S18</f>
        <v>6</v>
      </c>
      <c r="T19" s="1869" t="s">
        <v>48</v>
      </c>
      <c r="U19" s="49" t="s">
        <v>58</v>
      </c>
      <c r="V19" s="1877">
        <v>144500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419525.83750000002</v>
      </c>
      <c r="C20" s="1904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1032312.0175000001</v>
      </c>
      <c r="C21" s="1910"/>
      <c r="O21" s="1316"/>
      <c r="P21" s="1316"/>
      <c r="Q21" s="1316"/>
      <c r="R21" s="1316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822175</v>
      </c>
      <c r="D22" s="1908">
        <v>144500</v>
      </c>
      <c r="E22" s="1908"/>
      <c r="F22" s="1908">
        <f>C22-D22+E22</f>
        <v>677675</v>
      </c>
      <c r="G22" s="1316"/>
      <c r="Q22" s="1316"/>
      <c r="R22" s="1316"/>
      <c r="T22" s="1863" t="s">
        <v>83</v>
      </c>
      <c r="U22" s="50" t="s">
        <v>60</v>
      </c>
      <c r="V22" s="1877">
        <v>184500</v>
      </c>
      <c r="W22" s="1877"/>
      <c r="X22" s="1877"/>
      <c r="Y22" s="1883"/>
    </row>
    <row r="23" spans="1:25" ht="39.75" customHeight="1" x14ac:dyDescent="0.25">
      <c r="A23" s="1316"/>
      <c r="B23" s="1906"/>
      <c r="C23" s="1909"/>
      <c r="D23" s="1909"/>
      <c r="E23" s="1909"/>
      <c r="F23" s="1909"/>
      <c r="G23" s="1316"/>
      <c r="Q23" s="1316"/>
      <c r="R23" s="1316"/>
      <c r="T23" s="1864"/>
      <c r="U23" s="50" t="s">
        <v>61</v>
      </c>
      <c r="V23" s="1877">
        <v>144500</v>
      </c>
      <c r="W23" s="1877"/>
      <c r="X23" s="1877"/>
      <c r="Y23" s="1883"/>
    </row>
    <row r="24" spans="1:25" ht="48" customHeight="1" x14ac:dyDescent="0.25">
      <c r="A24" s="131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849" t="s">
        <v>47</v>
      </c>
      <c r="U24" s="51" t="s">
        <v>62</v>
      </c>
      <c r="V24" s="1879">
        <f>V14+V16+V17-V18-V19-V20-V22+V23-V21</f>
        <v>100333.13250000007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148654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316"/>
      <c r="J33" s="1316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842" t="s">
        <v>477</v>
      </c>
      <c r="U3" s="1842"/>
      <c r="V3" s="1842"/>
      <c r="W3" s="1842"/>
      <c r="X3" s="1842"/>
      <c r="Y3" s="1842"/>
    </row>
    <row r="4" spans="1:25" s="131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17" customFormat="1" ht="25.5" customHeight="1" x14ac:dyDescent="0.25">
      <c r="A5" s="1843"/>
      <c r="B5" s="1843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914" t="s">
        <v>378</v>
      </c>
      <c r="R14" s="1915"/>
      <c r="S14" s="1326" t="s">
        <v>401</v>
      </c>
      <c r="T14" s="1849" t="s">
        <v>46</v>
      </c>
      <c r="U14" s="1318" t="s">
        <v>176</v>
      </c>
      <c r="V14" s="1874">
        <v>100333</v>
      </c>
      <c r="W14" s="1875"/>
      <c r="X14" s="1876"/>
    </row>
    <row r="15" spans="1:25" ht="22.5" customHeight="1" x14ac:dyDescent="0.25">
      <c r="A15" s="100" t="s">
        <v>38</v>
      </c>
      <c r="B15" s="1874">
        <v>435871</v>
      </c>
      <c r="C15" s="1876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874">
        <v>10</v>
      </c>
      <c r="R15" s="1876"/>
      <c r="S15" s="1318">
        <v>6</v>
      </c>
      <c r="T15" s="1849"/>
      <c r="U15" s="1318" t="s">
        <v>64</v>
      </c>
      <c r="V15" s="1877">
        <v>148654</v>
      </c>
      <c r="W15" s="1877"/>
      <c r="X15" s="1877"/>
    </row>
    <row r="16" spans="1:25" ht="24.75" customHeight="1" x14ac:dyDescent="0.25">
      <c r="A16" s="100" t="s">
        <v>39</v>
      </c>
      <c r="B16" s="1874">
        <v>6961</v>
      </c>
      <c r="C16" s="1876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877"/>
      <c r="R16" s="1877"/>
      <c r="S16" s="1323"/>
      <c r="T16" s="1871" t="s">
        <v>55</v>
      </c>
      <c r="U16" s="1871"/>
      <c r="V16" s="1878">
        <f>Y12</f>
        <v>169988.56749999998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855"/>
      <c r="R17" s="1855"/>
      <c r="S17" s="1320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156343</v>
      </c>
      <c r="C18" s="1876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877"/>
      <c r="R18" s="1877"/>
      <c r="S18" s="1318"/>
      <c r="T18" s="1871" t="s">
        <v>57</v>
      </c>
      <c r="U18" s="1871"/>
      <c r="V18" s="1877">
        <v>1020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286489</v>
      </c>
      <c r="C19" s="1876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874">
        <f t="shared" si="14"/>
        <v>10</v>
      </c>
      <c r="R19" s="1876"/>
      <c r="S19" s="1318">
        <f>S15+S16-S17-S18</f>
        <v>6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275745.66250000003</v>
      </c>
      <c r="C20" s="1904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2046</v>
      </c>
      <c r="T20" s="1870"/>
      <c r="U20" s="49" t="s">
        <v>59</v>
      </c>
      <c r="V20" s="1877">
        <v>6700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870771.14250000007</v>
      </c>
      <c r="C21" s="1910"/>
      <c r="O21" s="1327"/>
      <c r="P21" s="1327"/>
      <c r="Q21" s="1327"/>
      <c r="R21" s="1327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677675</v>
      </c>
      <c r="D22" s="1908"/>
      <c r="E22" s="1908"/>
      <c r="F22" s="1908">
        <f>C22-D22+E22</f>
        <v>677675</v>
      </c>
      <c r="G22" s="1327"/>
      <c r="Q22" s="1327"/>
      <c r="R22" s="1327"/>
      <c r="T22" s="1863" t="s">
        <v>83</v>
      </c>
      <c r="U22" s="50" t="s">
        <v>60</v>
      </c>
      <c r="V22" s="1877">
        <v>22000</v>
      </c>
      <c r="W22" s="1877"/>
      <c r="X22" s="1877"/>
      <c r="Y22" s="1883"/>
    </row>
    <row r="23" spans="1:25" ht="39.75" customHeight="1" x14ac:dyDescent="0.25">
      <c r="A23" s="1327"/>
      <c r="B23" s="1906"/>
      <c r="C23" s="1909"/>
      <c r="D23" s="1909"/>
      <c r="E23" s="1909"/>
      <c r="F23" s="1909"/>
      <c r="G23" s="1327"/>
      <c r="Q23" s="1327"/>
      <c r="R23" s="1327"/>
      <c r="T23" s="1864"/>
      <c r="U23" s="50" t="s">
        <v>61</v>
      </c>
      <c r="V23" s="1877">
        <v>6700</v>
      </c>
      <c r="W23" s="1877"/>
      <c r="X23" s="1877"/>
      <c r="Y23" s="1883"/>
    </row>
    <row r="24" spans="1:25" ht="48" customHeight="1" x14ac:dyDescent="0.25">
      <c r="A24" s="132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849" t="s">
        <v>47</v>
      </c>
      <c r="U24" s="51" t="s">
        <v>62</v>
      </c>
      <c r="V24" s="1879">
        <f>V14+V16+V17-V18-V19-V20-V22+V23-V21</f>
        <v>247301.5675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163954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327"/>
      <c r="J33" s="1327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842" t="s">
        <v>478</v>
      </c>
      <c r="U3" s="1842"/>
      <c r="V3" s="1842"/>
      <c r="W3" s="1842"/>
      <c r="X3" s="1842"/>
      <c r="Y3" s="1842"/>
    </row>
    <row r="4" spans="1:25" s="132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28" customFormat="1" ht="25.5" customHeight="1" x14ac:dyDescent="0.25">
      <c r="A5" s="1843"/>
      <c r="B5" s="1843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914" t="s">
        <v>378</v>
      </c>
      <c r="R14" s="1915"/>
      <c r="S14" s="1337" t="s">
        <v>401</v>
      </c>
      <c r="T14" s="1849" t="s">
        <v>46</v>
      </c>
      <c r="U14" s="1329" t="s">
        <v>176</v>
      </c>
      <c r="V14" s="1874">
        <v>247302</v>
      </c>
      <c r="W14" s="1875"/>
      <c r="X14" s="1876"/>
    </row>
    <row r="15" spans="1:25" ht="22.5" customHeight="1" x14ac:dyDescent="0.25">
      <c r="A15" s="100" t="s">
        <v>38</v>
      </c>
      <c r="B15" s="1874">
        <v>286489</v>
      </c>
      <c r="C15" s="1876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874">
        <v>10</v>
      </c>
      <c r="R15" s="1876"/>
      <c r="S15" s="1329">
        <v>6</v>
      </c>
      <c r="T15" s="1849"/>
      <c r="U15" s="1329" t="s">
        <v>64</v>
      </c>
      <c r="V15" s="1877">
        <v>163954</v>
      </c>
      <c r="W15" s="1877"/>
      <c r="X15" s="1877"/>
    </row>
    <row r="16" spans="1:25" ht="24.75" customHeight="1" x14ac:dyDescent="0.25">
      <c r="A16" s="100" t="s">
        <v>39</v>
      </c>
      <c r="B16" s="1874">
        <v>93506</v>
      </c>
      <c r="C16" s="1876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877"/>
      <c r="R16" s="1877"/>
      <c r="S16" s="1334"/>
      <c r="T16" s="1871" t="s">
        <v>55</v>
      </c>
      <c r="U16" s="1871"/>
      <c r="V16" s="1878">
        <f>Y12</f>
        <v>321484.09999999998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855"/>
      <c r="R17" s="1855"/>
      <c r="S17" s="1331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87160</v>
      </c>
      <c r="C18" s="1876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877"/>
      <c r="R18" s="1877"/>
      <c r="S18" s="1329"/>
      <c r="T18" s="1871" t="s">
        <v>57</v>
      </c>
      <c r="U18" s="1871"/>
      <c r="V18" s="1877">
        <v>2060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292835</v>
      </c>
      <c r="C19" s="1876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874">
        <f t="shared" si="14"/>
        <v>10</v>
      </c>
      <c r="R19" s="1876"/>
      <c r="S19" s="1329">
        <f>S15+S16-S17-S18</f>
        <v>6</v>
      </c>
      <c r="T19" s="1869" t="s">
        <v>48</v>
      </c>
      <c r="U19" s="49" t="s">
        <v>58</v>
      </c>
      <c r="V19" s="1877">
        <v>677675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281853.6875</v>
      </c>
      <c r="C20" s="1904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2046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642588.56350000005</v>
      </c>
      <c r="C21" s="1910"/>
      <c r="O21" s="1338"/>
      <c r="P21" s="1338"/>
      <c r="Q21" s="1338"/>
      <c r="R21" s="1338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677675</v>
      </c>
      <c r="D22" s="1908">
        <v>677675</v>
      </c>
      <c r="E22" s="1908">
        <v>90000</v>
      </c>
      <c r="F22" s="1908">
        <f>C22-D22+E22</f>
        <v>90000</v>
      </c>
      <c r="G22" s="1338"/>
      <c r="Q22" s="1338"/>
      <c r="R22" s="1338"/>
      <c r="T22" s="1863" t="s">
        <v>83</v>
      </c>
      <c r="U22" s="50" t="s">
        <v>60</v>
      </c>
      <c r="V22" s="1877">
        <v>537490</v>
      </c>
      <c r="W22" s="1877"/>
      <c r="X22" s="1877"/>
      <c r="Y22" s="1883"/>
    </row>
    <row r="23" spans="1:25" ht="39.75" customHeight="1" x14ac:dyDescent="0.25">
      <c r="A23" s="1338"/>
      <c r="B23" s="1906"/>
      <c r="C23" s="1909"/>
      <c r="D23" s="1909"/>
      <c r="E23" s="1909"/>
      <c r="F23" s="1909"/>
      <c r="G23" s="1338"/>
      <c r="Q23" s="1338"/>
      <c r="R23" s="1338"/>
      <c r="T23" s="1864"/>
      <c r="U23" s="50" t="s">
        <v>61</v>
      </c>
      <c r="V23" s="1877">
        <v>677675</v>
      </c>
      <c r="W23" s="1877"/>
      <c r="X23" s="1877"/>
      <c r="Y23" s="1883"/>
    </row>
    <row r="24" spans="1:25" ht="48" customHeight="1" x14ac:dyDescent="0.25">
      <c r="A24" s="133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849" t="s">
        <v>47</v>
      </c>
      <c r="U24" s="51" t="s">
        <v>62</v>
      </c>
      <c r="V24" s="1879">
        <f>V14+V16+V17-V18-V19-V20-V22+V23-V21</f>
        <v>29236.099999999977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23769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338"/>
      <c r="J33" s="133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842" t="s">
        <v>480</v>
      </c>
      <c r="U3" s="1842"/>
      <c r="V3" s="1842"/>
      <c r="W3" s="1842"/>
      <c r="X3" s="1842"/>
      <c r="Y3" s="1842"/>
    </row>
    <row r="4" spans="1:25" s="1344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44" customFormat="1" ht="25.5" customHeight="1" x14ac:dyDescent="0.25">
      <c r="A5" s="1843"/>
      <c r="B5" s="1843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914" t="s">
        <v>479</v>
      </c>
      <c r="R14" s="1915"/>
      <c r="S14" s="1348" t="s">
        <v>401</v>
      </c>
      <c r="T14" s="1849" t="s">
        <v>46</v>
      </c>
      <c r="U14" s="1342" t="s">
        <v>176</v>
      </c>
      <c r="V14" s="1874">
        <v>29236</v>
      </c>
      <c r="W14" s="1875"/>
      <c r="X14" s="1876"/>
    </row>
    <row r="15" spans="1:25" ht="22.5" customHeight="1" x14ac:dyDescent="0.25">
      <c r="A15" s="100" t="s">
        <v>38</v>
      </c>
      <c r="B15" s="1874">
        <v>292835</v>
      </c>
      <c r="C15" s="1876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874">
        <v>10</v>
      </c>
      <c r="R15" s="1876"/>
      <c r="S15" s="1342">
        <v>6</v>
      </c>
      <c r="T15" s="1849"/>
      <c r="U15" s="1342" t="s">
        <v>64</v>
      </c>
      <c r="V15" s="1877">
        <v>23769</v>
      </c>
      <c r="W15" s="1877"/>
      <c r="X15" s="1877"/>
    </row>
    <row r="16" spans="1:25" ht="24.75" customHeight="1" x14ac:dyDescent="0.25">
      <c r="A16" s="100" t="s">
        <v>39</v>
      </c>
      <c r="B16" s="1874">
        <v>158961</v>
      </c>
      <c r="C16" s="1876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877"/>
      <c r="R16" s="1877"/>
      <c r="S16" s="1345"/>
      <c r="T16" s="1871" t="s">
        <v>55</v>
      </c>
      <c r="U16" s="1871"/>
      <c r="V16" s="1878">
        <f>Y12</f>
        <v>284030.86250000005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855"/>
      <c r="R17" s="1855"/>
      <c r="S17" s="1341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166805</v>
      </c>
      <c r="C18" s="1876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877"/>
      <c r="R18" s="1877"/>
      <c r="S18" s="1342">
        <v>4</v>
      </c>
      <c r="T18" s="1871" t="s">
        <v>57</v>
      </c>
      <c r="U18" s="1871"/>
      <c r="V18" s="1877">
        <v>920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284991</v>
      </c>
      <c r="C19" s="1876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874">
        <f t="shared" si="14"/>
        <v>10</v>
      </c>
      <c r="R19" s="1876"/>
      <c r="S19" s="1342">
        <f>S15+S16-S17-S18</f>
        <v>2</v>
      </c>
      <c r="T19" s="1869" t="s">
        <v>48</v>
      </c>
      <c r="U19" s="49" t="s">
        <v>58</v>
      </c>
      <c r="V19" s="1877">
        <v>90000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274303.83750000002</v>
      </c>
      <c r="C20" s="1904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725683.54949999996</v>
      </c>
      <c r="C21" s="1910"/>
      <c r="O21" s="1349"/>
      <c r="P21" s="1349"/>
      <c r="Q21" s="1349"/>
      <c r="R21" s="1349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90000</v>
      </c>
      <c r="D22" s="1908">
        <v>90000</v>
      </c>
      <c r="E22" s="1908">
        <v>364037</v>
      </c>
      <c r="F22" s="1908">
        <f>C22-D22+E22</f>
        <v>364037</v>
      </c>
      <c r="G22" s="1349"/>
      <c r="Q22" s="1349"/>
      <c r="R22" s="1349"/>
      <c r="T22" s="1863" t="s">
        <v>83</v>
      </c>
      <c r="U22" s="50" t="s">
        <v>60</v>
      </c>
      <c r="V22" s="1877">
        <v>283730</v>
      </c>
      <c r="W22" s="1877"/>
      <c r="X22" s="1877"/>
      <c r="Y22" s="1883"/>
    </row>
    <row r="23" spans="1:25" ht="39.75" customHeight="1" x14ac:dyDescent="0.25">
      <c r="A23" s="1349"/>
      <c r="B23" s="1906"/>
      <c r="C23" s="1909"/>
      <c r="D23" s="1909"/>
      <c r="E23" s="1909"/>
      <c r="F23" s="1909"/>
      <c r="G23" s="1349"/>
      <c r="Q23" s="1349"/>
      <c r="R23" s="1349"/>
      <c r="T23" s="1864"/>
      <c r="U23" s="50" t="s">
        <v>61</v>
      </c>
      <c r="V23" s="1877">
        <v>90000</v>
      </c>
      <c r="W23" s="1877"/>
      <c r="X23" s="1877"/>
      <c r="Y23" s="1883"/>
    </row>
    <row r="24" spans="1:25" ht="48" customHeight="1" x14ac:dyDescent="0.25">
      <c r="A24" s="134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849" t="s">
        <v>47</v>
      </c>
      <c r="U24" s="51" t="s">
        <v>62</v>
      </c>
      <c r="V24" s="1879">
        <f>V14+V16+V17-V18-V19-V20-V22+V23-V21</f>
        <v>28616.862500000047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217499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349"/>
      <c r="J33" s="1349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842" t="s">
        <v>481</v>
      </c>
      <c r="U3" s="1842"/>
      <c r="V3" s="1842"/>
      <c r="W3" s="1842"/>
      <c r="X3" s="1842"/>
      <c r="Y3" s="1842"/>
    </row>
    <row r="4" spans="1:25" s="135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55" customFormat="1" ht="25.5" customHeight="1" x14ac:dyDescent="0.25">
      <c r="A5" s="1843"/>
      <c r="B5" s="1843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914" t="s">
        <v>479</v>
      </c>
      <c r="R14" s="1915"/>
      <c r="S14" s="1359" t="s">
        <v>401</v>
      </c>
      <c r="T14" s="1849" t="s">
        <v>46</v>
      </c>
      <c r="U14" s="1353" t="s">
        <v>176</v>
      </c>
      <c r="V14" s="1874">
        <v>28617</v>
      </c>
      <c r="W14" s="1875"/>
      <c r="X14" s="1876"/>
    </row>
    <row r="15" spans="1:25" ht="22.5" customHeight="1" x14ac:dyDescent="0.25">
      <c r="A15" s="100" t="s">
        <v>38</v>
      </c>
      <c r="B15" s="1874">
        <v>284991</v>
      </c>
      <c r="C15" s="1876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874">
        <v>10</v>
      </c>
      <c r="R15" s="1876"/>
      <c r="S15" s="1353">
        <v>2</v>
      </c>
      <c r="T15" s="1849"/>
      <c r="U15" s="1353" t="s">
        <v>64</v>
      </c>
      <c r="V15" s="1877">
        <v>217499</v>
      </c>
      <c r="W15" s="1877"/>
      <c r="X15" s="1877"/>
    </row>
    <row r="16" spans="1:25" ht="24.75" customHeight="1" x14ac:dyDescent="0.25">
      <c r="A16" s="100" t="s">
        <v>39</v>
      </c>
      <c r="B16" s="1874">
        <v>20779</v>
      </c>
      <c r="C16" s="1876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877"/>
      <c r="R16" s="1877"/>
      <c r="S16" s="1356"/>
      <c r="T16" s="1871" t="s">
        <v>55</v>
      </c>
      <c r="U16" s="1871"/>
      <c r="V16" s="1878">
        <f>Y12</f>
        <v>167455.36499999999</v>
      </c>
      <c r="W16" s="1878"/>
      <c r="X16" s="1877"/>
    </row>
    <row r="17" spans="1:25" ht="28.5" customHeight="1" x14ac:dyDescent="0.25">
      <c r="A17" s="101" t="s">
        <v>44</v>
      </c>
      <c r="B17" s="1874">
        <v>99355</v>
      </c>
      <c r="C17" s="1876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855"/>
      <c r="R17" s="1855"/>
      <c r="S17" s="1352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118314</v>
      </c>
      <c r="C18" s="1876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877"/>
      <c r="R18" s="1877"/>
      <c r="S18" s="1353"/>
      <c r="T18" s="1871" t="s">
        <v>57</v>
      </c>
      <c r="U18" s="1871"/>
      <c r="V18" s="1877">
        <v>1520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286811</v>
      </c>
      <c r="C19" s="1876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874">
        <f t="shared" si="14"/>
        <v>10</v>
      </c>
      <c r="R19" s="1876"/>
      <c r="S19" s="1353">
        <f>S15+S16-S17-S18</f>
        <v>2</v>
      </c>
      <c r="T19" s="1869" t="s">
        <v>48</v>
      </c>
      <c r="U19" s="49" t="s">
        <v>58</v>
      </c>
      <c r="V19" s="1877">
        <v>364037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276055.58750000002</v>
      </c>
      <c r="C20" s="1904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675674.54350000003</v>
      </c>
      <c r="C21" s="1910"/>
      <c r="O21" s="1360"/>
      <c r="P21" s="1360"/>
      <c r="Q21" s="1360"/>
      <c r="R21" s="1360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364037</v>
      </c>
      <c r="D22" s="1908">
        <v>364037</v>
      </c>
      <c r="E22" s="1908">
        <v>20000</v>
      </c>
      <c r="F22" s="1908">
        <f>C22-D22+E22</f>
        <v>20000</v>
      </c>
      <c r="G22" s="1360"/>
      <c r="Q22" s="1360"/>
      <c r="R22" s="1360"/>
      <c r="T22" s="1863" t="s">
        <v>83</v>
      </c>
      <c r="U22" s="50" t="s">
        <v>60</v>
      </c>
      <c r="V22" s="1877">
        <v>170750</v>
      </c>
      <c r="W22" s="1877"/>
      <c r="X22" s="1877"/>
      <c r="Y22" s="1883"/>
    </row>
    <row r="23" spans="1:25" ht="39.75" customHeight="1" x14ac:dyDescent="0.25">
      <c r="A23" s="1360"/>
      <c r="B23" s="1906"/>
      <c r="C23" s="1909"/>
      <c r="D23" s="1909"/>
      <c r="E23" s="1909"/>
      <c r="F23" s="1909"/>
      <c r="G23" s="1360"/>
      <c r="Q23" s="1360"/>
      <c r="R23" s="1360"/>
      <c r="T23" s="1864"/>
      <c r="U23" s="50" t="s">
        <v>61</v>
      </c>
      <c r="V23" s="1877">
        <v>364037</v>
      </c>
      <c r="W23" s="1877"/>
      <c r="X23" s="1877"/>
      <c r="Y23" s="1883"/>
    </row>
    <row r="24" spans="1:25" ht="48" customHeight="1" x14ac:dyDescent="0.25">
      <c r="A24" s="136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849" t="s">
        <v>47</v>
      </c>
      <c r="U24" s="51" t="s">
        <v>62</v>
      </c>
      <c r="V24" s="1879">
        <f>V14+V16+V17-V18-V19-V20-V22+V23-V21</f>
        <v>23802.364999999991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24212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360"/>
      <c r="J33" s="136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842" t="s">
        <v>482</v>
      </c>
      <c r="U3" s="1842"/>
      <c r="V3" s="1842"/>
      <c r="W3" s="1842"/>
      <c r="X3" s="1842"/>
      <c r="Y3" s="1842"/>
    </row>
    <row r="4" spans="1:25" s="136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61" customFormat="1" ht="25.5" customHeight="1" x14ac:dyDescent="0.25">
      <c r="A5" s="1843"/>
      <c r="B5" s="1843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914" t="s">
        <v>479</v>
      </c>
      <c r="R14" s="1915"/>
      <c r="S14" s="1370" t="s">
        <v>401</v>
      </c>
      <c r="T14" s="1849" t="s">
        <v>46</v>
      </c>
      <c r="U14" s="1362" t="s">
        <v>176</v>
      </c>
      <c r="V14" s="1874">
        <v>23802</v>
      </c>
      <c r="W14" s="1875"/>
      <c r="X14" s="1876"/>
    </row>
    <row r="15" spans="1:25" ht="22.5" customHeight="1" x14ac:dyDescent="0.25">
      <c r="A15" s="100" t="s">
        <v>38</v>
      </c>
      <c r="B15" s="1874">
        <v>286811</v>
      </c>
      <c r="C15" s="1876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874">
        <v>10</v>
      </c>
      <c r="R15" s="1876"/>
      <c r="S15" s="1362">
        <v>2</v>
      </c>
      <c r="T15" s="1849"/>
      <c r="U15" s="1362" t="s">
        <v>64</v>
      </c>
      <c r="V15" s="1877">
        <v>24212</v>
      </c>
      <c r="W15" s="1877"/>
      <c r="X15" s="1877"/>
    </row>
    <row r="16" spans="1:25" ht="24.75" customHeight="1" x14ac:dyDescent="0.25">
      <c r="A16" s="100" t="s">
        <v>39</v>
      </c>
      <c r="B16" s="1874">
        <v>272583</v>
      </c>
      <c r="C16" s="1876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877"/>
      <c r="R16" s="1877"/>
      <c r="S16" s="1367"/>
      <c r="T16" s="1871" t="s">
        <v>55</v>
      </c>
      <c r="U16" s="1871"/>
      <c r="V16" s="1878">
        <f>Y12</f>
        <v>207255.72500000001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855"/>
      <c r="R17" s="1855"/>
      <c r="S17" s="1364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142010</v>
      </c>
      <c r="C18" s="1876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877"/>
      <c r="R18" s="1877"/>
      <c r="S18" s="1362"/>
      <c r="T18" s="1871" t="s">
        <v>57</v>
      </c>
      <c r="U18" s="1871"/>
      <c r="V18" s="1877">
        <v>47232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417384</v>
      </c>
      <c r="C19" s="1876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874">
        <f t="shared" si="14"/>
        <v>10</v>
      </c>
      <c r="R19" s="1876"/>
      <c r="S19" s="1362">
        <f>S15+S16-S17-S18</f>
        <v>2</v>
      </c>
      <c r="T19" s="1869" t="s">
        <v>48</v>
      </c>
      <c r="U19" s="49" t="s">
        <v>58</v>
      </c>
      <c r="V19" s="1877">
        <v>20000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401732.10000000003</v>
      </c>
      <c r="C20" s="1904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137000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1007554.02</v>
      </c>
      <c r="C21" s="1910"/>
      <c r="O21" s="1371"/>
      <c r="P21" s="1371"/>
      <c r="Q21" s="1371"/>
      <c r="R21" s="1371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20000</v>
      </c>
      <c r="D22" s="1908">
        <v>20000</v>
      </c>
      <c r="E22" s="1908">
        <v>400000</v>
      </c>
      <c r="F22" s="1908">
        <f>C22-D22+E22</f>
        <v>400000</v>
      </c>
      <c r="G22" s="1371"/>
      <c r="Q22" s="1371"/>
      <c r="R22" s="1371"/>
      <c r="T22" s="1863" t="s">
        <v>83</v>
      </c>
      <c r="U22" s="50" t="s">
        <v>60</v>
      </c>
      <c r="V22" s="1877">
        <v>169280</v>
      </c>
      <c r="W22" s="1877"/>
      <c r="X22" s="1877"/>
      <c r="Y22" s="1883"/>
    </row>
    <row r="23" spans="1:25" ht="39.75" customHeight="1" x14ac:dyDescent="0.25">
      <c r="A23" s="1371"/>
      <c r="B23" s="1906"/>
      <c r="C23" s="1909"/>
      <c r="D23" s="1909"/>
      <c r="E23" s="1909"/>
      <c r="F23" s="1909"/>
      <c r="G23" s="1371"/>
      <c r="Q23" s="1371"/>
      <c r="R23" s="1371"/>
      <c r="T23" s="1864"/>
      <c r="U23" s="50" t="s">
        <v>61</v>
      </c>
      <c r="V23" s="1877">
        <v>183400</v>
      </c>
      <c r="W23" s="1877"/>
      <c r="X23" s="1877"/>
      <c r="Y23" s="1883"/>
    </row>
    <row r="24" spans="1:25" ht="48" customHeight="1" x14ac:dyDescent="0.25">
      <c r="A24" s="137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849" t="s">
        <v>47</v>
      </c>
      <c r="U24" s="51" t="s">
        <v>62</v>
      </c>
      <c r="V24" s="1879">
        <f>V14+V16+V17-V18-V19-V20-V22+V23-V21</f>
        <v>40945.725000000006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10092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371"/>
      <c r="J33" s="137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842" t="s">
        <v>483</v>
      </c>
      <c r="U3" s="1842"/>
      <c r="V3" s="1842"/>
      <c r="W3" s="1842"/>
      <c r="X3" s="1842"/>
      <c r="Y3" s="1842"/>
    </row>
    <row r="4" spans="1:25" s="137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77" customFormat="1" ht="25.5" customHeight="1" x14ac:dyDescent="0.25">
      <c r="A5" s="1843"/>
      <c r="B5" s="1843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914" t="s">
        <v>479</v>
      </c>
      <c r="R14" s="1915"/>
      <c r="S14" s="1381" t="s">
        <v>401</v>
      </c>
      <c r="T14" s="1849" t="s">
        <v>46</v>
      </c>
      <c r="U14" s="1375" t="s">
        <v>176</v>
      </c>
      <c r="V14" s="1874">
        <v>40946</v>
      </c>
      <c r="W14" s="1875"/>
      <c r="X14" s="1876"/>
    </row>
    <row r="15" spans="1:25" ht="22.5" customHeight="1" x14ac:dyDescent="0.25">
      <c r="A15" s="100" t="s">
        <v>38</v>
      </c>
      <c r="B15" s="1874">
        <v>417384</v>
      </c>
      <c r="C15" s="1876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874">
        <v>10</v>
      </c>
      <c r="R15" s="1876"/>
      <c r="S15" s="1375">
        <v>2</v>
      </c>
      <c r="T15" s="1849"/>
      <c r="U15" s="1375" t="s">
        <v>64</v>
      </c>
      <c r="V15" s="1877">
        <v>10092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877"/>
      <c r="R16" s="1877"/>
      <c r="S16" s="1378"/>
      <c r="T16" s="1871" t="s">
        <v>55</v>
      </c>
      <c r="U16" s="1871"/>
      <c r="V16" s="1878">
        <f>Y12</f>
        <v>178138.8725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855"/>
      <c r="R17" s="1855"/>
      <c r="S17" s="1374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90041</v>
      </c>
      <c r="C18" s="1876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877"/>
      <c r="R18" s="1877"/>
      <c r="S18" s="1375"/>
      <c r="T18" s="1871" t="s">
        <v>57</v>
      </c>
      <c r="U18" s="1871"/>
      <c r="V18" s="1877">
        <v>1250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327343</v>
      </c>
      <c r="C19" s="1876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874">
        <f t="shared" si="14"/>
        <v>10</v>
      </c>
      <c r="R19" s="1876"/>
      <c r="S19" s="1375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315067.63750000001</v>
      </c>
      <c r="C20" s="1904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831244.22149999999</v>
      </c>
      <c r="C21" s="1910"/>
      <c r="O21" s="1382"/>
      <c r="P21" s="1382"/>
      <c r="Q21" s="1382"/>
      <c r="R21" s="1382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382"/>
      <c r="Q22" s="1382"/>
      <c r="R22" s="138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382"/>
      <c r="B23" s="1906"/>
      <c r="C23" s="1909"/>
      <c r="D23" s="1909"/>
      <c r="E23" s="1909"/>
      <c r="F23" s="1909"/>
      <c r="G23" s="1382"/>
      <c r="Q23" s="1382"/>
      <c r="R23" s="138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38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849" t="s">
        <v>47</v>
      </c>
      <c r="U24" s="51" t="s">
        <v>62</v>
      </c>
      <c r="V24" s="1879">
        <f>V14+V16+V17-V18-V19-V20-V22+V23-V21</f>
        <v>217834.8725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10092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382"/>
      <c r="J33" s="138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842" t="s">
        <v>484</v>
      </c>
      <c r="U3" s="1842"/>
      <c r="V3" s="1842"/>
      <c r="W3" s="1842"/>
      <c r="X3" s="1842"/>
      <c r="Y3" s="1842"/>
    </row>
    <row r="4" spans="1:25" s="138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88" customFormat="1" ht="25.5" customHeight="1" x14ac:dyDescent="0.25">
      <c r="A5" s="1843"/>
      <c r="B5" s="1843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914" t="s">
        <v>479</v>
      </c>
      <c r="R14" s="1915"/>
      <c r="S14" s="1392" t="s">
        <v>401</v>
      </c>
      <c r="T14" s="1849" t="s">
        <v>46</v>
      </c>
      <c r="U14" s="1386" t="s">
        <v>176</v>
      </c>
      <c r="V14" s="1874">
        <v>217835</v>
      </c>
      <c r="W14" s="1875"/>
      <c r="X14" s="1876"/>
    </row>
    <row r="15" spans="1:25" ht="22.5" customHeight="1" x14ac:dyDescent="0.25">
      <c r="A15" s="100" t="s">
        <v>38</v>
      </c>
      <c r="B15" s="1874">
        <v>327343</v>
      </c>
      <c r="C15" s="1876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874">
        <v>10</v>
      </c>
      <c r="R15" s="1876"/>
      <c r="S15" s="1386">
        <v>2</v>
      </c>
      <c r="T15" s="1849"/>
      <c r="U15" s="1386" t="s">
        <v>64</v>
      </c>
      <c r="V15" s="1877">
        <v>10092</v>
      </c>
      <c r="W15" s="1877"/>
      <c r="X15" s="1877"/>
    </row>
    <row r="16" spans="1:25" ht="24.75" customHeight="1" x14ac:dyDescent="0.25">
      <c r="A16" s="100" t="s">
        <v>39</v>
      </c>
      <c r="B16" s="1874">
        <v>57142</v>
      </c>
      <c r="C16" s="1876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877"/>
      <c r="R16" s="1877"/>
      <c r="S16" s="1389"/>
      <c r="T16" s="1871" t="s">
        <v>55</v>
      </c>
      <c r="U16" s="1871"/>
      <c r="V16" s="1878">
        <f>Y12</f>
        <v>196817.69500000001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855"/>
      <c r="R17" s="1855"/>
      <c r="S17" s="1385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103902</v>
      </c>
      <c r="C18" s="1876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877"/>
      <c r="R18" s="1877"/>
      <c r="S18" s="1386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280583</v>
      </c>
      <c r="C19" s="1876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874">
        <f t="shared" si="14"/>
        <v>10</v>
      </c>
      <c r="R19" s="1876"/>
      <c r="S19" s="1386">
        <f>S15+S16-S17-S18</f>
        <v>2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270061.13750000001</v>
      </c>
      <c r="C20" s="1904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691473.90950000007</v>
      </c>
      <c r="C21" s="1910"/>
      <c r="O21" s="1393"/>
      <c r="P21" s="1393"/>
      <c r="Q21" s="1393"/>
      <c r="R21" s="1393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55000</v>
      </c>
      <c r="F22" s="1908">
        <f>C22-D22+E22</f>
        <v>55000</v>
      </c>
      <c r="G22" s="1393"/>
      <c r="Q22" s="1393"/>
      <c r="R22" s="1393"/>
      <c r="T22" s="1863" t="s">
        <v>83</v>
      </c>
      <c r="U22" s="50" t="s">
        <v>60</v>
      </c>
      <c r="V22" s="1877">
        <v>400180</v>
      </c>
      <c r="W22" s="1877"/>
      <c r="X22" s="1877"/>
      <c r="Y22" s="1883"/>
    </row>
    <row r="23" spans="1:25" ht="39.75" customHeight="1" x14ac:dyDescent="0.25">
      <c r="A23" s="1393"/>
      <c r="B23" s="1906"/>
      <c r="C23" s="1909"/>
      <c r="D23" s="1909"/>
      <c r="E23" s="1909"/>
      <c r="F23" s="1909"/>
      <c r="G23" s="1393"/>
      <c r="Q23" s="1393"/>
      <c r="R23" s="1393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139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849" t="s">
        <v>47</v>
      </c>
      <c r="U24" s="51" t="s">
        <v>62</v>
      </c>
      <c r="V24" s="1879">
        <f>V14+V16+V17-V18-V19-V20-V22+V23-V21</f>
        <v>13952.695000000007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10272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393"/>
      <c r="J33" s="1393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842" t="s">
        <v>485</v>
      </c>
      <c r="U3" s="1842"/>
      <c r="V3" s="1842"/>
      <c r="W3" s="1842"/>
      <c r="X3" s="1842"/>
      <c r="Y3" s="1842"/>
    </row>
    <row r="4" spans="1:25" s="139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399" customFormat="1" ht="25.5" customHeight="1" x14ac:dyDescent="0.25">
      <c r="A5" s="1843"/>
      <c r="B5" s="1843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914" t="s">
        <v>479</v>
      </c>
      <c r="R14" s="1915"/>
      <c r="S14" s="1403" t="s">
        <v>401</v>
      </c>
      <c r="T14" s="1849" t="s">
        <v>46</v>
      </c>
      <c r="U14" s="1397" t="s">
        <v>176</v>
      </c>
      <c r="V14" s="1874">
        <v>13953</v>
      </c>
      <c r="W14" s="1875"/>
      <c r="X14" s="1876"/>
    </row>
    <row r="15" spans="1:25" ht="22.5" customHeight="1" x14ac:dyDescent="0.25">
      <c r="A15" s="100" t="s">
        <v>38</v>
      </c>
      <c r="B15" s="1874">
        <v>280583</v>
      </c>
      <c r="C15" s="1876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874">
        <v>10</v>
      </c>
      <c r="R15" s="1876"/>
      <c r="S15" s="1397">
        <v>2</v>
      </c>
      <c r="T15" s="1849"/>
      <c r="U15" s="1397" t="s">
        <v>64</v>
      </c>
      <c r="V15" s="1877">
        <v>10272</v>
      </c>
      <c r="W15" s="1877"/>
      <c r="X15" s="1877"/>
    </row>
    <row r="16" spans="1:25" ht="24.75" customHeight="1" x14ac:dyDescent="0.25">
      <c r="A16" s="100" t="s">
        <v>39</v>
      </c>
      <c r="B16" s="1874">
        <v>80000</v>
      </c>
      <c r="C16" s="1876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877"/>
      <c r="R16" s="1877"/>
      <c r="S16" s="1400"/>
      <c r="T16" s="1871" t="s">
        <v>55</v>
      </c>
      <c r="U16" s="1871"/>
      <c r="V16" s="1878">
        <f>Y12</f>
        <v>87645.97600000001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855"/>
      <c r="R17" s="1855"/>
      <c r="S17" s="1396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79568</v>
      </c>
      <c r="C18" s="1876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877"/>
      <c r="R18" s="1877"/>
      <c r="S18" s="1397"/>
      <c r="T18" s="1871" t="s">
        <v>57</v>
      </c>
      <c r="U18" s="1871"/>
      <c r="V18" s="1877">
        <v>770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281015</v>
      </c>
      <c r="C19" s="1876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874">
        <f t="shared" si="14"/>
        <v>10</v>
      </c>
      <c r="R19" s="1876"/>
      <c r="S19" s="1397">
        <f>S15+S16-S17-S18</f>
        <v>2</v>
      </c>
      <c r="T19" s="1869" t="s">
        <v>48</v>
      </c>
      <c r="U19" s="49" t="s">
        <v>58</v>
      </c>
      <c r="V19" s="1877">
        <v>55000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270476.9375</v>
      </c>
      <c r="C20" s="1904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684250.46950000001</v>
      </c>
      <c r="C21" s="1910"/>
      <c r="O21" s="1404"/>
      <c r="P21" s="1404"/>
      <c r="Q21" s="1404"/>
      <c r="R21" s="1404"/>
      <c r="T21" s="1900" t="s">
        <v>474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55000</v>
      </c>
      <c r="D22" s="1908">
        <v>55000</v>
      </c>
      <c r="E22" s="1908">
        <v>79500</v>
      </c>
      <c r="F22" s="1908">
        <f>C22-D22+E22</f>
        <v>79500</v>
      </c>
      <c r="G22" s="1404"/>
      <c r="Q22" s="1404"/>
      <c r="R22" s="1404"/>
      <c r="T22" s="1863" t="s">
        <v>83</v>
      </c>
      <c r="U22" s="50" t="s">
        <v>60</v>
      </c>
      <c r="V22" s="1877">
        <v>61940</v>
      </c>
      <c r="W22" s="1877"/>
      <c r="X22" s="1877"/>
      <c r="Y22" s="1883"/>
    </row>
    <row r="23" spans="1:25" ht="39.75" customHeight="1" x14ac:dyDescent="0.25">
      <c r="A23" s="1404"/>
      <c r="B23" s="1906"/>
      <c r="C23" s="1909"/>
      <c r="D23" s="1909"/>
      <c r="E23" s="1909"/>
      <c r="F23" s="1909"/>
      <c r="G23" s="1404"/>
      <c r="Q23" s="1404"/>
      <c r="R23" s="1404"/>
      <c r="T23" s="1864"/>
      <c r="U23" s="50" t="s">
        <v>61</v>
      </c>
      <c r="V23" s="1877">
        <v>55000</v>
      </c>
      <c r="W23" s="1877"/>
      <c r="X23" s="1877"/>
      <c r="Y23" s="1883"/>
    </row>
    <row r="24" spans="1:25" ht="48" customHeight="1" x14ac:dyDescent="0.25">
      <c r="A24" s="140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849" t="s">
        <v>47</v>
      </c>
      <c r="U24" s="51" t="s">
        <v>62</v>
      </c>
      <c r="V24" s="1879">
        <f>V14+V16+V17-V18-V19-V20-V22+V23-V21</f>
        <v>38888.97600000001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17212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04"/>
      <c r="J33" s="140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842" t="s">
        <v>486</v>
      </c>
      <c r="U3" s="1842"/>
      <c r="V3" s="1842"/>
      <c r="W3" s="1842"/>
      <c r="X3" s="1842"/>
      <c r="Y3" s="1842"/>
    </row>
    <row r="4" spans="1:25" s="140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05" customFormat="1" ht="25.5" customHeight="1" x14ac:dyDescent="0.25">
      <c r="A5" s="1843"/>
      <c r="B5" s="1843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914" t="s">
        <v>479</v>
      </c>
      <c r="R14" s="1915"/>
      <c r="S14" s="1414" t="s">
        <v>401</v>
      </c>
      <c r="T14" s="1849" t="s">
        <v>46</v>
      </c>
      <c r="U14" s="1406" t="s">
        <v>176</v>
      </c>
      <c r="V14" s="1874">
        <v>38889</v>
      </c>
      <c r="W14" s="1875"/>
      <c r="X14" s="1876"/>
    </row>
    <row r="15" spans="1:25" ht="22.5" customHeight="1" x14ac:dyDescent="0.25">
      <c r="A15" s="100" t="s">
        <v>38</v>
      </c>
      <c r="B15" s="1874">
        <v>281015</v>
      </c>
      <c r="C15" s="1876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874">
        <v>10</v>
      </c>
      <c r="R15" s="1876"/>
      <c r="S15" s="1406">
        <v>2</v>
      </c>
      <c r="T15" s="1849"/>
      <c r="U15" s="1406" t="s">
        <v>64</v>
      </c>
      <c r="V15" s="1877">
        <v>17212</v>
      </c>
      <c r="W15" s="1877"/>
      <c r="X15" s="1877"/>
    </row>
    <row r="16" spans="1:25" ht="24.75" customHeight="1" x14ac:dyDescent="0.25">
      <c r="A16" s="100" t="s">
        <v>39</v>
      </c>
      <c r="B16" s="1874">
        <v>116363</v>
      </c>
      <c r="C16" s="1876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877"/>
      <c r="R16" s="1877"/>
      <c r="S16" s="1411"/>
      <c r="T16" s="1871" t="s">
        <v>55</v>
      </c>
      <c r="U16" s="1871"/>
      <c r="V16" s="1878">
        <f>Y12</f>
        <v>179540.69500000001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855"/>
      <c r="R17" s="1855"/>
      <c r="S17" s="1408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115454</v>
      </c>
      <c r="C18" s="1876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877"/>
      <c r="R18" s="1877"/>
      <c r="S18" s="1406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281924</v>
      </c>
      <c r="C19" s="1876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874">
        <f t="shared" si="14"/>
        <v>10</v>
      </c>
      <c r="R19" s="1876"/>
      <c r="S19" s="1406">
        <f>S15+S16-S17-S18</f>
        <v>2</v>
      </c>
      <c r="T19" s="1869" t="s">
        <v>48</v>
      </c>
      <c r="U19" s="49" t="s">
        <v>58</v>
      </c>
      <c r="V19" s="1877">
        <v>79500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271351.85000000003</v>
      </c>
      <c r="C20" s="1904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618567.01399999997</v>
      </c>
      <c r="C21" s="1910"/>
      <c r="O21" s="1415"/>
      <c r="P21" s="1415"/>
      <c r="Q21" s="1415"/>
      <c r="R21" s="1415"/>
      <c r="T21" s="1900" t="s">
        <v>487</v>
      </c>
      <c r="U21" s="1901"/>
      <c r="V21" s="1911">
        <v>100000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79500</v>
      </c>
      <c r="D22" s="1908">
        <v>79500</v>
      </c>
      <c r="E22" s="1908">
        <v>112000</v>
      </c>
      <c r="F22" s="1908">
        <f>C22-D22+E22</f>
        <v>112000</v>
      </c>
      <c r="G22" s="1415"/>
      <c r="Q22" s="1415"/>
      <c r="R22" s="1415"/>
      <c r="T22" s="1863" t="s">
        <v>83</v>
      </c>
      <c r="U22" s="50" t="s">
        <v>60</v>
      </c>
      <c r="V22" s="1877">
        <v>177900</v>
      </c>
      <c r="W22" s="1877"/>
      <c r="X22" s="1877"/>
      <c r="Y22" s="1883"/>
    </row>
    <row r="23" spans="1:25" ht="39.75" customHeight="1" x14ac:dyDescent="0.25">
      <c r="A23" s="1415"/>
      <c r="B23" s="1906"/>
      <c r="C23" s="1909"/>
      <c r="D23" s="1909"/>
      <c r="E23" s="1909"/>
      <c r="F23" s="1909"/>
      <c r="G23" s="1415"/>
      <c r="Q23" s="1415"/>
      <c r="R23" s="1415"/>
      <c r="T23" s="1864"/>
      <c r="U23" s="50" t="s">
        <v>61</v>
      </c>
      <c r="V23" s="1877">
        <v>179500</v>
      </c>
      <c r="W23" s="1877"/>
      <c r="X23" s="1877"/>
      <c r="Y23" s="1883"/>
    </row>
    <row r="24" spans="1:25" ht="48" customHeight="1" x14ac:dyDescent="0.25">
      <c r="A24" s="141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849" t="s">
        <v>47</v>
      </c>
      <c r="U24" s="51" t="s">
        <v>62</v>
      </c>
      <c r="V24" s="1879">
        <f>V14+V16+V17-V18-V19-V20-V22+V23-V21</f>
        <v>40009.695000000007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15612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15"/>
      <c r="J33" s="141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842" t="s">
        <v>488</v>
      </c>
      <c r="U3" s="1842"/>
      <c r="V3" s="1842"/>
      <c r="W3" s="1842"/>
      <c r="X3" s="1842"/>
      <c r="Y3" s="1842"/>
    </row>
    <row r="4" spans="1:25" s="142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21" customFormat="1" ht="25.5" customHeight="1" x14ac:dyDescent="0.25">
      <c r="A5" s="1843"/>
      <c r="B5" s="1843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914" t="s">
        <v>479</v>
      </c>
      <c r="R14" s="1915"/>
      <c r="S14" s="1425" t="s">
        <v>401</v>
      </c>
      <c r="T14" s="1849" t="s">
        <v>46</v>
      </c>
      <c r="U14" s="1419" t="s">
        <v>176</v>
      </c>
      <c r="V14" s="1874">
        <v>40010</v>
      </c>
      <c r="W14" s="1875"/>
      <c r="X14" s="1876"/>
    </row>
    <row r="15" spans="1:25" ht="22.5" customHeight="1" x14ac:dyDescent="0.25">
      <c r="A15" s="100" t="s">
        <v>38</v>
      </c>
      <c r="B15" s="1874">
        <v>281924</v>
      </c>
      <c r="C15" s="1876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874">
        <v>10</v>
      </c>
      <c r="R15" s="1876"/>
      <c r="S15" s="1419">
        <v>2</v>
      </c>
      <c r="T15" s="1849"/>
      <c r="U15" s="1419" t="s">
        <v>64</v>
      </c>
      <c r="V15" s="1877">
        <v>15612</v>
      </c>
      <c r="W15" s="1877"/>
      <c r="X15" s="1877"/>
    </row>
    <row r="16" spans="1:25" ht="24.75" customHeight="1" x14ac:dyDescent="0.25">
      <c r="A16" s="100" t="s">
        <v>39</v>
      </c>
      <c r="B16" s="1874">
        <v>109090</v>
      </c>
      <c r="C16" s="1876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877"/>
      <c r="R16" s="1877"/>
      <c r="S16" s="1422"/>
      <c r="T16" s="1871" t="s">
        <v>55</v>
      </c>
      <c r="U16" s="1871"/>
      <c r="V16" s="1878">
        <f>Y12</f>
        <v>150003.13500000001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855"/>
      <c r="R17" s="1855"/>
      <c r="S17" s="1418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108686</v>
      </c>
      <c r="C18" s="1876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877"/>
      <c r="R18" s="1877"/>
      <c r="S18" s="1419"/>
      <c r="T18" s="1871" t="s">
        <v>57</v>
      </c>
      <c r="U18" s="1871"/>
      <c r="V18" s="1877">
        <v>1800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282328</v>
      </c>
      <c r="C19" s="1876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874">
        <f t="shared" si="14"/>
        <v>10</v>
      </c>
      <c r="R19" s="1876"/>
      <c r="S19" s="1419">
        <f>S15+S16-S17-S18</f>
        <v>2</v>
      </c>
      <c r="T19" s="1869" t="s">
        <v>48</v>
      </c>
      <c r="U19" s="49" t="s">
        <v>58</v>
      </c>
      <c r="V19" s="1877">
        <v>112000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271740.7</v>
      </c>
      <c r="C20" s="1904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575187.96</v>
      </c>
      <c r="C21" s="1910"/>
      <c r="O21" s="1426"/>
      <c r="P21" s="1426"/>
      <c r="Q21" s="1426"/>
      <c r="R21" s="1426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112000</v>
      </c>
      <c r="D22" s="1908">
        <v>112000</v>
      </c>
      <c r="E22" s="1908">
        <v>105000</v>
      </c>
      <c r="F22" s="1908">
        <f>C22-D22+E22</f>
        <v>105000</v>
      </c>
      <c r="G22" s="1426"/>
      <c r="Q22" s="1426"/>
      <c r="R22" s="1426"/>
      <c r="T22" s="1863" t="s">
        <v>83</v>
      </c>
      <c r="U22" s="50" t="s">
        <v>60</v>
      </c>
      <c r="V22" s="1877">
        <v>148380</v>
      </c>
      <c r="W22" s="1877"/>
      <c r="X22" s="1877"/>
      <c r="Y22" s="1883"/>
    </row>
    <row r="23" spans="1:25" ht="39.75" customHeight="1" x14ac:dyDescent="0.25">
      <c r="A23" s="1426"/>
      <c r="B23" s="1906"/>
      <c r="C23" s="1909"/>
      <c r="D23" s="1909"/>
      <c r="E23" s="1909"/>
      <c r="F23" s="1909"/>
      <c r="G23" s="1426"/>
      <c r="Q23" s="1426"/>
      <c r="R23" s="1426"/>
      <c r="T23" s="1864"/>
      <c r="U23" s="50" t="s">
        <v>61</v>
      </c>
      <c r="V23" s="1877">
        <v>112000</v>
      </c>
      <c r="W23" s="1877"/>
      <c r="X23" s="1877"/>
      <c r="Y23" s="1883"/>
    </row>
    <row r="24" spans="1:25" ht="48" customHeight="1" x14ac:dyDescent="0.25">
      <c r="A24" s="142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849" t="s">
        <v>47</v>
      </c>
      <c r="U24" s="51" t="s">
        <v>62</v>
      </c>
      <c r="V24" s="1879">
        <f>V14+V16+V17-V18-V19-V20-V22+V23-V21</f>
        <v>39833.135000000009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51992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26"/>
      <c r="J33" s="1426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842" t="s">
        <v>489</v>
      </c>
      <c r="U3" s="1842"/>
      <c r="V3" s="1842"/>
      <c r="W3" s="1842"/>
      <c r="X3" s="1842"/>
      <c r="Y3" s="1842"/>
    </row>
    <row r="4" spans="1:25" s="142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27" customFormat="1" ht="25.5" customHeight="1" x14ac:dyDescent="0.25">
      <c r="A5" s="1843"/>
      <c r="B5" s="1843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914" t="s">
        <v>479</v>
      </c>
      <c r="R14" s="1915"/>
      <c r="S14" s="1436" t="s">
        <v>401</v>
      </c>
      <c r="T14" s="1849" t="s">
        <v>46</v>
      </c>
      <c r="U14" s="1428" t="s">
        <v>176</v>
      </c>
      <c r="V14" s="1874">
        <v>39833</v>
      </c>
      <c r="W14" s="1875"/>
      <c r="X14" s="1876"/>
    </row>
    <row r="15" spans="1:25" ht="22.5" customHeight="1" x14ac:dyDescent="0.25">
      <c r="A15" s="100" t="s">
        <v>38</v>
      </c>
      <c r="B15" s="1874">
        <v>282328</v>
      </c>
      <c r="C15" s="1876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874">
        <v>10</v>
      </c>
      <c r="R15" s="1876"/>
      <c r="S15" s="1428">
        <v>2</v>
      </c>
      <c r="T15" s="1849"/>
      <c r="U15" s="1428" t="s">
        <v>64</v>
      </c>
      <c r="V15" s="1877">
        <v>51992</v>
      </c>
      <c r="W15" s="1877"/>
      <c r="X15" s="1877"/>
    </row>
    <row r="16" spans="1:25" ht="24.75" customHeight="1" x14ac:dyDescent="0.25">
      <c r="A16" s="100" t="s">
        <v>39</v>
      </c>
      <c r="B16" s="1874">
        <v>236945</v>
      </c>
      <c r="C16" s="1876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877"/>
      <c r="R16" s="1877"/>
      <c r="S16" s="1433"/>
      <c r="T16" s="1871" t="s">
        <v>55</v>
      </c>
      <c r="U16" s="1871"/>
      <c r="V16" s="1878">
        <f>Y12</f>
        <v>163342.71250000002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855"/>
      <c r="R17" s="1855"/>
      <c r="S17" s="1430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136265</v>
      </c>
      <c r="C18" s="1876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877"/>
      <c r="R18" s="1877"/>
      <c r="S18" s="1428"/>
      <c r="T18" s="1871" t="s">
        <v>57</v>
      </c>
      <c r="U18" s="1871"/>
      <c r="V18" s="1877">
        <v>720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383008</v>
      </c>
      <c r="C19" s="1876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874">
        <f t="shared" si="14"/>
        <v>10</v>
      </c>
      <c r="R19" s="1876"/>
      <c r="S19" s="1428">
        <f>S15+S16-S17-S18</f>
        <v>2</v>
      </c>
      <c r="T19" s="1869" t="s">
        <v>48</v>
      </c>
      <c r="U19" s="49" t="s">
        <v>58</v>
      </c>
      <c r="V19" s="1877">
        <v>105000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368645.2</v>
      </c>
      <c r="C20" s="1904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125000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938522.72</v>
      </c>
      <c r="C21" s="1910"/>
      <c r="O21" s="1437"/>
      <c r="P21" s="1437"/>
      <c r="Q21" s="1437"/>
      <c r="R21" s="1437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105000</v>
      </c>
      <c r="D22" s="1908">
        <v>105000</v>
      </c>
      <c r="E22" s="1908">
        <v>400000</v>
      </c>
      <c r="F22" s="1908">
        <f>C22-D22+E22</f>
        <v>400000</v>
      </c>
      <c r="G22" s="1437"/>
      <c r="Q22" s="1437"/>
      <c r="R22" s="1437"/>
      <c r="T22" s="1863" t="s">
        <v>83</v>
      </c>
      <c r="U22" s="50" t="s">
        <v>60</v>
      </c>
      <c r="V22" s="1877">
        <v>188560</v>
      </c>
      <c r="W22" s="1877"/>
      <c r="X22" s="1877"/>
      <c r="Y22" s="1883"/>
    </row>
    <row r="23" spans="1:25" ht="39.75" customHeight="1" x14ac:dyDescent="0.25">
      <c r="A23" s="1437"/>
      <c r="B23" s="1906"/>
      <c r="C23" s="1909"/>
      <c r="D23" s="1909"/>
      <c r="E23" s="1909"/>
      <c r="F23" s="1909"/>
      <c r="G23" s="1437"/>
      <c r="Q23" s="1437"/>
      <c r="R23" s="1437"/>
      <c r="T23" s="1864"/>
      <c r="U23" s="50" t="s">
        <v>61</v>
      </c>
      <c r="V23" s="1877">
        <v>230000</v>
      </c>
      <c r="W23" s="1877"/>
      <c r="X23" s="1877"/>
      <c r="Y23" s="1883"/>
    </row>
    <row r="24" spans="1:25" ht="48" customHeight="1" x14ac:dyDescent="0.25">
      <c r="A24" s="143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849" t="s">
        <v>47</v>
      </c>
      <c r="U24" s="51" t="s">
        <v>62</v>
      </c>
      <c r="V24" s="1879">
        <f>V14+V16+V17-V18-V19-V20-V22+V23-V21</f>
        <v>13895.712500000023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10552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37"/>
      <c r="J33" s="1437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842" t="s">
        <v>490</v>
      </c>
      <c r="U3" s="1842"/>
      <c r="V3" s="1842"/>
      <c r="W3" s="1842"/>
      <c r="X3" s="1842"/>
      <c r="Y3" s="1842"/>
    </row>
    <row r="4" spans="1:25" s="144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43" customFormat="1" ht="25.5" customHeight="1" x14ac:dyDescent="0.25">
      <c r="A5" s="1843"/>
      <c r="B5" s="184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914" t="s">
        <v>479</v>
      </c>
      <c r="R14" s="1915"/>
      <c r="S14" s="1447" t="s">
        <v>401</v>
      </c>
      <c r="T14" s="1849" t="s">
        <v>46</v>
      </c>
      <c r="U14" s="1441" t="s">
        <v>176</v>
      </c>
      <c r="V14" s="1874">
        <v>13896</v>
      </c>
      <c r="W14" s="1875"/>
      <c r="X14" s="1876"/>
    </row>
    <row r="15" spans="1:25" ht="22.5" customHeight="1" x14ac:dyDescent="0.25">
      <c r="A15" s="100" t="s">
        <v>38</v>
      </c>
      <c r="B15" s="1874">
        <v>383008</v>
      </c>
      <c r="C15" s="1876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874">
        <v>10</v>
      </c>
      <c r="R15" s="1876"/>
      <c r="S15" s="1441">
        <v>2</v>
      </c>
      <c r="T15" s="1849"/>
      <c r="U15" s="1441" t="s">
        <v>64</v>
      </c>
      <c r="V15" s="1877">
        <v>10552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877"/>
      <c r="R16" s="1877"/>
      <c r="S16" s="1444"/>
      <c r="T16" s="1871" t="s">
        <v>55</v>
      </c>
      <c r="U16" s="1871"/>
      <c r="V16" s="1878">
        <f>Y12</f>
        <v>165569.82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855"/>
      <c r="R17" s="1855"/>
      <c r="S17" s="1440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100952</v>
      </c>
      <c r="C18" s="1876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877"/>
      <c r="R18" s="1877"/>
      <c r="S18" s="1441"/>
      <c r="T18" s="1871" t="s">
        <v>57</v>
      </c>
      <c r="U18" s="1871"/>
      <c r="V18" s="1877">
        <v>770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282056</v>
      </c>
      <c r="C19" s="1876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874">
        <f t="shared" si="14"/>
        <v>10</v>
      </c>
      <c r="R19" s="1876"/>
      <c r="S19" s="1441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271478.90000000002</v>
      </c>
      <c r="C20" s="1904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774758.67599999998</v>
      </c>
      <c r="C21" s="1910"/>
      <c r="O21" s="1448"/>
      <c r="P21" s="1448"/>
      <c r="Q21" s="1448"/>
      <c r="R21" s="1448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448"/>
      <c r="Q22" s="1448"/>
      <c r="R22" s="1448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448"/>
      <c r="B23" s="1906"/>
      <c r="C23" s="1909"/>
      <c r="D23" s="1909"/>
      <c r="E23" s="1909"/>
      <c r="F23" s="1909"/>
      <c r="G23" s="1448"/>
      <c r="Q23" s="1448"/>
      <c r="R23" s="1448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44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849" t="s">
        <v>47</v>
      </c>
      <c r="U24" s="51" t="s">
        <v>62</v>
      </c>
      <c r="V24" s="1879">
        <f>V14+V16+V17-V18-V19-V20-V22+V23-V21</f>
        <v>178695.82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10552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48"/>
      <c r="J33" s="144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842" t="s">
        <v>491</v>
      </c>
      <c r="U3" s="1842"/>
      <c r="V3" s="1842"/>
      <c r="W3" s="1842"/>
      <c r="X3" s="1842"/>
      <c r="Y3" s="1842"/>
    </row>
    <row r="4" spans="1:25" s="144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43" customFormat="1" ht="25.5" customHeight="1" x14ac:dyDescent="0.25">
      <c r="A5" s="1843"/>
      <c r="B5" s="184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914" t="s">
        <v>479</v>
      </c>
      <c r="R14" s="1915"/>
      <c r="S14" s="1447" t="s">
        <v>401</v>
      </c>
      <c r="T14" s="1849" t="s">
        <v>46</v>
      </c>
      <c r="U14" s="1441" t="s">
        <v>176</v>
      </c>
      <c r="V14" s="1874">
        <v>178696</v>
      </c>
      <c r="W14" s="1875"/>
      <c r="X14" s="1876"/>
    </row>
    <row r="15" spans="1:25" ht="22.5" customHeight="1" x14ac:dyDescent="0.25">
      <c r="A15" s="100" t="s">
        <v>38</v>
      </c>
      <c r="B15" s="1874">
        <v>282056</v>
      </c>
      <c r="C15" s="1876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874">
        <v>10</v>
      </c>
      <c r="R15" s="1876"/>
      <c r="S15" s="1441">
        <v>2</v>
      </c>
      <c r="T15" s="1849"/>
      <c r="U15" s="1441" t="s">
        <v>64</v>
      </c>
      <c r="V15" s="1877">
        <v>10552</v>
      </c>
      <c r="W15" s="1877"/>
      <c r="X15" s="1877"/>
    </row>
    <row r="16" spans="1:25" ht="24.75" customHeight="1" x14ac:dyDescent="0.25">
      <c r="A16" s="100" t="s">
        <v>39</v>
      </c>
      <c r="B16" s="1874">
        <v>209911</v>
      </c>
      <c r="C16" s="1876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877"/>
      <c r="R16" s="1877"/>
      <c r="S16" s="1444"/>
      <c r="T16" s="1871" t="s">
        <v>55</v>
      </c>
      <c r="U16" s="1871"/>
      <c r="V16" s="1878">
        <f>Y12</f>
        <v>286333.91500000004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855"/>
      <c r="R17" s="1855"/>
      <c r="S17" s="1440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113046</v>
      </c>
      <c r="C18" s="1876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877"/>
      <c r="R18" s="1877"/>
      <c r="S18" s="1441"/>
      <c r="T18" s="1871" t="s">
        <v>57</v>
      </c>
      <c r="U18" s="1871"/>
      <c r="V18" s="1877">
        <v>15070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378921</v>
      </c>
      <c r="C19" s="1876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874">
        <f t="shared" si="14"/>
        <v>10</v>
      </c>
      <c r="R19" s="1876"/>
      <c r="S19" s="1441">
        <f>S15+S16-S17-S18</f>
        <v>2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364711.46250000002</v>
      </c>
      <c r="C20" s="1904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891345.66650000005</v>
      </c>
      <c r="C21" s="1910"/>
      <c r="O21" s="1448"/>
      <c r="P21" s="1448"/>
      <c r="Q21" s="1448"/>
      <c r="R21" s="1448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400000</v>
      </c>
      <c r="F22" s="1908">
        <f>C22-D22+E22</f>
        <v>400000</v>
      </c>
      <c r="G22" s="1448"/>
      <c r="Q22" s="1448"/>
      <c r="R22" s="1448"/>
      <c r="T22" s="1863" t="s">
        <v>83</v>
      </c>
      <c r="U22" s="50" t="s">
        <v>60</v>
      </c>
      <c r="V22" s="1877">
        <v>416470</v>
      </c>
      <c r="W22" s="1877"/>
      <c r="X22" s="1877"/>
      <c r="Y22" s="1883"/>
    </row>
    <row r="23" spans="1:25" ht="39.75" customHeight="1" x14ac:dyDescent="0.25">
      <c r="A23" s="1448"/>
      <c r="B23" s="1906"/>
      <c r="C23" s="1909"/>
      <c r="D23" s="1909"/>
      <c r="E23" s="1909"/>
      <c r="F23" s="1909"/>
      <c r="G23" s="1448"/>
      <c r="Q23" s="1448"/>
      <c r="R23" s="1448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144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849" t="s">
        <v>47</v>
      </c>
      <c r="U24" s="51" t="s">
        <v>62</v>
      </c>
      <c r="V24" s="1879">
        <f>V14+V16+V17-V18-V19-V20-V22+V23-V21</f>
        <v>33489.915000000037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27022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48"/>
      <c r="J33" s="144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842" t="s">
        <v>492</v>
      </c>
      <c r="U3" s="1842"/>
      <c r="V3" s="1842"/>
      <c r="W3" s="1842"/>
      <c r="X3" s="1842"/>
      <c r="Y3" s="1842"/>
    </row>
    <row r="4" spans="1:25" s="144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43" customFormat="1" ht="25.5" customHeight="1" x14ac:dyDescent="0.25">
      <c r="A5" s="1843"/>
      <c r="B5" s="1843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914" t="s">
        <v>479</v>
      </c>
      <c r="R14" s="1915"/>
      <c r="S14" s="1447" t="s">
        <v>401</v>
      </c>
      <c r="T14" s="1849" t="s">
        <v>46</v>
      </c>
      <c r="U14" s="1441" t="s">
        <v>176</v>
      </c>
      <c r="V14" s="1874">
        <v>33490</v>
      </c>
      <c r="W14" s="1875"/>
      <c r="X14" s="1876"/>
    </row>
    <row r="15" spans="1:25" ht="22.5" customHeight="1" x14ac:dyDescent="0.25">
      <c r="A15" s="100" t="s">
        <v>38</v>
      </c>
      <c r="B15" s="1874">
        <v>378921</v>
      </c>
      <c r="C15" s="1876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874">
        <v>10</v>
      </c>
      <c r="R15" s="1876"/>
      <c r="S15" s="1441">
        <v>2</v>
      </c>
      <c r="T15" s="1849"/>
      <c r="U15" s="1441" t="s">
        <v>64</v>
      </c>
      <c r="V15" s="1877">
        <v>27022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877"/>
      <c r="R16" s="1877"/>
      <c r="S16" s="1444"/>
      <c r="T16" s="1871" t="s">
        <v>55</v>
      </c>
      <c r="U16" s="1871"/>
      <c r="V16" s="1878">
        <f>Y12</f>
        <v>138150.80499999999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855"/>
      <c r="R17" s="1855"/>
      <c r="S17" s="1440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86698</v>
      </c>
      <c r="C18" s="1876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877"/>
      <c r="R18" s="1877"/>
      <c r="S18" s="1441"/>
      <c r="T18" s="1871" t="s">
        <v>57</v>
      </c>
      <c r="U18" s="1871"/>
      <c r="V18" s="1877">
        <v>1170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292223</v>
      </c>
      <c r="C19" s="1876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874">
        <f t="shared" si="14"/>
        <v>10</v>
      </c>
      <c r="R19" s="1876"/>
      <c r="S19" s="1441">
        <f>S15+S16-S17-S18</f>
        <v>2</v>
      </c>
      <c r="T19" s="1869" t="s">
        <v>48</v>
      </c>
      <c r="U19" s="49" t="s">
        <v>58</v>
      </c>
      <c r="V19" s="1877">
        <v>155000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281264.63750000001</v>
      </c>
      <c r="C20" s="1904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754603.90950000007</v>
      </c>
      <c r="C21" s="1910"/>
      <c r="O21" s="1448"/>
      <c r="P21" s="1448"/>
      <c r="Q21" s="1448"/>
      <c r="R21" s="1448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155000</v>
      </c>
      <c r="E22" s="1908"/>
      <c r="F22" s="1908">
        <f>C22-D22+E22</f>
        <v>245000</v>
      </c>
      <c r="G22" s="1448"/>
      <c r="Q22" s="1448"/>
      <c r="R22" s="1448"/>
      <c r="T22" s="1863" t="s">
        <v>83</v>
      </c>
      <c r="U22" s="50" t="s">
        <v>60</v>
      </c>
      <c r="V22" s="1877">
        <v>138030</v>
      </c>
      <c r="W22" s="1877"/>
      <c r="X22" s="1877"/>
      <c r="Y22" s="1883"/>
    </row>
    <row r="23" spans="1:25" ht="39.75" customHeight="1" x14ac:dyDescent="0.25">
      <c r="A23" s="1448"/>
      <c r="B23" s="1906"/>
      <c r="C23" s="1909"/>
      <c r="D23" s="1909"/>
      <c r="E23" s="1909"/>
      <c r="F23" s="1909"/>
      <c r="G23" s="1448"/>
      <c r="Q23" s="1448"/>
      <c r="R23" s="1448"/>
      <c r="T23" s="1864"/>
      <c r="U23" s="50" t="s">
        <v>61</v>
      </c>
      <c r="V23" s="1877">
        <v>155000</v>
      </c>
      <c r="W23" s="1877"/>
      <c r="X23" s="1877"/>
      <c r="Y23" s="1883"/>
    </row>
    <row r="24" spans="1:25" ht="48" customHeight="1" x14ac:dyDescent="0.25">
      <c r="A24" s="144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849" t="s">
        <v>47</v>
      </c>
      <c r="U24" s="51" t="s">
        <v>62</v>
      </c>
      <c r="V24" s="1879">
        <f>V14+V16+V17-V18-V19-V20-V22+V23-V21</f>
        <v>32440.804999999993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10052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48"/>
      <c r="J33" s="144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842" t="s">
        <v>493</v>
      </c>
      <c r="U3" s="1842"/>
      <c r="V3" s="1842"/>
      <c r="W3" s="1842"/>
      <c r="X3" s="1842"/>
      <c r="Y3" s="1842"/>
    </row>
    <row r="4" spans="1:25" s="144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49" customFormat="1" ht="25.5" customHeight="1" x14ac:dyDescent="0.25">
      <c r="A5" s="1843"/>
      <c r="B5" s="184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914" t="s">
        <v>479</v>
      </c>
      <c r="R14" s="1915"/>
      <c r="S14" s="1458" t="s">
        <v>401</v>
      </c>
      <c r="T14" s="1849" t="s">
        <v>46</v>
      </c>
      <c r="U14" s="1450" t="s">
        <v>176</v>
      </c>
      <c r="V14" s="1874">
        <v>32441</v>
      </c>
      <c r="W14" s="1875"/>
      <c r="X14" s="1876"/>
    </row>
    <row r="15" spans="1:25" ht="22.5" customHeight="1" x14ac:dyDescent="0.25">
      <c r="A15" s="100" t="s">
        <v>38</v>
      </c>
      <c r="B15" s="1874">
        <v>292223</v>
      </c>
      <c r="C15" s="1876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874">
        <v>10</v>
      </c>
      <c r="R15" s="1876"/>
      <c r="S15" s="1450">
        <v>2</v>
      </c>
      <c r="T15" s="1849"/>
      <c r="U15" s="1450" t="s">
        <v>64</v>
      </c>
      <c r="V15" s="1877">
        <v>10052</v>
      </c>
      <c r="W15" s="1877"/>
      <c r="X15" s="1877"/>
    </row>
    <row r="16" spans="1:25" ht="24.75" customHeight="1" x14ac:dyDescent="0.25">
      <c r="A16" s="100" t="s">
        <v>39</v>
      </c>
      <c r="B16" s="1874">
        <v>93506</v>
      </c>
      <c r="C16" s="1876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877"/>
      <c r="R16" s="1877"/>
      <c r="S16" s="1455"/>
      <c r="T16" s="1871" t="s">
        <v>55</v>
      </c>
      <c r="U16" s="1871"/>
      <c r="V16" s="1878">
        <f>Y12</f>
        <v>217360.33000000002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855"/>
      <c r="R17" s="1855"/>
      <c r="S17" s="1452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106788</v>
      </c>
      <c r="C18" s="1876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877"/>
      <c r="R18" s="1877"/>
      <c r="S18" s="1450"/>
      <c r="T18" s="1871" t="s">
        <v>57</v>
      </c>
      <c r="U18" s="1871"/>
      <c r="V18" s="1877">
        <v>1020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278941</v>
      </c>
      <c r="C19" s="1876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874">
        <f t="shared" si="14"/>
        <v>10</v>
      </c>
      <c r="R19" s="1876"/>
      <c r="S19" s="1450">
        <f>S15+S16-S17-S18</f>
        <v>2</v>
      </c>
      <c r="T19" s="1869" t="s">
        <v>48</v>
      </c>
      <c r="U19" s="49" t="s">
        <v>58</v>
      </c>
      <c r="V19" s="1877">
        <v>245000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268480.71250000002</v>
      </c>
      <c r="C20" s="1904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721022.04450000008</v>
      </c>
      <c r="C21" s="1910"/>
      <c r="O21" s="1459"/>
      <c r="P21" s="1459"/>
      <c r="Q21" s="1459"/>
      <c r="R21" s="1459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245000</v>
      </c>
      <c r="D22" s="1908">
        <v>245000</v>
      </c>
      <c r="E22" s="1908">
        <v>181550</v>
      </c>
      <c r="F22" s="1908">
        <f>C22-D22+E22</f>
        <v>181550</v>
      </c>
      <c r="G22" s="1459"/>
      <c r="Q22" s="1459"/>
      <c r="R22" s="1459"/>
      <c r="T22" s="1863" t="s">
        <v>83</v>
      </c>
      <c r="U22" s="50" t="s">
        <v>60</v>
      </c>
      <c r="V22" s="1877">
        <v>241310</v>
      </c>
      <c r="W22" s="1877"/>
      <c r="X22" s="1877"/>
      <c r="Y22" s="1883"/>
    </row>
    <row r="23" spans="1:25" ht="39.75" customHeight="1" x14ac:dyDescent="0.25">
      <c r="A23" s="1459"/>
      <c r="B23" s="1906"/>
      <c r="C23" s="1909"/>
      <c r="D23" s="1909"/>
      <c r="E23" s="1909"/>
      <c r="F23" s="1909"/>
      <c r="G23" s="1459"/>
      <c r="Q23" s="1459"/>
      <c r="R23" s="1459"/>
      <c r="T23" s="1864"/>
      <c r="U23" s="50" t="s">
        <v>61</v>
      </c>
      <c r="V23" s="1877">
        <v>245000</v>
      </c>
      <c r="W23" s="1877"/>
      <c r="X23" s="1877"/>
      <c r="Y23" s="1883"/>
    </row>
    <row r="24" spans="1:25" ht="48" customHeight="1" x14ac:dyDescent="0.25">
      <c r="A24" s="145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849" t="s">
        <v>47</v>
      </c>
      <c r="U24" s="51" t="s">
        <v>62</v>
      </c>
      <c r="V24" s="1879">
        <f>V14+V16+V17-V18-V19-V20-V22+V23-V21</f>
        <v>7471.3300000000163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6362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59"/>
      <c r="J33" s="1459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842" t="s">
        <v>494</v>
      </c>
      <c r="U3" s="1842"/>
      <c r="V3" s="1842"/>
      <c r="W3" s="1842"/>
      <c r="X3" s="1842"/>
      <c r="Y3" s="1842"/>
    </row>
    <row r="4" spans="1:25" s="144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49" customFormat="1" ht="25.5" customHeight="1" x14ac:dyDescent="0.25">
      <c r="A5" s="1843"/>
      <c r="B5" s="1843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914" t="s">
        <v>479</v>
      </c>
      <c r="R14" s="1915"/>
      <c r="S14" s="1458" t="s">
        <v>401</v>
      </c>
      <c r="T14" s="1849" t="s">
        <v>46</v>
      </c>
      <c r="U14" s="1450" t="s">
        <v>176</v>
      </c>
      <c r="V14" s="1874">
        <v>7471</v>
      </c>
      <c r="W14" s="1875"/>
      <c r="X14" s="1876"/>
    </row>
    <row r="15" spans="1:25" ht="22.5" customHeight="1" x14ac:dyDescent="0.25">
      <c r="A15" s="100" t="s">
        <v>38</v>
      </c>
      <c r="B15" s="1874">
        <v>278941</v>
      </c>
      <c r="C15" s="1876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874">
        <v>10</v>
      </c>
      <c r="R15" s="1876"/>
      <c r="S15" s="1450">
        <v>2</v>
      </c>
      <c r="T15" s="1849"/>
      <c r="U15" s="1450" t="s">
        <v>64</v>
      </c>
      <c r="V15" s="1877">
        <v>6362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877"/>
      <c r="R16" s="1877"/>
      <c r="S16" s="1455"/>
      <c r="T16" s="1871" t="s">
        <v>55</v>
      </c>
      <c r="U16" s="1871"/>
      <c r="V16" s="1878">
        <f>Y12</f>
        <v>183938.63500000001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855"/>
      <c r="R17" s="1855"/>
      <c r="S17" s="1452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107286</v>
      </c>
      <c r="C18" s="1876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877"/>
      <c r="R18" s="1877"/>
      <c r="S18" s="1450"/>
      <c r="T18" s="1871" t="s">
        <v>57</v>
      </c>
      <c r="U18" s="1871"/>
      <c r="V18" s="1877">
        <v>1150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171655</v>
      </c>
      <c r="C19" s="1876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874">
        <f t="shared" si="14"/>
        <v>10</v>
      </c>
      <c r="R19" s="1876"/>
      <c r="S19" s="1450">
        <f>S15+S16-S17-S18</f>
        <v>2</v>
      </c>
      <c r="T19" s="1869" t="s">
        <v>48</v>
      </c>
      <c r="U19" s="49" t="s">
        <v>58</v>
      </c>
      <c r="V19" s="1877">
        <v>181550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165217.9375</v>
      </c>
      <c r="C20" s="1904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648819.62549999997</v>
      </c>
      <c r="C21" s="1910"/>
      <c r="O21" s="1459"/>
      <c r="P21" s="1459"/>
      <c r="Q21" s="1459"/>
      <c r="R21" s="1459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181550</v>
      </c>
      <c r="D22" s="1908">
        <v>181550</v>
      </c>
      <c r="E22" s="1908">
        <v>109860</v>
      </c>
      <c r="F22" s="1908">
        <f>C22-D22+E22</f>
        <v>109860</v>
      </c>
      <c r="G22" s="1459"/>
      <c r="Q22" s="1459"/>
      <c r="R22" s="1459"/>
      <c r="T22" s="1863" t="s">
        <v>83</v>
      </c>
      <c r="U22" s="50" t="s">
        <v>60</v>
      </c>
      <c r="V22" s="1877">
        <v>186650</v>
      </c>
      <c r="W22" s="1877"/>
      <c r="X22" s="1877"/>
      <c r="Y22" s="1883"/>
    </row>
    <row r="23" spans="1:25" ht="39.75" customHeight="1" x14ac:dyDescent="0.25">
      <c r="A23" s="1459"/>
      <c r="B23" s="1906"/>
      <c r="C23" s="1909"/>
      <c r="D23" s="1909"/>
      <c r="E23" s="1909"/>
      <c r="F23" s="1909"/>
      <c r="G23" s="1459"/>
      <c r="Q23" s="1459"/>
      <c r="R23" s="1459"/>
      <c r="T23" s="1864"/>
      <c r="U23" s="50" t="s">
        <v>61</v>
      </c>
      <c r="V23" s="1877">
        <v>181550</v>
      </c>
      <c r="W23" s="1877"/>
      <c r="X23" s="1877"/>
      <c r="Y23" s="1883"/>
    </row>
    <row r="24" spans="1:25" ht="48" customHeight="1" x14ac:dyDescent="0.25">
      <c r="A24" s="145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849" t="s">
        <v>47</v>
      </c>
      <c r="U24" s="51" t="s">
        <v>62</v>
      </c>
      <c r="V24" s="1879">
        <f>V14+V16+V17-V18-V19-V20-V22+V23-V21</f>
        <v>3609.6350000000093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11462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59"/>
      <c r="J33" s="1459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842" t="s">
        <v>495</v>
      </c>
      <c r="U3" s="1842"/>
      <c r="V3" s="1842"/>
      <c r="W3" s="1842"/>
      <c r="X3" s="1842"/>
      <c r="Y3" s="1842"/>
    </row>
    <row r="4" spans="1:25" s="1460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60" customFormat="1" ht="25.5" customHeight="1" x14ac:dyDescent="0.25">
      <c r="A5" s="1843"/>
      <c r="B5" s="1843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914" t="s">
        <v>479</v>
      </c>
      <c r="R14" s="1915"/>
      <c r="S14" s="1469" t="s">
        <v>401</v>
      </c>
      <c r="T14" s="1849" t="s">
        <v>46</v>
      </c>
      <c r="U14" s="1461" t="s">
        <v>176</v>
      </c>
      <c r="V14" s="1874">
        <v>3610</v>
      </c>
      <c r="W14" s="1875"/>
      <c r="X14" s="1876"/>
    </row>
    <row r="15" spans="1:25" ht="22.5" customHeight="1" x14ac:dyDescent="0.25">
      <c r="A15" s="100" t="s">
        <v>38</v>
      </c>
      <c r="B15" s="1874">
        <v>171655</v>
      </c>
      <c r="C15" s="1876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874">
        <v>10</v>
      </c>
      <c r="R15" s="1876"/>
      <c r="S15" s="1461">
        <v>2</v>
      </c>
      <c r="T15" s="1849"/>
      <c r="U15" s="1461" t="s">
        <v>64</v>
      </c>
      <c r="V15" s="1877">
        <v>11462</v>
      </c>
      <c r="W15" s="1877"/>
      <c r="X15" s="1877"/>
    </row>
    <row r="16" spans="1:25" ht="24.75" customHeight="1" x14ac:dyDescent="0.25">
      <c r="A16" s="100" t="s">
        <v>39</v>
      </c>
      <c r="B16" s="1874">
        <v>415584</v>
      </c>
      <c r="C16" s="1876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877"/>
      <c r="R16" s="1877"/>
      <c r="S16" s="1466"/>
      <c r="T16" s="1871" t="s">
        <v>55</v>
      </c>
      <c r="U16" s="1871"/>
      <c r="V16" s="1878">
        <f>Y12</f>
        <v>141721.54500000001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855"/>
      <c r="R17" s="1855"/>
      <c r="S17" s="1463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114162</v>
      </c>
      <c r="C18" s="1876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877"/>
      <c r="R18" s="1877"/>
      <c r="S18" s="1461"/>
      <c r="T18" s="1871" t="s">
        <v>57</v>
      </c>
      <c r="U18" s="1871"/>
      <c r="V18" s="1877">
        <v>1020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473077</v>
      </c>
      <c r="C19" s="1876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874">
        <f t="shared" si="14"/>
        <v>10</v>
      </c>
      <c r="R19" s="1876"/>
      <c r="S19" s="1461">
        <f>S15+S16-S17-S18</f>
        <v>2</v>
      </c>
      <c r="T19" s="1869" t="s">
        <v>48</v>
      </c>
      <c r="U19" s="49" t="s">
        <v>58</v>
      </c>
      <c r="V19" s="1877">
        <v>109860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455336.61249999999</v>
      </c>
      <c r="C20" s="1904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908334.3004999999</v>
      </c>
      <c r="C21" s="1910"/>
      <c r="O21" s="1470"/>
      <c r="P21" s="1470"/>
      <c r="Q21" s="1470"/>
      <c r="R21" s="1470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109860</v>
      </c>
      <c r="D22" s="1908">
        <v>109860</v>
      </c>
      <c r="E22" s="1908">
        <v>400000</v>
      </c>
      <c r="F22" s="1908">
        <f>C22-D22+E22</f>
        <v>400000</v>
      </c>
      <c r="G22" s="1470"/>
      <c r="Q22" s="1470"/>
      <c r="R22" s="1470"/>
      <c r="T22" s="1863" t="s">
        <v>83</v>
      </c>
      <c r="U22" s="50" t="s">
        <v>60</v>
      </c>
      <c r="V22" s="1877">
        <v>122340</v>
      </c>
      <c r="W22" s="1877"/>
      <c r="X22" s="1877"/>
      <c r="Y22" s="1883"/>
    </row>
    <row r="23" spans="1:25" ht="39.75" customHeight="1" x14ac:dyDescent="0.25">
      <c r="A23" s="1470"/>
      <c r="B23" s="1906"/>
      <c r="C23" s="1909"/>
      <c r="D23" s="1909"/>
      <c r="E23" s="1909"/>
      <c r="F23" s="1909"/>
      <c r="G23" s="1470"/>
      <c r="Q23" s="1470"/>
      <c r="R23" s="1470"/>
      <c r="T23" s="1864"/>
      <c r="U23" s="50" t="s">
        <v>61</v>
      </c>
      <c r="V23" s="1877">
        <v>109860</v>
      </c>
      <c r="W23" s="1877"/>
      <c r="X23" s="1877"/>
      <c r="Y23" s="1883"/>
    </row>
    <row r="24" spans="1:25" ht="48" customHeight="1" x14ac:dyDescent="0.25">
      <c r="A24" s="147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849" t="s">
        <v>47</v>
      </c>
      <c r="U24" s="51" t="s">
        <v>62</v>
      </c>
      <c r="V24" s="1879">
        <f>V14+V16+V17-V18-V19-V20-V22+V23-V21</f>
        <v>21971.545000000013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23942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70"/>
      <c r="J33" s="1470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842" t="s">
        <v>496</v>
      </c>
      <c r="U3" s="1842"/>
      <c r="V3" s="1842"/>
      <c r="W3" s="1842"/>
      <c r="X3" s="1842"/>
      <c r="Y3" s="1842"/>
    </row>
    <row r="4" spans="1:25" s="147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76" customFormat="1" ht="25.5" customHeight="1" x14ac:dyDescent="0.25">
      <c r="A5" s="1843"/>
      <c r="B5" s="184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914" t="s">
        <v>479</v>
      </c>
      <c r="R14" s="1915"/>
      <c r="S14" s="1480" t="s">
        <v>401</v>
      </c>
      <c r="T14" s="1849" t="s">
        <v>46</v>
      </c>
      <c r="U14" s="1474" t="s">
        <v>176</v>
      </c>
      <c r="V14" s="1874">
        <v>21972</v>
      </c>
      <c r="W14" s="1875"/>
      <c r="X14" s="1876"/>
    </row>
    <row r="15" spans="1:25" ht="22.5" customHeight="1" x14ac:dyDescent="0.25">
      <c r="A15" s="100" t="s">
        <v>38</v>
      </c>
      <c r="B15" s="1874">
        <v>473077</v>
      </c>
      <c r="C15" s="1876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874">
        <v>10</v>
      </c>
      <c r="R15" s="1876"/>
      <c r="S15" s="1474">
        <v>2</v>
      </c>
      <c r="T15" s="1849"/>
      <c r="U15" s="1474" t="s">
        <v>64</v>
      </c>
      <c r="V15" s="1877">
        <v>23942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877"/>
      <c r="R16" s="1877"/>
      <c r="S16" s="1477"/>
      <c r="T16" s="1871" t="s">
        <v>55</v>
      </c>
      <c r="U16" s="1871"/>
      <c r="V16" s="1878">
        <f>Y12</f>
        <v>238310.24250000002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855"/>
      <c r="R17" s="1855"/>
      <c r="S17" s="1473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196973</v>
      </c>
      <c r="C18" s="1876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877"/>
      <c r="R18" s="1877"/>
      <c r="S18" s="1474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276104</v>
      </c>
      <c r="C19" s="1876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874">
        <f t="shared" si="14"/>
        <v>10</v>
      </c>
      <c r="R19" s="1876"/>
      <c r="S19" s="1474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265750.10000000003</v>
      </c>
      <c r="C20" s="1904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672487.03600000008</v>
      </c>
      <c r="C21" s="1910"/>
      <c r="O21" s="1481"/>
      <c r="P21" s="1481"/>
      <c r="Q21" s="1481"/>
      <c r="R21" s="1481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481"/>
      <c r="Q22" s="1481"/>
      <c r="R22" s="1481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481"/>
      <c r="B23" s="1906"/>
      <c r="C23" s="1909"/>
      <c r="D23" s="1909"/>
      <c r="E23" s="1909"/>
      <c r="F23" s="1909"/>
      <c r="G23" s="1481"/>
      <c r="Q23" s="1481"/>
      <c r="R23" s="1481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48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849" t="s">
        <v>47</v>
      </c>
      <c r="U24" s="51" t="s">
        <v>62</v>
      </c>
      <c r="V24" s="1879">
        <f>V14+V16+V17-V18-V19-V20-V22+V23-V21</f>
        <v>259662.24250000002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23942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81"/>
      <c r="J33" s="148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842" t="s">
        <v>497</v>
      </c>
      <c r="U3" s="1842"/>
      <c r="V3" s="1842"/>
      <c r="W3" s="1842"/>
      <c r="X3" s="1842"/>
      <c r="Y3" s="1842"/>
    </row>
    <row r="4" spans="1:25" s="147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76" customFormat="1" ht="25.5" customHeight="1" x14ac:dyDescent="0.25">
      <c r="A5" s="1843"/>
      <c r="B5" s="1843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914" t="s">
        <v>479</v>
      </c>
      <c r="R14" s="1915"/>
      <c r="S14" s="1480" t="s">
        <v>401</v>
      </c>
      <c r="T14" s="1849" t="s">
        <v>46</v>
      </c>
      <c r="U14" s="1474" t="s">
        <v>176</v>
      </c>
      <c r="V14" s="1874">
        <v>259662</v>
      </c>
      <c r="W14" s="1875"/>
      <c r="X14" s="1876"/>
    </row>
    <row r="15" spans="1:25" ht="22.5" customHeight="1" x14ac:dyDescent="0.25">
      <c r="A15" s="100" t="s">
        <v>38</v>
      </c>
      <c r="B15" s="1874">
        <v>276104</v>
      </c>
      <c r="C15" s="1876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874">
        <v>10</v>
      </c>
      <c r="R15" s="1876"/>
      <c r="S15" s="1474">
        <v>2</v>
      </c>
      <c r="T15" s="1849"/>
      <c r="U15" s="1474" t="s">
        <v>64</v>
      </c>
      <c r="V15" s="1877">
        <v>23942</v>
      </c>
      <c r="W15" s="1877"/>
      <c r="X15" s="1877"/>
    </row>
    <row r="16" spans="1:25" ht="24.75" customHeight="1" x14ac:dyDescent="0.25">
      <c r="A16" s="100" t="s">
        <v>39</v>
      </c>
      <c r="B16" s="1874">
        <v>160000</v>
      </c>
      <c r="C16" s="1876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877"/>
      <c r="R16" s="1877"/>
      <c r="S16" s="1477"/>
      <c r="T16" s="1871" t="s">
        <v>55</v>
      </c>
      <c r="U16" s="1871"/>
      <c r="V16" s="1878">
        <f>Y12</f>
        <v>149596.94750000001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855"/>
      <c r="R17" s="1855"/>
      <c r="S17" s="1473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140511</v>
      </c>
      <c r="C18" s="1876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877"/>
      <c r="R18" s="1877"/>
      <c r="S18" s="1474"/>
      <c r="T18" s="1871" t="s">
        <v>57</v>
      </c>
      <c r="U18" s="1871"/>
      <c r="V18" s="1877">
        <v>10770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295593</v>
      </c>
      <c r="C19" s="1876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874">
        <f t="shared" si="14"/>
        <v>10</v>
      </c>
      <c r="R19" s="1876"/>
      <c r="S19" s="1474">
        <f>S15+S16-S17-S18</f>
        <v>2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284508.26250000001</v>
      </c>
      <c r="C20" s="1904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678428.19849999994</v>
      </c>
      <c r="C21" s="1910"/>
      <c r="O21" s="1481"/>
      <c r="P21" s="1481"/>
      <c r="Q21" s="1481"/>
      <c r="R21" s="1481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154000</v>
      </c>
      <c r="F22" s="1908">
        <f>C22-D22+E22</f>
        <v>154000</v>
      </c>
      <c r="G22" s="1481"/>
      <c r="Q22" s="1481"/>
      <c r="R22" s="1481"/>
      <c r="T22" s="1863" t="s">
        <v>83</v>
      </c>
      <c r="U22" s="50" t="s">
        <v>60</v>
      </c>
      <c r="V22" s="1877">
        <v>391980</v>
      </c>
      <c r="W22" s="1877"/>
      <c r="X22" s="1877"/>
      <c r="Y22" s="1883"/>
    </row>
    <row r="23" spans="1:25" ht="39.75" customHeight="1" x14ac:dyDescent="0.25">
      <c r="A23" s="1481"/>
      <c r="B23" s="1906"/>
      <c r="C23" s="1909"/>
      <c r="D23" s="1909"/>
      <c r="E23" s="1909"/>
      <c r="F23" s="1909"/>
      <c r="G23" s="1481"/>
      <c r="Q23" s="1481"/>
      <c r="R23" s="1481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148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849" t="s">
        <v>47</v>
      </c>
      <c r="U24" s="51" t="s">
        <v>62</v>
      </c>
      <c r="V24" s="1879">
        <f>V14+V16+V17-V18-V19-V20-V22+V23-V21</f>
        <v>6508.9475000000093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15922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81"/>
      <c r="J33" s="1481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842" t="s">
        <v>498</v>
      </c>
      <c r="U3" s="1842"/>
      <c r="V3" s="1842"/>
      <c r="W3" s="1842"/>
      <c r="X3" s="1842"/>
      <c r="Y3" s="1842"/>
    </row>
    <row r="4" spans="1:25" s="148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82" customFormat="1" ht="25.5" customHeight="1" x14ac:dyDescent="0.25">
      <c r="A5" s="1843"/>
      <c r="B5" s="1843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1914" t="s">
        <v>479</v>
      </c>
      <c r="R14" s="1915"/>
      <c r="S14" s="1491" t="s">
        <v>401</v>
      </c>
      <c r="T14" s="1849" t="s">
        <v>46</v>
      </c>
      <c r="U14" s="1483" t="s">
        <v>176</v>
      </c>
      <c r="V14" s="1874">
        <v>6509</v>
      </c>
      <c r="W14" s="1875"/>
      <c r="X14" s="1876"/>
    </row>
    <row r="15" spans="1:25" ht="22.5" customHeight="1" x14ac:dyDescent="0.25">
      <c r="A15" s="100" t="s">
        <v>38</v>
      </c>
      <c r="B15" s="1874">
        <v>295593</v>
      </c>
      <c r="C15" s="1876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1874">
        <v>10</v>
      </c>
      <c r="R15" s="1876"/>
      <c r="S15" s="1483">
        <v>2</v>
      </c>
      <c r="T15" s="1849"/>
      <c r="U15" s="1483" t="s">
        <v>64</v>
      </c>
      <c r="V15" s="1877">
        <v>15922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1877"/>
      <c r="R16" s="1877"/>
      <c r="S16" s="1488"/>
      <c r="T16" s="1871" t="s">
        <v>55</v>
      </c>
      <c r="U16" s="1871"/>
      <c r="V16" s="1878">
        <f>Y12</f>
        <v>174673.77249999999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855"/>
      <c r="R17" s="1855"/>
      <c r="S17" s="1485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100881</v>
      </c>
      <c r="C18" s="1876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1877"/>
      <c r="R18" s="1877"/>
      <c r="S18" s="1483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298608</v>
      </c>
      <c r="C19" s="1876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1874">
        <f t="shared" si="14"/>
        <v>10</v>
      </c>
      <c r="R19" s="1876"/>
      <c r="S19" s="1483">
        <f>S15+S16-S17-S18</f>
        <v>2</v>
      </c>
      <c r="T19" s="1869" t="s">
        <v>48</v>
      </c>
      <c r="U19" s="49" t="s">
        <v>58</v>
      </c>
      <c r="V19" s="1877">
        <v>154000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287410.2</v>
      </c>
      <c r="C20" s="1904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605565.18800000008</v>
      </c>
      <c r="C21" s="1910"/>
      <c r="O21" s="1492"/>
      <c r="P21" s="1492"/>
      <c r="Q21" s="1492"/>
      <c r="R21" s="1492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154000</v>
      </c>
      <c r="D22" s="1908">
        <v>154000</v>
      </c>
      <c r="E22" s="1908">
        <v>100000</v>
      </c>
      <c r="F22" s="1908">
        <f>C22-D22+E22</f>
        <v>100000</v>
      </c>
      <c r="G22" s="1492"/>
      <c r="Q22" s="1492"/>
      <c r="R22" s="1492"/>
      <c r="T22" s="1863" t="s">
        <v>83</v>
      </c>
      <c r="U22" s="50" t="s">
        <v>60</v>
      </c>
      <c r="V22" s="1877">
        <v>174680</v>
      </c>
      <c r="W22" s="1877"/>
      <c r="X22" s="1877"/>
      <c r="Y22" s="1883"/>
    </row>
    <row r="23" spans="1:25" ht="39.75" customHeight="1" x14ac:dyDescent="0.25">
      <c r="A23" s="1492"/>
      <c r="B23" s="1906"/>
      <c r="C23" s="1909"/>
      <c r="D23" s="1909"/>
      <c r="E23" s="1909"/>
      <c r="F23" s="1909"/>
      <c r="G23" s="1492"/>
      <c r="Q23" s="1492"/>
      <c r="R23" s="1492"/>
      <c r="T23" s="1864"/>
      <c r="U23" s="50" t="s">
        <v>61</v>
      </c>
      <c r="V23" s="1877">
        <v>154000</v>
      </c>
      <c r="W23" s="1877"/>
      <c r="X23" s="1877"/>
      <c r="Y23" s="1883"/>
    </row>
    <row r="24" spans="1:25" ht="48" customHeight="1" x14ac:dyDescent="0.25">
      <c r="A24" s="149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849" t="s">
        <v>47</v>
      </c>
      <c r="U24" s="51" t="s">
        <v>62</v>
      </c>
      <c r="V24" s="1879">
        <f>V14+V16+V17-V18-V19-V20-V22+V23-V21</f>
        <v>5882.7724999999919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36602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492"/>
      <c r="J33" s="149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842" t="s">
        <v>499</v>
      </c>
      <c r="U3" s="1842"/>
      <c r="V3" s="1842"/>
      <c r="W3" s="1842"/>
      <c r="X3" s="1842"/>
      <c r="Y3" s="1842"/>
    </row>
    <row r="4" spans="1:25" s="149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493" customFormat="1" ht="25.5" customHeight="1" x14ac:dyDescent="0.25">
      <c r="A5" s="1843"/>
      <c r="B5" s="1843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1914" t="s">
        <v>479</v>
      </c>
      <c r="R14" s="1915"/>
      <c r="S14" s="1502" t="s">
        <v>401</v>
      </c>
      <c r="T14" s="1849" t="s">
        <v>46</v>
      </c>
      <c r="U14" s="1494" t="s">
        <v>176</v>
      </c>
      <c r="V14" s="1874">
        <v>5883</v>
      </c>
      <c r="W14" s="1875"/>
      <c r="X14" s="1876"/>
    </row>
    <row r="15" spans="1:25" ht="22.5" customHeight="1" x14ac:dyDescent="0.25">
      <c r="A15" s="100" t="s">
        <v>38</v>
      </c>
      <c r="B15" s="1874">
        <v>298608</v>
      </c>
      <c r="C15" s="1876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1874">
        <v>10</v>
      </c>
      <c r="R15" s="1876"/>
      <c r="S15" s="1494">
        <v>2</v>
      </c>
      <c r="T15" s="1849"/>
      <c r="U15" s="1494" t="s">
        <v>64</v>
      </c>
      <c r="V15" s="1877">
        <v>36602</v>
      </c>
      <c r="W15" s="1877"/>
      <c r="X15" s="1877"/>
    </row>
    <row r="16" spans="1:25" ht="24.75" customHeight="1" x14ac:dyDescent="0.25">
      <c r="A16" s="100" t="s">
        <v>39</v>
      </c>
      <c r="B16" s="1874">
        <v>114285</v>
      </c>
      <c r="C16" s="1876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1877"/>
      <c r="R16" s="1877"/>
      <c r="S16" s="1499"/>
      <c r="T16" s="1871" t="s">
        <v>55</v>
      </c>
      <c r="U16" s="1871"/>
      <c r="V16" s="1878">
        <f>Y12</f>
        <v>148350.13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855"/>
      <c r="R17" s="1855"/>
      <c r="S17" s="1496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112868</v>
      </c>
      <c r="C18" s="1876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1877"/>
      <c r="R18" s="1877"/>
      <c r="S18" s="1494"/>
      <c r="T18" s="1871" t="s">
        <v>57</v>
      </c>
      <c r="U18" s="1871"/>
      <c r="V18" s="1877">
        <v>760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300025</v>
      </c>
      <c r="C19" s="1876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1874">
        <f t="shared" si="14"/>
        <v>10</v>
      </c>
      <c r="R19" s="1876"/>
      <c r="S19" s="1494">
        <f>S15+S16-S17-S18</f>
        <v>2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288774.0625</v>
      </c>
      <c r="C20" s="1904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568738.54649999994</v>
      </c>
      <c r="C21" s="1910"/>
      <c r="O21" s="1503"/>
      <c r="P21" s="1503"/>
      <c r="Q21" s="1503"/>
      <c r="R21" s="1503"/>
      <c r="T21" s="1900" t="s">
        <v>487</v>
      </c>
      <c r="U21" s="1901"/>
      <c r="V21" s="1911">
        <v>50000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100000</v>
      </c>
      <c r="D22" s="1908">
        <v>100000</v>
      </c>
      <c r="E22" s="1908">
        <v>110000</v>
      </c>
      <c r="F22" s="1908">
        <f>C22-D22+E22</f>
        <v>110000</v>
      </c>
      <c r="G22" s="1503"/>
      <c r="Q22" s="1503"/>
      <c r="R22" s="1503"/>
      <c r="T22" s="1863" t="s">
        <v>83</v>
      </c>
      <c r="U22" s="50" t="s">
        <v>60</v>
      </c>
      <c r="V22" s="1877">
        <v>146890</v>
      </c>
      <c r="W22" s="1877"/>
      <c r="X22" s="1877"/>
      <c r="Y22" s="1883"/>
    </row>
    <row r="23" spans="1:25" ht="39.75" customHeight="1" x14ac:dyDescent="0.25">
      <c r="A23" s="1503"/>
      <c r="B23" s="1906"/>
      <c r="C23" s="1909"/>
      <c r="D23" s="1909"/>
      <c r="E23" s="1909"/>
      <c r="F23" s="1909"/>
      <c r="G23" s="1503"/>
      <c r="Q23" s="1503"/>
      <c r="R23" s="1503"/>
      <c r="T23" s="1864"/>
      <c r="U23" s="50" t="s">
        <v>61</v>
      </c>
      <c r="V23" s="1877">
        <v>150000</v>
      </c>
      <c r="W23" s="1877"/>
      <c r="X23" s="1877"/>
      <c r="Y23" s="1883"/>
    </row>
    <row r="24" spans="1:25" ht="48" customHeight="1" x14ac:dyDescent="0.25">
      <c r="A24" s="150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849" t="s">
        <v>47</v>
      </c>
      <c r="U24" s="51" t="s">
        <v>62</v>
      </c>
      <c r="V24" s="1879">
        <f>V14+V16+V17-V18-V19-V20-V22+V23-V21</f>
        <v>6583.1300000000047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33492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03"/>
      <c r="J33" s="150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842" t="s">
        <v>500</v>
      </c>
      <c r="U3" s="1842"/>
      <c r="V3" s="1842"/>
      <c r="W3" s="1842"/>
      <c r="X3" s="1842"/>
      <c r="Y3" s="1842"/>
    </row>
    <row r="4" spans="1:25" s="150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09" customFormat="1" ht="25.5" customHeight="1" x14ac:dyDescent="0.25">
      <c r="A5" s="1843"/>
      <c r="B5" s="1843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1914" t="s">
        <v>479</v>
      </c>
      <c r="R14" s="1915"/>
      <c r="S14" s="1513" t="s">
        <v>401</v>
      </c>
      <c r="T14" s="1849" t="s">
        <v>46</v>
      </c>
      <c r="U14" s="1507" t="s">
        <v>176</v>
      </c>
      <c r="V14" s="1874">
        <v>6583</v>
      </c>
      <c r="W14" s="1875"/>
      <c r="X14" s="1876"/>
    </row>
    <row r="15" spans="1:25" ht="22.5" customHeight="1" x14ac:dyDescent="0.25">
      <c r="A15" s="100" t="s">
        <v>38</v>
      </c>
      <c r="B15" s="1874">
        <v>300025</v>
      </c>
      <c r="C15" s="1876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1874">
        <v>10</v>
      </c>
      <c r="R15" s="1876"/>
      <c r="S15" s="1507">
        <v>2</v>
      </c>
      <c r="T15" s="1849"/>
      <c r="U15" s="1507" t="s">
        <v>64</v>
      </c>
      <c r="V15" s="1877">
        <v>33492</v>
      </c>
      <c r="W15" s="1877"/>
      <c r="X15" s="1877"/>
    </row>
    <row r="16" spans="1:25" ht="24.75" customHeight="1" x14ac:dyDescent="0.25">
      <c r="A16" s="100" t="s">
        <v>39</v>
      </c>
      <c r="B16" s="1874">
        <v>135064</v>
      </c>
      <c r="C16" s="1876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1877"/>
      <c r="R16" s="1877"/>
      <c r="S16" s="1510"/>
      <c r="T16" s="1871" t="s">
        <v>55</v>
      </c>
      <c r="U16" s="1871"/>
      <c r="V16" s="1878">
        <f>Y12</f>
        <v>180002.69</v>
      </c>
      <c r="W16" s="1878"/>
      <c r="X16" s="1877"/>
    </row>
    <row r="17" spans="1:25" ht="28.5" customHeight="1" x14ac:dyDescent="0.25">
      <c r="A17" s="101" t="s">
        <v>44</v>
      </c>
      <c r="B17" s="1874">
        <v>4170</v>
      </c>
      <c r="C17" s="1876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855"/>
      <c r="R17" s="1855"/>
      <c r="S17" s="1506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136884</v>
      </c>
      <c r="C18" s="1876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1877"/>
      <c r="R18" s="1877"/>
      <c r="S18" s="1507"/>
      <c r="T18" s="1871" t="s">
        <v>57</v>
      </c>
      <c r="U18" s="1871"/>
      <c r="V18" s="1877">
        <v>4833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302375</v>
      </c>
      <c r="C19" s="1876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1874">
        <f t="shared" si="14"/>
        <v>10</v>
      </c>
      <c r="R19" s="1876"/>
      <c r="S19" s="1507">
        <f>S15+S16-S17-S18</f>
        <v>2</v>
      </c>
      <c r="T19" s="1869" t="s">
        <v>48</v>
      </c>
      <c r="U19" s="49" t="s">
        <v>58</v>
      </c>
      <c r="V19" s="1877">
        <v>110000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291035.9375</v>
      </c>
      <c r="C20" s="1904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32300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556904.52150000003</v>
      </c>
      <c r="C21" s="1910"/>
      <c r="O21" s="1514"/>
      <c r="P21" s="1514"/>
      <c r="Q21" s="1514"/>
      <c r="R21" s="1514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110000</v>
      </c>
      <c r="D22" s="1908">
        <v>110000</v>
      </c>
      <c r="E22" s="1908">
        <v>130000</v>
      </c>
      <c r="F22" s="1908">
        <f>C22-D22+E22</f>
        <v>130000</v>
      </c>
      <c r="G22" s="1514"/>
      <c r="Q22" s="1514"/>
      <c r="R22" s="1514"/>
      <c r="T22" s="1863" t="s">
        <v>83</v>
      </c>
      <c r="U22" s="50" t="s">
        <v>60</v>
      </c>
      <c r="V22" s="1877">
        <v>174160</v>
      </c>
      <c r="W22" s="1877"/>
      <c r="X22" s="1877"/>
      <c r="Y22" s="1883"/>
    </row>
    <row r="23" spans="1:25" ht="39.75" customHeight="1" x14ac:dyDescent="0.25">
      <c r="A23" s="1514"/>
      <c r="B23" s="1906"/>
      <c r="C23" s="1909"/>
      <c r="D23" s="1909"/>
      <c r="E23" s="1909"/>
      <c r="F23" s="1909"/>
      <c r="G23" s="1514"/>
      <c r="Q23" s="1514"/>
      <c r="R23" s="1514"/>
      <c r="T23" s="1864"/>
      <c r="U23" s="50" t="s">
        <v>61</v>
      </c>
      <c r="V23" s="1877">
        <v>142300</v>
      </c>
      <c r="W23" s="1877"/>
      <c r="X23" s="1877"/>
      <c r="Y23" s="1883"/>
    </row>
    <row r="24" spans="1:25" ht="48" customHeight="1" x14ac:dyDescent="0.25">
      <c r="A24" s="151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849" t="s">
        <v>47</v>
      </c>
      <c r="U24" s="51" t="s">
        <v>62</v>
      </c>
      <c r="V24" s="1879">
        <f>V14+V16+V17-V18-V19-V20-V22+V23-V21</f>
        <v>7592.6900000000023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65352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14"/>
      <c r="J33" s="151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842" t="s">
        <v>501</v>
      </c>
      <c r="U3" s="1842"/>
      <c r="V3" s="1842"/>
      <c r="W3" s="1842"/>
      <c r="X3" s="1842"/>
      <c r="Y3" s="1842"/>
    </row>
    <row r="4" spans="1:25" s="151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15" customFormat="1" ht="25.5" customHeight="1" x14ac:dyDescent="0.25">
      <c r="A5" s="1843"/>
      <c r="B5" s="184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914" t="s">
        <v>479</v>
      </c>
      <c r="R14" s="1915"/>
      <c r="S14" s="1524" t="s">
        <v>401</v>
      </c>
      <c r="T14" s="1849" t="s">
        <v>46</v>
      </c>
      <c r="U14" s="1516" t="s">
        <v>176</v>
      </c>
      <c r="V14" s="1874">
        <v>7593</v>
      </c>
      <c r="W14" s="1875"/>
      <c r="X14" s="1876"/>
    </row>
    <row r="15" spans="1:25" ht="22.5" customHeight="1" x14ac:dyDescent="0.25">
      <c r="A15" s="100" t="s">
        <v>38</v>
      </c>
      <c r="B15" s="1874">
        <v>302375</v>
      </c>
      <c r="C15" s="1876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874">
        <v>10</v>
      </c>
      <c r="R15" s="1876"/>
      <c r="S15" s="1516">
        <v>2</v>
      </c>
      <c r="T15" s="1849"/>
      <c r="U15" s="1516" t="s">
        <v>64</v>
      </c>
      <c r="V15" s="1877">
        <v>65352</v>
      </c>
      <c r="W15" s="1877"/>
      <c r="X15" s="1877"/>
    </row>
    <row r="16" spans="1:25" ht="24.75" customHeight="1" x14ac:dyDescent="0.25">
      <c r="A16" s="100" t="s">
        <v>39</v>
      </c>
      <c r="B16" s="1874">
        <v>435739</v>
      </c>
      <c r="C16" s="1876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877"/>
      <c r="R16" s="1877"/>
      <c r="S16" s="1521"/>
      <c r="T16" s="1871" t="s">
        <v>55</v>
      </c>
      <c r="U16" s="1871"/>
      <c r="V16" s="1878">
        <f>Y12</f>
        <v>199872.07399999999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855"/>
      <c r="R17" s="1855"/>
      <c r="S17" s="1518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185892</v>
      </c>
      <c r="C18" s="1876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877"/>
      <c r="R18" s="1877"/>
      <c r="S18" s="1516"/>
      <c r="T18" s="1871" t="s">
        <v>57</v>
      </c>
      <c r="U18" s="1871"/>
      <c r="V18" s="1877">
        <v>2610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552222</v>
      </c>
      <c r="C19" s="1876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874">
        <f t="shared" si="14"/>
        <v>10</v>
      </c>
      <c r="R19" s="1876"/>
      <c r="S19" s="1516">
        <f>S15+S16-S17-S18</f>
        <v>2</v>
      </c>
      <c r="T19" s="1869" t="s">
        <v>48</v>
      </c>
      <c r="U19" s="49" t="s">
        <v>58</v>
      </c>
      <c r="V19" s="1877">
        <v>130000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531513.67500000005</v>
      </c>
      <c r="C20" s="1904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19400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778485.21499999997</v>
      </c>
      <c r="C21" s="1910"/>
      <c r="O21" s="1525"/>
      <c r="P21" s="1525"/>
      <c r="Q21" s="1525"/>
      <c r="R21" s="1525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130000</v>
      </c>
      <c r="D22" s="1908">
        <v>130000</v>
      </c>
      <c r="E22" s="1908">
        <v>400000</v>
      </c>
      <c r="F22" s="1908">
        <f>C22-D22+E22</f>
        <v>400000</v>
      </c>
      <c r="G22" s="1525"/>
      <c r="Q22" s="1525"/>
      <c r="R22" s="1525"/>
      <c r="T22" s="1863" t="s">
        <v>83</v>
      </c>
      <c r="U22" s="50" t="s">
        <v>60</v>
      </c>
      <c r="V22" s="1877">
        <v>162840</v>
      </c>
      <c r="W22" s="1877"/>
      <c r="X22" s="1877"/>
      <c r="Y22" s="1883"/>
    </row>
    <row r="23" spans="1:25" ht="39.75" customHeight="1" x14ac:dyDescent="0.25">
      <c r="A23" s="1525"/>
      <c r="B23" s="1906"/>
      <c r="C23" s="1909"/>
      <c r="D23" s="1909"/>
      <c r="E23" s="1909"/>
      <c r="F23" s="1909"/>
      <c r="G23" s="1525"/>
      <c r="Q23" s="1525"/>
      <c r="R23" s="1525"/>
      <c r="T23" s="1864"/>
      <c r="U23" s="50" t="s">
        <v>61</v>
      </c>
      <c r="V23" s="1877">
        <v>149400</v>
      </c>
      <c r="W23" s="1877"/>
      <c r="X23" s="1877"/>
      <c r="Y23" s="1883"/>
    </row>
    <row r="24" spans="1:25" ht="48" customHeight="1" x14ac:dyDescent="0.25">
      <c r="A24" s="152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849" t="s">
        <v>47</v>
      </c>
      <c r="U24" s="51" t="s">
        <v>62</v>
      </c>
      <c r="V24" s="1879">
        <f>V14+V16+V17-V18-V19-V20-V22+V23-V21</f>
        <v>42015.073999999993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78792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25"/>
      <c r="J33" s="152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842" t="s">
        <v>502</v>
      </c>
      <c r="U3" s="1842"/>
      <c r="V3" s="1842"/>
      <c r="W3" s="1842"/>
      <c r="X3" s="1842"/>
      <c r="Y3" s="1842"/>
    </row>
    <row r="4" spans="1:25" s="151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15" customFormat="1" ht="25.5" customHeight="1" x14ac:dyDescent="0.25">
      <c r="A5" s="1843"/>
      <c r="B5" s="1843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914" t="s">
        <v>479</v>
      </c>
      <c r="R14" s="1915"/>
      <c r="S14" s="1524" t="s">
        <v>401</v>
      </c>
      <c r="T14" s="1849" t="s">
        <v>46</v>
      </c>
      <c r="U14" s="1516" t="s">
        <v>176</v>
      </c>
      <c r="V14" s="1874">
        <v>42015</v>
      </c>
      <c r="W14" s="1875"/>
      <c r="X14" s="1876"/>
    </row>
    <row r="15" spans="1:25" ht="22.5" customHeight="1" x14ac:dyDescent="0.25">
      <c r="A15" s="100" t="s">
        <v>38</v>
      </c>
      <c r="B15" s="1874">
        <v>552222</v>
      </c>
      <c r="C15" s="1876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874">
        <v>10</v>
      </c>
      <c r="R15" s="1876"/>
      <c r="S15" s="1516">
        <v>2</v>
      </c>
      <c r="T15" s="1849"/>
      <c r="U15" s="1516" t="s">
        <v>64</v>
      </c>
      <c r="V15" s="1877">
        <v>78792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877"/>
      <c r="R16" s="1877"/>
      <c r="S16" s="1521"/>
      <c r="T16" s="1871" t="s">
        <v>55</v>
      </c>
      <c r="U16" s="1871"/>
      <c r="V16" s="1878">
        <f>Y12</f>
        <v>154805.50899999999</v>
      </c>
      <c r="W16" s="1878"/>
      <c r="X16" s="1877"/>
    </row>
    <row r="17" spans="1:25" ht="28.5" customHeight="1" x14ac:dyDescent="0.25">
      <c r="A17" s="101" t="s">
        <v>44</v>
      </c>
      <c r="B17" s="1874">
        <v>19403</v>
      </c>
      <c r="C17" s="1876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855"/>
      <c r="R17" s="1855"/>
      <c r="S17" s="1518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111258</v>
      </c>
      <c r="C18" s="1876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877"/>
      <c r="R18" s="1877"/>
      <c r="S18" s="1516"/>
      <c r="T18" s="1871" t="s">
        <v>57</v>
      </c>
      <c r="U18" s="1871"/>
      <c r="V18" s="1877">
        <v>920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460367</v>
      </c>
      <c r="C19" s="1876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874">
        <f t="shared" si="14"/>
        <v>10</v>
      </c>
      <c r="R19" s="1876"/>
      <c r="S19" s="1516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443103.23749999999</v>
      </c>
      <c r="C20" s="1904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643945.60149999999</v>
      </c>
      <c r="C21" s="1910"/>
      <c r="O21" s="1525"/>
      <c r="P21" s="1525"/>
      <c r="Q21" s="1525"/>
      <c r="R21" s="1525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525"/>
      <c r="Q22" s="1525"/>
      <c r="R22" s="1525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525"/>
      <c r="B23" s="1906"/>
      <c r="C23" s="1909"/>
      <c r="D23" s="1909"/>
      <c r="E23" s="1909"/>
      <c r="F23" s="1909"/>
      <c r="G23" s="1525"/>
      <c r="Q23" s="1525"/>
      <c r="R23" s="1525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52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849" t="s">
        <v>47</v>
      </c>
      <c r="U24" s="51" t="s">
        <v>62</v>
      </c>
      <c r="V24" s="1879">
        <f>V14+V16+V17-V18-V19-V20-V22+V23-V21</f>
        <v>195900.50899999999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78792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25"/>
      <c r="J33" s="152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842" t="s">
        <v>503</v>
      </c>
      <c r="U3" s="1842"/>
      <c r="V3" s="1842"/>
      <c r="W3" s="1842"/>
      <c r="X3" s="1842"/>
      <c r="Y3" s="1842"/>
    </row>
    <row r="4" spans="1:25" s="1526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26" customFormat="1" ht="25.5" customHeight="1" x14ac:dyDescent="0.25">
      <c r="A5" s="1843"/>
      <c r="B5" s="1843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1914" t="s">
        <v>479</v>
      </c>
      <c r="R14" s="1915"/>
      <c r="S14" s="1535" t="s">
        <v>401</v>
      </c>
      <c r="T14" s="1849" t="s">
        <v>46</v>
      </c>
      <c r="U14" s="1527" t="s">
        <v>176</v>
      </c>
      <c r="V14" s="1874">
        <v>195901</v>
      </c>
      <c r="W14" s="1875"/>
      <c r="X14" s="1876"/>
    </row>
    <row r="15" spans="1:25" ht="22.5" customHeight="1" x14ac:dyDescent="0.25">
      <c r="A15" s="100" t="s">
        <v>38</v>
      </c>
      <c r="B15" s="1874">
        <v>460367</v>
      </c>
      <c r="C15" s="1876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1874">
        <v>10</v>
      </c>
      <c r="R15" s="1876"/>
      <c r="S15" s="1527">
        <v>2</v>
      </c>
      <c r="T15" s="1849"/>
      <c r="U15" s="1527" t="s">
        <v>64</v>
      </c>
      <c r="V15" s="1877">
        <v>78792</v>
      </c>
      <c r="W15" s="1877"/>
      <c r="X15" s="1877"/>
    </row>
    <row r="16" spans="1:25" ht="24.75" customHeight="1" x14ac:dyDescent="0.25">
      <c r="A16" s="100" t="s">
        <v>39</v>
      </c>
      <c r="B16" s="1874">
        <v>27012</v>
      </c>
      <c r="C16" s="1876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1877"/>
      <c r="R16" s="1877"/>
      <c r="S16" s="1532"/>
      <c r="T16" s="1871" t="s">
        <v>55</v>
      </c>
      <c r="U16" s="1871"/>
      <c r="V16" s="1878">
        <f>Y12</f>
        <v>254233.3995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855"/>
      <c r="R17" s="1855"/>
      <c r="S17" s="1529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165319</v>
      </c>
      <c r="C18" s="1876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1877"/>
      <c r="R18" s="1877"/>
      <c r="S18" s="1527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322060</v>
      </c>
      <c r="C19" s="1876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1874">
        <f t="shared" si="14"/>
        <v>10</v>
      </c>
      <c r="R19" s="1876"/>
      <c r="S19" s="1527">
        <f>S15+S16-S17-S18</f>
        <v>2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309982.75</v>
      </c>
      <c r="C20" s="1904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510301.04199999996</v>
      </c>
      <c r="C21" s="1910"/>
      <c r="O21" s="1536"/>
      <c r="P21" s="1536"/>
      <c r="Q21" s="1536"/>
      <c r="R21" s="1536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117550</v>
      </c>
      <c r="F22" s="1908">
        <f>C22-D22+E22</f>
        <v>117550</v>
      </c>
      <c r="G22" s="1536"/>
      <c r="Q22" s="1536"/>
      <c r="R22" s="1536"/>
      <c r="T22" s="1863" t="s">
        <v>83</v>
      </c>
      <c r="U22" s="50" t="s">
        <v>60</v>
      </c>
      <c r="V22" s="1877">
        <v>405120</v>
      </c>
      <c r="W22" s="1877"/>
      <c r="X22" s="1877"/>
      <c r="Y22" s="1883"/>
    </row>
    <row r="23" spans="1:25" ht="39.75" customHeight="1" x14ac:dyDescent="0.25">
      <c r="A23" s="1536"/>
      <c r="B23" s="1906"/>
      <c r="C23" s="1909"/>
      <c r="D23" s="1909"/>
      <c r="E23" s="1909"/>
      <c r="F23" s="1909"/>
      <c r="G23" s="1536"/>
      <c r="Q23" s="1536"/>
      <c r="R23" s="1536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153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849" t="s">
        <v>47</v>
      </c>
      <c r="U24" s="51" t="s">
        <v>62</v>
      </c>
      <c r="V24" s="1879">
        <f>V14+V16+V17-V18-V19-V20-V22+V23-V21</f>
        <v>44394.3995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83912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36"/>
      <c r="J33" s="1536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842" t="s">
        <v>504</v>
      </c>
      <c r="U3" s="1842"/>
      <c r="V3" s="1842"/>
      <c r="W3" s="1842"/>
      <c r="X3" s="1842"/>
      <c r="Y3" s="1842"/>
    </row>
    <row r="4" spans="1:25" s="154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42" customFormat="1" ht="25.5" customHeight="1" x14ac:dyDescent="0.25">
      <c r="A5" s="1843"/>
      <c r="B5" s="1843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1914" t="s">
        <v>479</v>
      </c>
      <c r="R14" s="1915"/>
      <c r="S14" s="1546" t="s">
        <v>401</v>
      </c>
      <c r="T14" s="1849" t="s">
        <v>46</v>
      </c>
      <c r="U14" s="1540" t="s">
        <v>176</v>
      </c>
      <c r="V14" s="1874">
        <v>44394</v>
      </c>
      <c r="W14" s="1875"/>
      <c r="X14" s="1876"/>
    </row>
    <row r="15" spans="1:25" ht="22.5" customHeight="1" x14ac:dyDescent="0.25">
      <c r="A15" s="100" t="s">
        <v>38</v>
      </c>
      <c r="B15" s="1874">
        <v>322060</v>
      </c>
      <c r="C15" s="1876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1874">
        <v>10</v>
      </c>
      <c r="R15" s="1876"/>
      <c r="S15" s="1540">
        <v>2</v>
      </c>
      <c r="T15" s="1849"/>
      <c r="U15" s="1540" t="s">
        <v>64</v>
      </c>
      <c r="V15" s="1877">
        <v>83912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1877"/>
      <c r="R16" s="1877"/>
      <c r="S16" s="1543"/>
      <c r="T16" s="1871" t="s">
        <v>55</v>
      </c>
      <c r="U16" s="1871"/>
      <c r="V16" s="1878">
        <f>Y12</f>
        <v>120137.5965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855"/>
      <c r="R17" s="1855"/>
      <c r="S17" s="1539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105649</v>
      </c>
      <c r="C18" s="1876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1877"/>
      <c r="R18" s="1877"/>
      <c r="S18" s="1540"/>
      <c r="T18" s="1871" t="s">
        <v>57</v>
      </c>
      <c r="U18" s="1871"/>
      <c r="V18" s="1877">
        <v>2900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320307</v>
      </c>
      <c r="C19" s="1876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1874">
        <f t="shared" si="14"/>
        <v>10</v>
      </c>
      <c r="R19" s="1876"/>
      <c r="S19" s="1540">
        <f>S15+S16-S17-S18</f>
        <v>2</v>
      </c>
      <c r="T19" s="1869" t="s">
        <v>48</v>
      </c>
      <c r="U19" s="49" t="s">
        <v>58</v>
      </c>
      <c r="V19" s="1877">
        <v>117550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308295.48749999999</v>
      </c>
      <c r="C20" s="1904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491451.21549999999</v>
      </c>
      <c r="C21" s="1910"/>
      <c r="O21" s="1547"/>
      <c r="P21" s="1547"/>
      <c r="Q21" s="1547"/>
      <c r="R21" s="1547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117550</v>
      </c>
      <c r="D22" s="1908">
        <v>117550</v>
      </c>
      <c r="E22" s="1908">
        <v>100000</v>
      </c>
      <c r="F22" s="1908">
        <f>C22-D22+E22</f>
        <v>100000</v>
      </c>
      <c r="G22" s="1547"/>
      <c r="Q22" s="1547"/>
      <c r="R22" s="1547"/>
      <c r="T22" s="1863" t="s">
        <v>83</v>
      </c>
      <c r="U22" s="50" t="s">
        <v>60</v>
      </c>
      <c r="V22" s="1877">
        <v>117340</v>
      </c>
      <c r="W22" s="1877"/>
      <c r="X22" s="1877"/>
      <c r="Y22" s="1883"/>
    </row>
    <row r="23" spans="1:25" ht="39.75" customHeight="1" x14ac:dyDescent="0.25">
      <c r="A23" s="1547"/>
      <c r="B23" s="1906"/>
      <c r="C23" s="1909"/>
      <c r="D23" s="1909"/>
      <c r="E23" s="1909"/>
      <c r="F23" s="1909"/>
      <c r="G23" s="1547"/>
      <c r="Q23" s="1547"/>
      <c r="R23" s="1547"/>
      <c r="T23" s="1864"/>
      <c r="U23" s="50" t="s">
        <v>61</v>
      </c>
      <c r="V23" s="1877">
        <v>117550</v>
      </c>
      <c r="W23" s="1877"/>
      <c r="X23" s="1877"/>
      <c r="Y23" s="1883"/>
    </row>
    <row r="24" spans="1:25" ht="48" customHeight="1" x14ac:dyDescent="0.25">
      <c r="A24" s="154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849" t="s">
        <v>47</v>
      </c>
      <c r="U24" s="51" t="s">
        <v>62</v>
      </c>
      <c r="V24" s="1879">
        <f>V14+V16+V17-V18-V19-V20-V22+V23-V21</f>
        <v>44291.596499999985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83702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47"/>
      <c r="J33" s="154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1842" t="s">
        <v>505</v>
      </c>
      <c r="U3" s="1842"/>
      <c r="V3" s="1842"/>
      <c r="W3" s="1842"/>
      <c r="X3" s="1842"/>
      <c r="Y3" s="1842"/>
    </row>
    <row r="4" spans="1:25" s="155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53" customFormat="1" ht="25.5" customHeight="1" x14ac:dyDescent="0.25">
      <c r="A5" s="1843"/>
      <c r="B5" s="1843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1914" t="s">
        <v>479</v>
      </c>
      <c r="R14" s="1915"/>
      <c r="S14" s="1557" t="s">
        <v>401</v>
      </c>
      <c r="T14" s="1849" t="s">
        <v>46</v>
      </c>
      <c r="U14" s="1551" t="s">
        <v>176</v>
      </c>
      <c r="V14" s="1874">
        <v>44292</v>
      </c>
      <c r="W14" s="1875"/>
      <c r="X14" s="1876"/>
    </row>
    <row r="15" spans="1:25" ht="22.5" customHeight="1" x14ac:dyDescent="0.25">
      <c r="A15" s="100" t="s">
        <v>38</v>
      </c>
      <c r="B15" s="1874">
        <v>320307</v>
      </c>
      <c r="C15" s="1876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1874">
        <v>10</v>
      </c>
      <c r="R15" s="1876"/>
      <c r="S15" s="1551">
        <v>2</v>
      </c>
      <c r="T15" s="1849"/>
      <c r="U15" s="1551" t="s">
        <v>64</v>
      </c>
      <c r="V15" s="1877">
        <v>83702</v>
      </c>
      <c r="W15" s="1877"/>
      <c r="X15" s="1877"/>
    </row>
    <row r="16" spans="1:25" ht="24.75" customHeight="1" x14ac:dyDescent="0.25">
      <c r="A16" s="100" t="s">
        <v>39</v>
      </c>
      <c r="B16" s="1874">
        <v>52727</v>
      </c>
      <c r="C16" s="1876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1877"/>
      <c r="R16" s="1877"/>
      <c r="S16" s="1554"/>
      <c r="T16" s="1871" t="s">
        <v>55</v>
      </c>
      <c r="U16" s="1871"/>
      <c r="V16" s="1878">
        <f>Y12</f>
        <v>101036.7335</v>
      </c>
      <c r="W16" s="1878"/>
      <c r="X16" s="1877"/>
    </row>
    <row r="17" spans="1:25" ht="28.5" customHeight="1" x14ac:dyDescent="0.25">
      <c r="A17" s="101" t="s">
        <v>44</v>
      </c>
      <c r="B17" s="1874">
        <v>43979</v>
      </c>
      <c r="C17" s="1876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855"/>
      <c r="R17" s="1855"/>
      <c r="S17" s="1550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98067</v>
      </c>
      <c r="C18" s="1876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1877"/>
      <c r="R18" s="1877"/>
      <c r="S18" s="1551"/>
      <c r="T18" s="1871" t="s">
        <v>57</v>
      </c>
      <c r="U18" s="1871"/>
      <c r="V18" s="1877">
        <v>10470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318946</v>
      </c>
      <c r="C19" s="1876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1874">
        <f t="shared" si="14"/>
        <v>10</v>
      </c>
      <c r="R19" s="1876"/>
      <c r="S19" s="1551">
        <f>S15+S16-S17-S18</f>
        <v>2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306985.52500000002</v>
      </c>
      <c r="C20" s="1904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683839.47700000007</v>
      </c>
      <c r="C21" s="1910"/>
      <c r="O21" s="1558"/>
      <c r="P21" s="1558"/>
      <c r="Q21" s="1558"/>
      <c r="R21" s="1558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100000</v>
      </c>
      <c r="D22" s="1908">
        <v>100000</v>
      </c>
      <c r="E22" s="1908">
        <v>250000</v>
      </c>
      <c r="F22" s="1908">
        <f>C22-D22+E22</f>
        <v>250000</v>
      </c>
      <c r="G22" s="1558"/>
      <c r="Q22" s="1558"/>
      <c r="R22" s="1558"/>
      <c r="T22" s="1863" t="s">
        <v>83</v>
      </c>
      <c r="U22" s="50" t="s">
        <v>60</v>
      </c>
      <c r="V22" s="1877">
        <v>99670</v>
      </c>
      <c r="W22" s="1877"/>
      <c r="X22" s="1877"/>
      <c r="Y22" s="1883"/>
    </row>
    <row r="23" spans="1:25" ht="39.75" customHeight="1" x14ac:dyDescent="0.25">
      <c r="A23" s="1558"/>
      <c r="B23" s="1906"/>
      <c r="C23" s="1909"/>
      <c r="D23" s="1909"/>
      <c r="E23" s="1909"/>
      <c r="F23" s="1909"/>
      <c r="G23" s="1558"/>
      <c r="Q23" s="1558"/>
      <c r="R23" s="1558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155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1849" t="s">
        <v>47</v>
      </c>
      <c r="U24" s="51" t="s">
        <v>62</v>
      </c>
      <c r="V24" s="1879">
        <f>V14+V16+V17-V18-V19-V20-V22+V23-V21</f>
        <v>35188.733500000002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83372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58"/>
      <c r="J33" s="155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1842" t="s">
        <v>506</v>
      </c>
      <c r="U3" s="1842"/>
      <c r="V3" s="1842"/>
      <c r="W3" s="1842"/>
      <c r="X3" s="1842"/>
      <c r="Y3" s="1842"/>
    </row>
    <row r="4" spans="1:25" s="155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59" customFormat="1" ht="25.5" customHeight="1" x14ac:dyDescent="0.25">
      <c r="A5" s="1843"/>
      <c r="B5" s="1843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1914" t="s">
        <v>479</v>
      </c>
      <c r="R14" s="1915"/>
      <c r="S14" s="1568" t="s">
        <v>401</v>
      </c>
      <c r="T14" s="1849" t="s">
        <v>46</v>
      </c>
      <c r="U14" s="1560" t="s">
        <v>176</v>
      </c>
      <c r="V14" s="1874">
        <v>35189</v>
      </c>
      <c r="W14" s="1875"/>
      <c r="X14" s="1876"/>
    </row>
    <row r="15" spans="1:25" ht="22.5" customHeight="1" x14ac:dyDescent="0.25">
      <c r="A15" s="100" t="s">
        <v>38</v>
      </c>
      <c r="B15" s="1874">
        <v>318946</v>
      </c>
      <c r="C15" s="1876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1874">
        <v>10</v>
      </c>
      <c r="R15" s="1876"/>
      <c r="S15" s="1560">
        <v>2</v>
      </c>
      <c r="T15" s="1849"/>
      <c r="U15" s="1560" t="s">
        <v>64</v>
      </c>
      <c r="V15" s="1877">
        <v>83372</v>
      </c>
      <c r="W15" s="1877"/>
      <c r="X15" s="1877"/>
    </row>
    <row r="16" spans="1:25" ht="24.75" customHeight="1" x14ac:dyDescent="0.25">
      <c r="A16" s="100" t="s">
        <v>39</v>
      </c>
      <c r="B16" s="1874">
        <v>127792</v>
      </c>
      <c r="C16" s="1876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1877"/>
      <c r="R16" s="1877"/>
      <c r="S16" s="1565"/>
      <c r="T16" s="1871" t="s">
        <v>55</v>
      </c>
      <c r="U16" s="1871"/>
      <c r="V16" s="1878">
        <f>Y12</f>
        <v>234397.34250000003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1855"/>
      <c r="R17" s="1855"/>
      <c r="S17" s="1562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129733</v>
      </c>
      <c r="C18" s="1876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1877"/>
      <c r="R18" s="1877"/>
      <c r="S18" s="1560"/>
      <c r="T18" s="1871" t="s">
        <v>57</v>
      </c>
      <c r="U18" s="1871"/>
      <c r="V18" s="1877">
        <v>53826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317005</v>
      </c>
      <c r="C19" s="1876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1874">
        <f t="shared" si="14"/>
        <v>10</v>
      </c>
      <c r="R19" s="1876"/>
      <c r="S19" s="1560">
        <f>S15+S16-S17-S18</f>
        <v>2</v>
      </c>
      <c r="T19" s="1869" t="s">
        <v>48</v>
      </c>
      <c r="U19" s="49" t="s">
        <v>58</v>
      </c>
      <c r="V19" s="1877">
        <v>250000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305117.3125</v>
      </c>
      <c r="C20" s="1904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574876.65650000004</v>
      </c>
      <c r="C21" s="1910"/>
      <c r="O21" s="1569"/>
      <c r="P21" s="1569"/>
      <c r="Q21" s="1569"/>
      <c r="R21" s="1569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250000</v>
      </c>
      <c r="D22" s="1908">
        <v>250000</v>
      </c>
      <c r="E22" s="1908">
        <v>123000</v>
      </c>
      <c r="F22" s="1908">
        <f>C22-D22+E22</f>
        <v>123000</v>
      </c>
      <c r="G22" s="1569"/>
      <c r="Q22" s="1569"/>
      <c r="R22" s="1569"/>
      <c r="T22" s="1863" t="s">
        <v>83</v>
      </c>
      <c r="U22" s="50" t="s">
        <v>60</v>
      </c>
      <c r="V22" s="1877">
        <v>198800</v>
      </c>
      <c r="W22" s="1877"/>
      <c r="X22" s="1877"/>
      <c r="Y22" s="1883"/>
    </row>
    <row r="23" spans="1:25" ht="39.75" customHeight="1" x14ac:dyDescent="0.25">
      <c r="A23" s="1569"/>
      <c r="B23" s="1906"/>
      <c r="C23" s="1909"/>
      <c r="D23" s="1909"/>
      <c r="E23" s="1909"/>
      <c r="F23" s="1909"/>
      <c r="G23" s="1569"/>
      <c r="Q23" s="1569"/>
      <c r="R23" s="1569"/>
      <c r="T23" s="1864"/>
      <c r="U23" s="50" t="s">
        <v>61</v>
      </c>
      <c r="V23" s="1877">
        <v>250000</v>
      </c>
      <c r="W23" s="1877"/>
      <c r="X23" s="1877"/>
      <c r="Y23" s="1883"/>
    </row>
    <row r="24" spans="1:25" ht="48" customHeight="1" x14ac:dyDescent="0.25">
      <c r="A24" s="156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1849" t="s">
        <v>47</v>
      </c>
      <c r="U24" s="51" t="s">
        <v>62</v>
      </c>
      <c r="V24" s="1879">
        <f>V14+V16+V17-V18-V19-V20-V22+V23-V21</f>
        <v>16960.342500000028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32172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69"/>
      <c r="J33" s="1569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1842" t="s">
        <v>507</v>
      </c>
      <c r="U3" s="1842"/>
      <c r="V3" s="1842"/>
      <c r="W3" s="1842"/>
      <c r="X3" s="1842"/>
      <c r="Y3" s="1842"/>
    </row>
    <row r="4" spans="1:25" s="157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75" customFormat="1" ht="25.5" customHeight="1" x14ac:dyDescent="0.25">
      <c r="A5" s="1843"/>
      <c r="B5" s="1843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1914" t="s">
        <v>479</v>
      </c>
      <c r="R14" s="1915"/>
      <c r="S14" s="1579" t="s">
        <v>401</v>
      </c>
      <c r="T14" s="1849" t="s">
        <v>46</v>
      </c>
      <c r="U14" s="1573" t="s">
        <v>176</v>
      </c>
      <c r="V14" s="1874">
        <v>16960</v>
      </c>
      <c r="W14" s="1875"/>
      <c r="X14" s="1876"/>
    </row>
    <row r="15" spans="1:25" ht="22.5" customHeight="1" x14ac:dyDescent="0.25">
      <c r="A15" s="100" t="s">
        <v>38</v>
      </c>
      <c r="B15" s="1874">
        <v>317005</v>
      </c>
      <c r="C15" s="1876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1874">
        <v>10</v>
      </c>
      <c r="R15" s="1876"/>
      <c r="S15" s="1573">
        <v>2</v>
      </c>
      <c r="T15" s="1849"/>
      <c r="U15" s="1573" t="s">
        <v>64</v>
      </c>
      <c r="V15" s="1877">
        <v>32172</v>
      </c>
      <c r="W15" s="1877"/>
      <c r="X15" s="1877"/>
    </row>
    <row r="16" spans="1:25" ht="24.75" customHeight="1" x14ac:dyDescent="0.25">
      <c r="A16" s="100" t="s">
        <v>39</v>
      </c>
      <c r="B16" s="1874">
        <v>262504</v>
      </c>
      <c r="C16" s="1876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1877"/>
      <c r="R16" s="1877"/>
      <c r="S16" s="1576"/>
      <c r="T16" s="1871" t="s">
        <v>55</v>
      </c>
      <c r="U16" s="1871"/>
      <c r="V16" s="1878">
        <f>Y12</f>
        <v>208351.84</v>
      </c>
      <c r="W16" s="1878"/>
      <c r="X16" s="1877"/>
    </row>
    <row r="17" spans="1:25" ht="28.5" customHeight="1" x14ac:dyDescent="0.25">
      <c r="A17" s="101" t="s">
        <v>44</v>
      </c>
      <c r="B17" s="1874">
        <v>11688</v>
      </c>
      <c r="C17" s="1876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1855"/>
      <c r="R17" s="1855"/>
      <c r="S17" s="1572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168800</v>
      </c>
      <c r="C18" s="1876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1877"/>
      <c r="R18" s="1877"/>
      <c r="S18" s="1573"/>
      <c r="T18" s="1871" t="s">
        <v>57</v>
      </c>
      <c r="U18" s="1871"/>
      <c r="V18" s="1877">
        <v>640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422397</v>
      </c>
      <c r="C19" s="1876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1874">
        <f t="shared" si="14"/>
        <v>10</v>
      </c>
      <c r="R19" s="1876"/>
      <c r="S19" s="1573">
        <f>S15+S16-S17-S18</f>
        <v>2</v>
      </c>
      <c r="T19" s="1869" t="s">
        <v>48</v>
      </c>
      <c r="U19" s="49" t="s">
        <v>58</v>
      </c>
      <c r="V19" s="1877">
        <v>123000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406557.11249999999</v>
      </c>
      <c r="C20" s="1904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109000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888917.01649999991</v>
      </c>
      <c r="C21" s="1910"/>
      <c r="O21" s="1580"/>
      <c r="P21" s="1580"/>
      <c r="Q21" s="1580"/>
      <c r="R21" s="1580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123000</v>
      </c>
      <c r="D22" s="1908">
        <v>123000</v>
      </c>
      <c r="E22" s="1908">
        <v>400000</v>
      </c>
      <c r="F22" s="1908">
        <f>C22-D22+E22</f>
        <v>400000</v>
      </c>
      <c r="G22" s="1580"/>
      <c r="Q22" s="1580"/>
      <c r="R22" s="1580"/>
      <c r="T22" s="1863" t="s">
        <v>83</v>
      </c>
      <c r="U22" s="50" t="s">
        <v>60</v>
      </c>
      <c r="V22" s="1877">
        <v>209100</v>
      </c>
      <c r="W22" s="1877"/>
      <c r="X22" s="1877"/>
      <c r="Y22" s="1883"/>
    </row>
    <row r="23" spans="1:25" ht="39.75" customHeight="1" x14ac:dyDescent="0.25">
      <c r="A23" s="1580"/>
      <c r="B23" s="1906"/>
      <c r="C23" s="1909"/>
      <c r="D23" s="1909"/>
      <c r="E23" s="1909"/>
      <c r="F23" s="1909"/>
      <c r="G23" s="1580"/>
      <c r="Q23" s="1580"/>
      <c r="R23" s="1580"/>
      <c r="T23" s="1864"/>
      <c r="U23" s="50" t="s">
        <v>61</v>
      </c>
      <c r="V23" s="1877">
        <v>232000</v>
      </c>
      <c r="W23" s="1877"/>
      <c r="X23" s="1877"/>
      <c r="Y23" s="1883"/>
    </row>
    <row r="24" spans="1:25" ht="48" customHeight="1" x14ac:dyDescent="0.25">
      <c r="A24" s="158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1849" t="s">
        <v>47</v>
      </c>
      <c r="U24" s="51" t="s">
        <v>62</v>
      </c>
      <c r="V24" s="1879">
        <f>V14+V16+V17-V18-V19-V20-V22+V23-V21</f>
        <v>15571.839999999997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9272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80"/>
      <c r="J33" s="158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1842" t="s">
        <v>508</v>
      </c>
      <c r="U3" s="1842"/>
      <c r="V3" s="1842"/>
      <c r="W3" s="1842"/>
      <c r="X3" s="1842"/>
      <c r="Y3" s="1842"/>
    </row>
    <row r="4" spans="1:25" s="158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81" customFormat="1" ht="25.5" customHeight="1" x14ac:dyDescent="0.25">
      <c r="A5" s="1843"/>
      <c r="B5" s="1843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1914" t="s">
        <v>479</v>
      </c>
      <c r="R14" s="1915"/>
      <c r="S14" s="1590" t="s">
        <v>401</v>
      </c>
      <c r="T14" s="1849" t="s">
        <v>46</v>
      </c>
      <c r="U14" s="1582" t="s">
        <v>176</v>
      </c>
      <c r="V14" s="1874">
        <v>15572</v>
      </c>
      <c r="W14" s="1875"/>
      <c r="X14" s="1876"/>
    </row>
    <row r="15" spans="1:25" ht="22.5" customHeight="1" x14ac:dyDescent="0.25">
      <c r="A15" s="100" t="s">
        <v>38</v>
      </c>
      <c r="B15" s="1874">
        <v>422397</v>
      </c>
      <c r="C15" s="1876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1874">
        <v>10</v>
      </c>
      <c r="R15" s="1876"/>
      <c r="S15" s="1582">
        <v>2</v>
      </c>
      <c r="T15" s="1849"/>
      <c r="U15" s="1582" t="s">
        <v>64</v>
      </c>
      <c r="V15" s="1877">
        <v>9272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1877"/>
      <c r="R16" s="1877"/>
      <c r="S16" s="1587"/>
      <c r="T16" s="1871" t="s">
        <v>55</v>
      </c>
      <c r="U16" s="1871"/>
      <c r="V16" s="1878">
        <f>Y12</f>
        <v>201068.38150000002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1855"/>
      <c r="R17" s="1855"/>
      <c r="S17" s="1584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93339</v>
      </c>
      <c r="C18" s="1876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1877"/>
      <c r="R18" s="1877"/>
      <c r="S18" s="1582"/>
      <c r="T18" s="1871" t="s">
        <v>57</v>
      </c>
      <c r="U18" s="1871"/>
      <c r="V18" s="1877">
        <v>1320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329058</v>
      </c>
      <c r="C19" s="1876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1874">
        <f t="shared" si="14"/>
        <v>10</v>
      </c>
      <c r="R19" s="1876"/>
      <c r="S19" s="1582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316718.32500000001</v>
      </c>
      <c r="C20" s="1904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689915.11499999999</v>
      </c>
      <c r="C21" s="1910"/>
      <c r="O21" s="1591"/>
      <c r="P21" s="1591"/>
      <c r="Q21" s="1591"/>
      <c r="R21" s="1591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591"/>
      <c r="Q22" s="1591"/>
      <c r="R22" s="1591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591"/>
      <c r="B23" s="1906"/>
      <c r="C23" s="1909"/>
      <c r="D23" s="1909"/>
      <c r="E23" s="1909"/>
      <c r="F23" s="1909"/>
      <c r="G23" s="1591"/>
      <c r="Q23" s="1591"/>
      <c r="R23" s="1591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59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1849" t="s">
        <v>47</v>
      </c>
      <c r="U24" s="51" t="s">
        <v>62</v>
      </c>
      <c r="V24" s="1879">
        <f>V14+V16+V17-V18-V19-V20-V22+V23-V21</f>
        <v>215320.38150000002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9272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591"/>
      <c r="J33" s="159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1842" t="s">
        <v>510</v>
      </c>
      <c r="U3" s="1842"/>
      <c r="V3" s="1842"/>
      <c r="W3" s="1842"/>
      <c r="X3" s="1842"/>
      <c r="Y3" s="1842"/>
    </row>
    <row r="4" spans="1:25" s="159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597" customFormat="1" ht="25.5" customHeight="1" x14ac:dyDescent="0.25">
      <c r="A5" s="1843"/>
      <c r="B5" s="1843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1914" t="s">
        <v>479</v>
      </c>
      <c r="R14" s="1915"/>
      <c r="S14" s="1601" t="s">
        <v>401</v>
      </c>
      <c r="T14" s="1849" t="s">
        <v>46</v>
      </c>
      <c r="U14" s="1595" t="s">
        <v>176</v>
      </c>
      <c r="V14" s="1874">
        <v>215320</v>
      </c>
      <c r="W14" s="1875"/>
      <c r="X14" s="1876"/>
    </row>
    <row r="15" spans="1:25" ht="22.5" customHeight="1" x14ac:dyDescent="0.25">
      <c r="A15" s="100" t="s">
        <v>38</v>
      </c>
      <c r="B15" s="1874">
        <v>329058</v>
      </c>
      <c r="C15" s="1876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1874">
        <v>10</v>
      </c>
      <c r="R15" s="1876"/>
      <c r="S15" s="1595">
        <v>2</v>
      </c>
      <c r="T15" s="1849"/>
      <c r="U15" s="1595" t="s">
        <v>64</v>
      </c>
      <c r="V15" s="1877">
        <v>9272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1877"/>
      <c r="R16" s="1877"/>
      <c r="S16" s="1598"/>
      <c r="T16" s="1871" t="s">
        <v>55</v>
      </c>
      <c r="U16" s="1871"/>
      <c r="V16" s="1878">
        <f>Y12</f>
        <v>214518.66999999998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1855"/>
      <c r="R17" s="1855"/>
      <c r="S17" s="1594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115572</v>
      </c>
      <c r="C18" s="1876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1877"/>
      <c r="R18" s="1877"/>
      <c r="S18" s="1595"/>
      <c r="T18" s="1871" t="s">
        <v>57</v>
      </c>
      <c r="U18" s="1871"/>
      <c r="V18" s="1877">
        <v>1570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317382</v>
      </c>
      <c r="C19" s="1876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1874">
        <f t="shared" si="14"/>
        <v>10</v>
      </c>
      <c r="R19" s="1876"/>
      <c r="S19" s="1595">
        <f>S15+S16-S17-S18</f>
        <v>2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305480.17499999999</v>
      </c>
      <c r="C20" s="1904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577784.375</v>
      </c>
      <c r="C21" s="1910"/>
      <c r="O21" s="1602"/>
      <c r="P21" s="1602"/>
      <c r="Q21" s="1602"/>
      <c r="R21" s="1602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100000</v>
      </c>
      <c r="F22" s="1908">
        <f>C22-D22+E22</f>
        <v>100000</v>
      </c>
      <c r="G22" s="1602"/>
      <c r="Q22" s="1602"/>
      <c r="R22" s="1602"/>
      <c r="T22" s="1863" t="s">
        <v>83</v>
      </c>
      <c r="U22" s="50" t="s">
        <v>60</v>
      </c>
      <c r="V22" s="1877">
        <v>413750</v>
      </c>
      <c r="W22" s="1877"/>
      <c r="X22" s="1877"/>
      <c r="Y22" s="1883"/>
    </row>
    <row r="23" spans="1:25" ht="39.75" customHeight="1" x14ac:dyDescent="0.25">
      <c r="A23" s="1602"/>
      <c r="B23" s="1906"/>
      <c r="C23" s="1909"/>
      <c r="D23" s="1909"/>
      <c r="E23" s="1909"/>
      <c r="F23" s="1909"/>
      <c r="G23" s="1602"/>
      <c r="Q23" s="1602"/>
      <c r="R23" s="1602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160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1849" t="s">
        <v>47</v>
      </c>
      <c r="U24" s="51" t="s">
        <v>62</v>
      </c>
      <c r="V24" s="1879">
        <f>V14+V16+V17-V18-V19-V20-V22+V23-V21</f>
        <v>14518.669999999984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23022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02"/>
      <c r="J33" s="160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1842" t="s">
        <v>511</v>
      </c>
      <c r="U3" s="1842"/>
      <c r="V3" s="1842"/>
      <c r="W3" s="1842"/>
      <c r="X3" s="1842"/>
      <c r="Y3" s="1842"/>
    </row>
    <row r="4" spans="1:25" s="160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03" customFormat="1" ht="25.5" customHeight="1" x14ac:dyDescent="0.25">
      <c r="A5" s="1843"/>
      <c r="B5" s="1843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1914" t="s">
        <v>479</v>
      </c>
      <c r="R14" s="1915"/>
      <c r="S14" s="1612" t="s">
        <v>401</v>
      </c>
      <c r="T14" s="1849" t="s">
        <v>46</v>
      </c>
      <c r="U14" s="1604" t="s">
        <v>176</v>
      </c>
      <c r="V14" s="1874">
        <v>14519</v>
      </c>
      <c r="W14" s="1875"/>
      <c r="X14" s="1876"/>
    </row>
    <row r="15" spans="1:25" ht="22.5" customHeight="1" x14ac:dyDescent="0.25">
      <c r="A15" s="100" t="s">
        <v>38</v>
      </c>
      <c r="B15" s="1874">
        <v>317382</v>
      </c>
      <c r="C15" s="1876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1874">
        <v>10</v>
      </c>
      <c r="R15" s="1876"/>
      <c r="S15" s="1604">
        <v>2</v>
      </c>
      <c r="T15" s="1849"/>
      <c r="U15" s="1604" t="s">
        <v>64</v>
      </c>
      <c r="V15" s="1877">
        <v>23022</v>
      </c>
      <c r="W15" s="1877"/>
      <c r="X15" s="1877"/>
    </row>
    <row r="16" spans="1:25" ht="24.75" customHeight="1" x14ac:dyDescent="0.25">
      <c r="A16" s="100" t="s">
        <v>39</v>
      </c>
      <c r="B16" s="1874">
        <v>91380</v>
      </c>
      <c r="C16" s="1876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1877"/>
      <c r="R16" s="1877"/>
      <c r="S16" s="1609"/>
      <c r="T16" s="1871" t="s">
        <v>55</v>
      </c>
      <c r="U16" s="1871"/>
      <c r="V16" s="1878">
        <f>Y12</f>
        <v>205367.06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1855"/>
      <c r="R17" s="1855"/>
      <c r="S17" s="1606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97416</v>
      </c>
      <c r="C18" s="1876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1877"/>
      <c r="R18" s="1877"/>
      <c r="S18" s="1604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311346</v>
      </c>
      <c r="C19" s="1876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1874">
        <f t="shared" si="14"/>
        <v>10</v>
      </c>
      <c r="R19" s="1876"/>
      <c r="S19" s="1604">
        <f>S15+S16-S17-S18</f>
        <v>2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299670.52500000002</v>
      </c>
      <c r="C20" s="1904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554030.92500000005</v>
      </c>
      <c r="C21" s="1910"/>
      <c r="O21" s="1613"/>
      <c r="P21" s="1613"/>
      <c r="Q21" s="1613"/>
      <c r="R21" s="1613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100000</v>
      </c>
      <c r="D22" s="1908">
        <v>100000</v>
      </c>
      <c r="E22" s="1908">
        <v>178550</v>
      </c>
      <c r="F22" s="1908">
        <f>C22-D22+E22</f>
        <v>178550</v>
      </c>
      <c r="G22" s="1613"/>
      <c r="Q22" s="1613"/>
      <c r="R22" s="1613"/>
      <c r="T22" s="1863" t="s">
        <v>83</v>
      </c>
      <c r="U22" s="50" t="s">
        <v>60</v>
      </c>
      <c r="V22" s="1877">
        <v>187900</v>
      </c>
      <c r="W22" s="1877"/>
      <c r="X22" s="1877"/>
      <c r="Y22" s="1883"/>
    </row>
    <row r="23" spans="1:25" ht="39.75" customHeight="1" x14ac:dyDescent="0.25">
      <c r="A23" s="1613"/>
      <c r="B23" s="1906"/>
      <c r="C23" s="1909"/>
      <c r="D23" s="1909"/>
      <c r="E23" s="1909"/>
      <c r="F23" s="1909"/>
      <c r="G23" s="1613"/>
      <c r="Q23" s="1613"/>
      <c r="R23" s="1613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161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1849" t="s">
        <v>47</v>
      </c>
      <c r="U24" s="51" t="s">
        <v>62</v>
      </c>
      <c r="V24" s="1879">
        <f>V14+V16+V17-V18-V19-V20-V22+V23-V21</f>
        <v>31366.059999999998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110922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13"/>
      <c r="J33" s="161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842" t="s">
        <v>512</v>
      </c>
      <c r="U3" s="1842"/>
      <c r="V3" s="1842"/>
      <c r="W3" s="1842"/>
      <c r="X3" s="1842"/>
      <c r="Y3" s="1842"/>
    </row>
    <row r="4" spans="1:25" s="161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19" customFormat="1" ht="25.5" customHeight="1" x14ac:dyDescent="0.25">
      <c r="A5" s="1843"/>
      <c r="B5" s="1843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914" t="s">
        <v>479</v>
      </c>
      <c r="R14" s="1915"/>
      <c r="S14" s="1623" t="s">
        <v>401</v>
      </c>
      <c r="T14" s="1849" t="s">
        <v>46</v>
      </c>
      <c r="U14" s="1617" t="s">
        <v>176</v>
      </c>
      <c r="V14" s="1874">
        <v>31366</v>
      </c>
      <c r="W14" s="1875"/>
      <c r="X14" s="1876"/>
    </row>
    <row r="15" spans="1:25" ht="22.5" customHeight="1" x14ac:dyDescent="0.25">
      <c r="A15" s="100" t="s">
        <v>38</v>
      </c>
      <c r="B15" s="1874">
        <v>311346</v>
      </c>
      <c r="C15" s="1876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874">
        <v>10</v>
      </c>
      <c r="R15" s="1876"/>
      <c r="S15" s="1617">
        <v>2</v>
      </c>
      <c r="T15" s="1849"/>
      <c r="U15" s="1617" t="s">
        <v>64</v>
      </c>
      <c r="V15" s="1877">
        <v>110922</v>
      </c>
      <c r="W15" s="1877"/>
      <c r="X15" s="1877"/>
    </row>
    <row r="16" spans="1:25" ht="24.75" customHeight="1" x14ac:dyDescent="0.25">
      <c r="A16" s="100" t="s">
        <v>39</v>
      </c>
      <c r="B16" s="1874">
        <v>121558</v>
      </c>
      <c r="C16" s="1876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877"/>
      <c r="R16" s="1877"/>
      <c r="S16" s="1620"/>
      <c r="T16" s="1871" t="s">
        <v>55</v>
      </c>
      <c r="U16" s="1871"/>
      <c r="V16" s="1878">
        <f>Y12</f>
        <v>140827.04500000001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855"/>
      <c r="R17" s="1855"/>
      <c r="S17" s="1616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122362</v>
      </c>
      <c r="C18" s="1876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877"/>
      <c r="R18" s="1877"/>
      <c r="S18" s="1617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310542</v>
      </c>
      <c r="C19" s="1876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874">
        <f t="shared" si="14"/>
        <v>10</v>
      </c>
      <c r="R19" s="1876"/>
      <c r="S19" s="1617">
        <f>S15+S16-S17-S18</f>
        <v>2</v>
      </c>
      <c r="T19" s="1869" t="s">
        <v>48</v>
      </c>
      <c r="U19" s="49" t="s">
        <v>58</v>
      </c>
      <c r="V19" s="1877">
        <v>178550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298896.67499999999</v>
      </c>
      <c r="C20" s="1904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531651.27499999991</v>
      </c>
      <c r="C21" s="1910"/>
      <c r="O21" s="1624"/>
      <c r="P21" s="1624"/>
      <c r="Q21" s="1624"/>
      <c r="R21" s="1624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178550</v>
      </c>
      <c r="D22" s="1908">
        <v>178550</v>
      </c>
      <c r="E22" s="1908">
        <v>118000</v>
      </c>
      <c r="F22" s="1908">
        <f>C22-D22+E22</f>
        <v>118000</v>
      </c>
      <c r="G22" s="1624"/>
      <c r="Q22" s="1624"/>
      <c r="R22" s="1624"/>
      <c r="T22" s="1863" t="s">
        <v>83</v>
      </c>
      <c r="U22" s="50" t="s">
        <v>60</v>
      </c>
      <c r="V22" s="1877">
        <v>141690</v>
      </c>
      <c r="W22" s="1877"/>
      <c r="X22" s="1877"/>
      <c r="Y22" s="1883"/>
    </row>
    <row r="23" spans="1:25" ht="39.75" customHeight="1" x14ac:dyDescent="0.25">
      <c r="A23" s="1624"/>
      <c r="B23" s="1906"/>
      <c r="C23" s="1909"/>
      <c r="D23" s="1909"/>
      <c r="E23" s="1909"/>
      <c r="F23" s="1909"/>
      <c r="G23" s="1624"/>
      <c r="Q23" s="1624"/>
      <c r="R23" s="1624"/>
      <c r="T23" s="1864"/>
      <c r="U23" s="50" t="s">
        <v>61</v>
      </c>
      <c r="V23" s="1877">
        <v>178550</v>
      </c>
      <c r="W23" s="1877"/>
      <c r="X23" s="1877"/>
      <c r="Y23" s="1883"/>
    </row>
    <row r="24" spans="1:25" ht="48" customHeight="1" x14ac:dyDescent="0.25">
      <c r="A24" s="162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849" t="s">
        <v>47</v>
      </c>
      <c r="U24" s="51" t="s">
        <v>62</v>
      </c>
      <c r="V24" s="1879">
        <f>V14+V16+V17-V18-V19-V20-V22+V23-V21</f>
        <v>29983.045000000013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74062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24"/>
      <c r="J33" s="162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1842" t="s">
        <v>513</v>
      </c>
      <c r="U3" s="1842"/>
      <c r="V3" s="1842"/>
      <c r="W3" s="1842"/>
      <c r="X3" s="1842"/>
      <c r="Y3" s="1842"/>
    </row>
    <row r="4" spans="1:25" s="161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19" customFormat="1" ht="25.5" customHeight="1" x14ac:dyDescent="0.25">
      <c r="A5" s="1843"/>
      <c r="B5" s="1843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1914" t="s">
        <v>479</v>
      </c>
      <c r="R14" s="1915"/>
      <c r="S14" s="1623" t="s">
        <v>401</v>
      </c>
      <c r="T14" s="1849" t="s">
        <v>46</v>
      </c>
      <c r="U14" s="1617" t="s">
        <v>176</v>
      </c>
      <c r="V14" s="1874">
        <v>29983</v>
      </c>
      <c r="W14" s="1875"/>
      <c r="X14" s="1876"/>
    </row>
    <row r="15" spans="1:25" ht="22.5" customHeight="1" x14ac:dyDescent="0.25">
      <c r="A15" s="100" t="s">
        <v>38</v>
      </c>
      <c r="B15" s="1874">
        <v>310542</v>
      </c>
      <c r="C15" s="1876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1874">
        <v>10</v>
      </c>
      <c r="R15" s="1876"/>
      <c r="S15" s="1617">
        <v>2</v>
      </c>
      <c r="T15" s="1849"/>
      <c r="U15" s="1617" t="s">
        <v>64</v>
      </c>
      <c r="V15" s="1877">
        <v>74062</v>
      </c>
      <c r="W15" s="1877"/>
      <c r="X15" s="1877"/>
    </row>
    <row r="16" spans="1:25" ht="24.75" customHeight="1" x14ac:dyDescent="0.25">
      <c r="A16" s="100" t="s">
        <v>39</v>
      </c>
      <c r="B16" s="1874">
        <v>192208</v>
      </c>
      <c r="C16" s="1876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1877"/>
      <c r="R16" s="1877"/>
      <c r="S16" s="1620"/>
      <c r="T16" s="1871" t="s">
        <v>55</v>
      </c>
      <c r="U16" s="1871"/>
      <c r="V16" s="1878">
        <f>Y12</f>
        <v>226309.95749999999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1855"/>
      <c r="R17" s="1855"/>
      <c r="S17" s="1616"/>
      <c r="T17" s="1900" t="s">
        <v>473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193347</v>
      </c>
      <c r="C18" s="1876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1877"/>
      <c r="R18" s="1877"/>
      <c r="S18" s="1617"/>
      <c r="T18" s="1871" t="s">
        <v>57</v>
      </c>
      <c r="U18" s="1871"/>
      <c r="V18" s="1877">
        <v>1540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309403</v>
      </c>
      <c r="C19" s="1876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1874">
        <f t="shared" si="14"/>
        <v>10</v>
      </c>
      <c r="R19" s="1876"/>
      <c r="S19" s="1617">
        <f>S15+S16-S17-S18</f>
        <v>2</v>
      </c>
      <c r="T19" s="1869" t="s">
        <v>48</v>
      </c>
      <c r="U19" s="49" t="s">
        <v>58</v>
      </c>
      <c r="V19" s="1877">
        <v>118000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297800.38750000001</v>
      </c>
      <c r="C20" s="1904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492751.98749999999</v>
      </c>
      <c r="C21" s="1910"/>
      <c r="O21" s="1624"/>
      <c r="P21" s="1624"/>
      <c r="Q21" s="1624"/>
      <c r="R21" s="1624"/>
      <c r="T21" s="1900" t="s">
        <v>487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118000</v>
      </c>
      <c r="D22" s="1908">
        <v>118000</v>
      </c>
      <c r="E22" s="1908">
        <v>185000</v>
      </c>
      <c r="F22" s="1908">
        <f>C22-D22+E22</f>
        <v>185000</v>
      </c>
      <c r="G22" s="1624"/>
      <c r="Q22" s="1624"/>
      <c r="R22" s="1624"/>
      <c r="T22" s="1863" t="s">
        <v>83</v>
      </c>
      <c r="U22" s="50" t="s">
        <v>60</v>
      </c>
      <c r="V22" s="1877">
        <v>219170</v>
      </c>
      <c r="W22" s="1877"/>
      <c r="X22" s="1877"/>
      <c r="Y22" s="1883"/>
    </row>
    <row r="23" spans="1:25" ht="39.75" customHeight="1" x14ac:dyDescent="0.25">
      <c r="A23" s="1624"/>
      <c r="B23" s="1906"/>
      <c r="C23" s="1909"/>
      <c r="D23" s="1909"/>
      <c r="E23" s="1909"/>
      <c r="F23" s="1909"/>
      <c r="G23" s="1624"/>
      <c r="Q23" s="1624"/>
      <c r="R23" s="1624"/>
      <c r="T23" s="1864"/>
      <c r="U23" s="50" t="s">
        <v>61</v>
      </c>
      <c r="V23" s="1877">
        <v>118000</v>
      </c>
      <c r="W23" s="1877"/>
      <c r="X23" s="1877"/>
      <c r="Y23" s="1883"/>
    </row>
    <row r="24" spans="1:25" ht="48" customHeight="1" x14ac:dyDescent="0.25">
      <c r="A24" s="162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1849" t="s">
        <v>47</v>
      </c>
      <c r="U24" s="51" t="s">
        <v>62</v>
      </c>
      <c r="V24" s="1879">
        <f>V14+V16+V17-V18-V19-V20-V22+V23-V21</f>
        <v>35582.95749999999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175232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24"/>
      <c r="J33" s="162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1842" t="s">
        <v>514</v>
      </c>
      <c r="U3" s="1842"/>
      <c r="V3" s="1842"/>
      <c r="W3" s="1842"/>
      <c r="X3" s="1842"/>
      <c r="Y3" s="1842"/>
    </row>
    <row r="4" spans="1:25" s="162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25" customFormat="1" ht="25.5" customHeight="1" x14ac:dyDescent="0.25">
      <c r="A5" s="1843"/>
      <c r="B5" s="1843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1914" t="s">
        <v>479</v>
      </c>
      <c r="R14" s="1915"/>
      <c r="S14" s="1634" t="s">
        <v>401</v>
      </c>
      <c r="T14" s="1849" t="s">
        <v>46</v>
      </c>
      <c r="U14" s="1626" t="s">
        <v>176</v>
      </c>
      <c r="V14" s="1874">
        <v>35583</v>
      </c>
      <c r="W14" s="1875"/>
      <c r="X14" s="1876"/>
    </row>
    <row r="15" spans="1:25" ht="22.5" customHeight="1" x14ac:dyDescent="0.25">
      <c r="A15" s="100" t="s">
        <v>38</v>
      </c>
      <c r="B15" s="1874">
        <v>309403</v>
      </c>
      <c r="C15" s="1876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1874">
        <v>10</v>
      </c>
      <c r="R15" s="1876"/>
      <c r="S15" s="1626">
        <v>2</v>
      </c>
      <c r="T15" s="1849"/>
      <c r="U15" s="1626" t="s">
        <v>64</v>
      </c>
      <c r="V15" s="1877">
        <v>175232</v>
      </c>
      <c r="W15" s="1877"/>
      <c r="X15" s="1877"/>
    </row>
    <row r="16" spans="1:25" ht="24.75" customHeight="1" x14ac:dyDescent="0.25">
      <c r="A16" s="100" t="s">
        <v>39</v>
      </c>
      <c r="B16" s="1874">
        <v>243909</v>
      </c>
      <c r="C16" s="1876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1877"/>
      <c r="R16" s="1877"/>
      <c r="S16" s="1631"/>
      <c r="T16" s="1871" t="s">
        <v>55</v>
      </c>
      <c r="U16" s="1871"/>
      <c r="V16" s="1878">
        <f>Y12</f>
        <v>159860.94500000001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1855"/>
      <c r="R17" s="1855"/>
      <c r="S17" s="1628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150802</v>
      </c>
      <c r="C18" s="1876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1877"/>
      <c r="R18" s="1877"/>
      <c r="S18" s="1626"/>
      <c r="T18" s="1871" t="s">
        <v>57</v>
      </c>
      <c r="U18" s="1871"/>
      <c r="V18" s="1877">
        <v>910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402510</v>
      </c>
      <c r="C19" s="1876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1874">
        <f t="shared" si="14"/>
        <v>10</v>
      </c>
      <c r="R19" s="1876"/>
      <c r="S19" s="1626">
        <f>S15+S16-S17-S18</f>
        <v>2</v>
      </c>
      <c r="T19" s="1869" t="s">
        <v>48</v>
      </c>
      <c r="U19" s="49" t="s">
        <v>58</v>
      </c>
      <c r="V19" s="1877">
        <v>185000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387415.875</v>
      </c>
      <c r="C20" s="1904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70000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804575.67500000005</v>
      </c>
      <c r="C21" s="1910"/>
      <c r="O21" s="1635"/>
      <c r="P21" s="1635"/>
      <c r="Q21" s="1635"/>
      <c r="R21" s="1635"/>
      <c r="T21" s="1900" t="s">
        <v>515</v>
      </c>
      <c r="U21" s="1901"/>
      <c r="V21" s="1911">
        <v>70000</v>
      </c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185000</v>
      </c>
      <c r="D22" s="1908">
        <v>185000</v>
      </c>
      <c r="E22" s="1908">
        <v>400000</v>
      </c>
      <c r="F22" s="1908">
        <f>C22-D22+E22</f>
        <v>400000</v>
      </c>
      <c r="G22" s="1635"/>
      <c r="Q22" s="1635"/>
      <c r="R22" s="1635"/>
      <c r="T22" s="1863" t="s">
        <v>83</v>
      </c>
      <c r="U22" s="50" t="s">
        <v>60</v>
      </c>
      <c r="V22" s="1877">
        <v>91980</v>
      </c>
      <c r="W22" s="1877"/>
      <c r="X22" s="1877"/>
      <c r="Y22" s="1883"/>
    </row>
    <row r="23" spans="1:25" ht="39.75" customHeight="1" x14ac:dyDescent="0.25">
      <c r="A23" s="1635"/>
      <c r="B23" s="1906"/>
      <c r="C23" s="1909"/>
      <c r="D23" s="1909"/>
      <c r="E23" s="1909"/>
      <c r="F23" s="1909"/>
      <c r="G23" s="1635"/>
      <c r="Q23" s="1635"/>
      <c r="R23" s="1635"/>
      <c r="T23" s="1864"/>
      <c r="U23" s="50" t="s">
        <v>61</v>
      </c>
      <c r="V23" s="1877">
        <v>255000</v>
      </c>
      <c r="W23" s="1877"/>
      <c r="X23" s="1877"/>
      <c r="Y23" s="1883"/>
    </row>
    <row r="24" spans="1:25" ht="48" customHeight="1" x14ac:dyDescent="0.25">
      <c r="A24" s="163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1849" t="s">
        <v>47</v>
      </c>
      <c r="U24" s="51" t="s">
        <v>62</v>
      </c>
      <c r="V24" s="1879">
        <f>V14+V16+V17-V18-V19-V20-V22+V23-V21</f>
        <v>32553.945000000007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12212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35"/>
      <c r="J33" s="163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1842" t="s">
        <v>516</v>
      </c>
      <c r="U3" s="1842"/>
      <c r="V3" s="1842"/>
      <c r="W3" s="1842"/>
      <c r="X3" s="1842"/>
      <c r="Y3" s="1842"/>
    </row>
    <row r="4" spans="1:25" s="164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41" customFormat="1" ht="25.5" customHeight="1" x14ac:dyDescent="0.25">
      <c r="A5" s="1843"/>
      <c r="B5" s="1843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1914" t="s">
        <v>479</v>
      </c>
      <c r="R14" s="1915"/>
      <c r="S14" s="1645" t="s">
        <v>401</v>
      </c>
      <c r="T14" s="1849" t="s">
        <v>46</v>
      </c>
      <c r="U14" s="1639" t="s">
        <v>176</v>
      </c>
      <c r="V14" s="1874">
        <v>32554</v>
      </c>
      <c r="W14" s="1875"/>
      <c r="X14" s="1876"/>
    </row>
    <row r="15" spans="1:25" ht="22.5" customHeight="1" x14ac:dyDescent="0.25">
      <c r="A15" s="100" t="s">
        <v>38</v>
      </c>
      <c r="B15" s="1874">
        <v>402510</v>
      </c>
      <c r="C15" s="1876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1874">
        <v>10</v>
      </c>
      <c r="R15" s="1876"/>
      <c r="S15" s="1639">
        <v>2</v>
      </c>
      <c r="T15" s="1849"/>
      <c r="U15" s="1639" t="s">
        <v>64</v>
      </c>
      <c r="V15" s="1877">
        <v>12212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1877"/>
      <c r="R16" s="1877"/>
      <c r="S16" s="1642"/>
      <c r="T16" s="1871" t="s">
        <v>55</v>
      </c>
      <c r="U16" s="1871"/>
      <c r="V16" s="1878">
        <f>Y12</f>
        <v>138308.95500000002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1855"/>
      <c r="R17" s="1855"/>
      <c r="S17" s="1638"/>
      <c r="T17" s="1900" t="s">
        <v>463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91238</v>
      </c>
      <c r="C18" s="1876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1877"/>
      <c r="R18" s="1877"/>
      <c r="S18" s="1639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311272</v>
      </c>
      <c r="C19" s="1876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1874">
        <f t="shared" si="14"/>
        <v>10</v>
      </c>
      <c r="R19" s="1876"/>
      <c r="S19" s="1639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299599.3</v>
      </c>
      <c r="C20" s="1904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667688.29999999993</v>
      </c>
      <c r="C21" s="1910"/>
      <c r="O21" s="1646"/>
      <c r="P21" s="1646"/>
      <c r="Q21" s="1646"/>
      <c r="R21" s="1646"/>
      <c r="T21" s="1900" t="s">
        <v>515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646"/>
      <c r="Q22" s="1646"/>
      <c r="R22" s="1646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646"/>
      <c r="B23" s="1906"/>
      <c r="C23" s="1909"/>
      <c r="D23" s="1909"/>
      <c r="E23" s="1909"/>
      <c r="F23" s="1909"/>
      <c r="G23" s="1646"/>
      <c r="Q23" s="1646"/>
      <c r="R23" s="1646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64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1849" t="s">
        <v>47</v>
      </c>
      <c r="U24" s="51" t="s">
        <v>62</v>
      </c>
      <c r="V24" s="1879">
        <f>V14+V16+V17-V18-V19-V20-V22+V23-V21</f>
        <v>170242.95500000002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12212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46"/>
      <c r="J33" s="1646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842" t="s">
        <v>517</v>
      </c>
      <c r="U3" s="1842"/>
      <c r="V3" s="1842"/>
      <c r="W3" s="1842"/>
      <c r="X3" s="1842"/>
      <c r="Y3" s="1842"/>
    </row>
    <row r="4" spans="1:25" s="165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52" customFormat="1" ht="25.5" customHeight="1" x14ac:dyDescent="0.25">
      <c r="A5" s="1843"/>
      <c r="B5" s="1843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1914" t="s">
        <v>479</v>
      </c>
      <c r="R14" s="1915"/>
      <c r="S14" s="1656" t="s">
        <v>401</v>
      </c>
      <c r="T14" s="1849" t="s">
        <v>46</v>
      </c>
      <c r="U14" s="1650" t="s">
        <v>176</v>
      </c>
      <c r="V14" s="1874">
        <v>170243</v>
      </c>
      <c r="W14" s="1875"/>
      <c r="X14" s="1876"/>
    </row>
    <row r="15" spans="1:25" ht="22.5" customHeight="1" x14ac:dyDescent="0.25">
      <c r="A15" s="100" t="s">
        <v>38</v>
      </c>
      <c r="B15" s="1874">
        <v>311272</v>
      </c>
      <c r="C15" s="1876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1874">
        <v>10</v>
      </c>
      <c r="R15" s="1876"/>
      <c r="S15" s="1650">
        <v>2</v>
      </c>
      <c r="T15" s="1849"/>
      <c r="U15" s="1650" t="s">
        <v>64</v>
      </c>
      <c r="V15" s="1877">
        <v>12212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1877"/>
      <c r="R16" s="1877"/>
      <c r="S16" s="1653"/>
      <c r="T16" s="1871" t="s">
        <v>55</v>
      </c>
      <c r="U16" s="1871"/>
      <c r="V16" s="1878">
        <f>Y12</f>
        <v>204758.00750000001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855"/>
      <c r="R17" s="1855"/>
      <c r="S17" s="1649"/>
      <c r="T17" s="1900" t="s">
        <v>519</v>
      </c>
      <c r="U17" s="1901"/>
      <c r="V17" s="1902">
        <v>70000</v>
      </c>
      <c r="W17" s="1902"/>
      <c r="X17" s="1902"/>
    </row>
    <row r="18" spans="1:25" ht="27" customHeight="1" x14ac:dyDescent="0.25">
      <c r="A18" s="100" t="s">
        <v>40</v>
      </c>
      <c r="B18" s="1880">
        <f>C12</f>
        <v>104327</v>
      </c>
      <c r="C18" s="1876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1877"/>
      <c r="R18" s="1877"/>
      <c r="S18" s="1650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310841</v>
      </c>
      <c r="C19" s="1876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1874">
        <f t="shared" si="14"/>
        <v>10</v>
      </c>
      <c r="R19" s="1876"/>
      <c r="S19" s="1650">
        <f>S15+S16-S17-S18</f>
        <v>2</v>
      </c>
      <c r="T19" s="1869" t="s">
        <v>48</v>
      </c>
      <c r="U19" s="49" t="s">
        <v>58</v>
      </c>
      <c r="V19" s="1877">
        <v>400000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299184.46250000002</v>
      </c>
      <c r="C20" s="1904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565207.58250000002</v>
      </c>
      <c r="C21" s="1910"/>
      <c r="O21" s="1657"/>
      <c r="P21" s="1657"/>
      <c r="Q21" s="1657"/>
      <c r="R21" s="1657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400000</v>
      </c>
      <c r="E22" s="1908">
        <v>100000</v>
      </c>
      <c r="F22" s="1908">
        <f>C22-D22+E22</f>
        <v>100000</v>
      </c>
      <c r="G22" s="1657"/>
      <c r="Q22" s="1657"/>
      <c r="R22" s="1657"/>
      <c r="T22" s="1863" t="s">
        <v>83</v>
      </c>
      <c r="U22" s="50" t="s">
        <v>60</v>
      </c>
      <c r="V22" s="1877">
        <v>422710</v>
      </c>
      <c r="W22" s="1877"/>
      <c r="X22" s="1877"/>
      <c r="Y22" s="1883"/>
    </row>
    <row r="23" spans="1:25" ht="39.75" customHeight="1" x14ac:dyDescent="0.25">
      <c r="A23" s="1657"/>
      <c r="B23" s="1906"/>
      <c r="C23" s="1909"/>
      <c r="D23" s="1909"/>
      <c r="E23" s="1909"/>
      <c r="F23" s="1909"/>
      <c r="G23" s="1657"/>
      <c r="Q23" s="1657"/>
      <c r="R23" s="1657"/>
      <c r="T23" s="1864"/>
      <c r="U23" s="50" t="s">
        <v>61</v>
      </c>
      <c r="V23" s="1877">
        <v>400000</v>
      </c>
      <c r="W23" s="1877"/>
      <c r="X23" s="1877"/>
      <c r="Y23" s="1883"/>
    </row>
    <row r="24" spans="1:25" ht="48" customHeight="1" x14ac:dyDescent="0.25">
      <c r="A24" s="165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849" t="s">
        <v>47</v>
      </c>
      <c r="U24" s="51" t="s">
        <v>62</v>
      </c>
      <c r="V24" s="1879">
        <f>V14+V16+V17-V18-V19-V20-V22+V23-V21</f>
        <v>21771.007500000007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34922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57"/>
      <c r="J33" s="165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1842" t="s">
        <v>520</v>
      </c>
      <c r="U3" s="1842"/>
      <c r="V3" s="1842"/>
      <c r="W3" s="1842"/>
      <c r="X3" s="1842"/>
      <c r="Y3" s="1842"/>
    </row>
    <row r="4" spans="1:25" s="165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52" customFormat="1" ht="25.5" customHeight="1" x14ac:dyDescent="0.25">
      <c r="A5" s="1843"/>
      <c r="B5" s="1843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1914" t="s">
        <v>479</v>
      </c>
      <c r="R14" s="1915"/>
      <c r="S14" s="1656" t="s">
        <v>401</v>
      </c>
      <c r="T14" s="1849" t="s">
        <v>46</v>
      </c>
      <c r="U14" s="1650" t="s">
        <v>176</v>
      </c>
      <c r="V14" s="1874">
        <v>21771</v>
      </c>
      <c r="W14" s="1875"/>
      <c r="X14" s="1876"/>
    </row>
    <row r="15" spans="1:25" ht="22.5" customHeight="1" x14ac:dyDescent="0.25">
      <c r="A15" s="100" t="s">
        <v>38</v>
      </c>
      <c r="B15" s="1874">
        <v>310841</v>
      </c>
      <c r="C15" s="1876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1874">
        <v>10</v>
      </c>
      <c r="R15" s="1876"/>
      <c r="S15" s="1650">
        <v>2</v>
      </c>
      <c r="T15" s="1849"/>
      <c r="U15" s="1650" t="s">
        <v>64</v>
      </c>
      <c r="V15" s="1877">
        <v>34922</v>
      </c>
      <c r="W15" s="1877"/>
      <c r="X15" s="1877"/>
    </row>
    <row r="16" spans="1:25" ht="24.75" customHeight="1" x14ac:dyDescent="0.25">
      <c r="A16" s="100" t="s">
        <v>39</v>
      </c>
      <c r="B16" s="1874">
        <v>84603</v>
      </c>
      <c r="C16" s="1876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1877"/>
      <c r="R16" s="1877"/>
      <c r="S16" s="1653"/>
      <c r="T16" s="1871" t="s">
        <v>55</v>
      </c>
      <c r="U16" s="1871"/>
      <c r="V16" s="1878">
        <f>Y12</f>
        <v>170560.95750000002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1855"/>
      <c r="R17" s="1855"/>
      <c r="S17" s="1649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83747</v>
      </c>
      <c r="C18" s="1876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1877"/>
      <c r="R18" s="1877"/>
      <c r="S18" s="1650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311697</v>
      </c>
      <c r="C19" s="1876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1874">
        <f t="shared" si="14"/>
        <v>10</v>
      </c>
      <c r="R19" s="1876"/>
      <c r="S19" s="1650">
        <f>S15+S16-S17-S18</f>
        <v>2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300008.36249999999</v>
      </c>
      <c r="C20" s="1904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615207.73450000002</v>
      </c>
      <c r="C21" s="1910"/>
      <c r="O21" s="1657"/>
      <c r="P21" s="1657"/>
      <c r="Q21" s="1657"/>
      <c r="R21" s="1657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100000</v>
      </c>
      <c r="D22" s="1908">
        <v>100000</v>
      </c>
      <c r="E22" s="1908">
        <v>218755</v>
      </c>
      <c r="F22" s="1908">
        <f>C22-D22+E22</f>
        <v>218755</v>
      </c>
      <c r="G22" s="1657"/>
      <c r="Q22" s="1657"/>
      <c r="R22" s="1657"/>
      <c r="T22" s="1863" t="s">
        <v>83</v>
      </c>
      <c r="U22" s="50" t="s">
        <v>60</v>
      </c>
      <c r="V22" s="1877">
        <v>184530</v>
      </c>
      <c r="W22" s="1877"/>
      <c r="X22" s="1877"/>
      <c r="Y22" s="1883"/>
    </row>
    <row r="23" spans="1:25" ht="39.75" customHeight="1" x14ac:dyDescent="0.25">
      <c r="A23" s="1657"/>
      <c r="B23" s="1906"/>
      <c r="C23" s="1909"/>
      <c r="D23" s="1909"/>
      <c r="E23" s="1909"/>
      <c r="F23" s="1909"/>
      <c r="G23" s="1657"/>
      <c r="Q23" s="1657"/>
      <c r="R23" s="1657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165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1849" t="s">
        <v>47</v>
      </c>
      <c r="U24" s="51" t="s">
        <v>62</v>
      </c>
      <c r="V24" s="1879">
        <f>V14+V16+V17-V18-V19-V20-V22+V23-V21</f>
        <v>7181.9575000000186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119452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57"/>
      <c r="J33" s="1657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1842" t="s">
        <v>522</v>
      </c>
      <c r="U3" s="1842"/>
      <c r="V3" s="1842"/>
      <c r="W3" s="1842"/>
      <c r="X3" s="1842"/>
      <c r="Y3" s="1842"/>
    </row>
    <row r="4" spans="1:25" s="165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58" customFormat="1" ht="25.5" customHeight="1" x14ac:dyDescent="0.25">
      <c r="A5" s="1843"/>
      <c r="B5" s="1843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1914" t="s">
        <v>479</v>
      </c>
      <c r="R14" s="1915"/>
      <c r="S14" s="1667" t="s">
        <v>401</v>
      </c>
      <c r="T14" s="1849" t="s">
        <v>46</v>
      </c>
      <c r="U14" s="1659" t="s">
        <v>176</v>
      </c>
      <c r="V14" s="1874">
        <v>7182</v>
      </c>
      <c r="W14" s="1875"/>
      <c r="X14" s="1876"/>
    </row>
    <row r="15" spans="1:25" ht="22.5" customHeight="1" x14ac:dyDescent="0.25">
      <c r="A15" s="100" t="s">
        <v>38</v>
      </c>
      <c r="B15" s="1874">
        <v>311697</v>
      </c>
      <c r="C15" s="1876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1874">
        <v>10</v>
      </c>
      <c r="R15" s="1876"/>
      <c r="S15" s="1659">
        <v>2</v>
      </c>
      <c r="T15" s="1849"/>
      <c r="U15" s="1659" t="s">
        <v>64</v>
      </c>
      <c r="V15" s="1877">
        <v>119452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1877"/>
      <c r="R16" s="1877"/>
      <c r="S16" s="1664"/>
      <c r="T16" s="1871" t="s">
        <v>55</v>
      </c>
      <c r="U16" s="1871"/>
      <c r="V16" s="1878">
        <f>Y12</f>
        <v>130320.8775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1855"/>
      <c r="R17" s="1855"/>
      <c r="S17" s="1661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100259</v>
      </c>
      <c r="C18" s="1876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1877"/>
      <c r="R18" s="1877"/>
      <c r="S18" s="1659"/>
      <c r="T18" s="1871" t="s">
        <v>57</v>
      </c>
      <c r="U18" s="1871"/>
      <c r="V18" s="1877">
        <v>5220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315334</v>
      </c>
      <c r="C19" s="1876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1874">
        <f t="shared" si="14"/>
        <v>10</v>
      </c>
      <c r="R19" s="1876"/>
      <c r="S19" s="1659">
        <f>S15+S16-S17-S18</f>
        <v>2</v>
      </c>
      <c r="T19" s="1869" t="s">
        <v>48</v>
      </c>
      <c r="U19" s="49" t="s">
        <v>58</v>
      </c>
      <c r="V19" s="1877">
        <v>218755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303508.97500000003</v>
      </c>
      <c r="C20" s="1904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586325.97499999998</v>
      </c>
      <c r="C21" s="1910"/>
      <c r="O21" s="1668"/>
      <c r="P21" s="1668"/>
      <c r="Q21" s="1668"/>
      <c r="R21" s="1668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218755</v>
      </c>
      <c r="D22" s="1908">
        <v>218755</v>
      </c>
      <c r="E22" s="1908">
        <v>100000</v>
      </c>
      <c r="F22" s="1908">
        <f>C22-D22+E22</f>
        <v>100000</v>
      </c>
      <c r="G22" s="1668"/>
      <c r="Q22" s="1668"/>
      <c r="R22" s="1668"/>
      <c r="T22" s="1863" t="s">
        <v>83</v>
      </c>
      <c r="U22" s="50" t="s">
        <v>60</v>
      </c>
      <c r="V22" s="1877">
        <v>124030</v>
      </c>
      <c r="W22" s="1877"/>
      <c r="X22" s="1877"/>
      <c r="Y22" s="1883"/>
    </row>
    <row r="23" spans="1:25" ht="39.75" customHeight="1" x14ac:dyDescent="0.25">
      <c r="A23" s="1668"/>
      <c r="B23" s="1906"/>
      <c r="C23" s="1909"/>
      <c r="D23" s="1909"/>
      <c r="E23" s="1909"/>
      <c r="F23" s="1909"/>
      <c r="G23" s="1668"/>
      <c r="Q23" s="1668"/>
      <c r="R23" s="1668"/>
      <c r="T23" s="1864"/>
      <c r="U23" s="50" t="s">
        <v>61</v>
      </c>
      <c r="V23" s="1877">
        <v>218755</v>
      </c>
      <c r="W23" s="1877"/>
      <c r="X23" s="1877"/>
      <c r="Y23" s="1883"/>
    </row>
    <row r="24" spans="1:25" ht="48" customHeight="1" x14ac:dyDescent="0.25">
      <c r="A24" s="166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1849" t="s">
        <v>47</v>
      </c>
      <c r="U24" s="51" t="s">
        <v>62</v>
      </c>
      <c r="V24" s="1879">
        <f>V14+V16+V17-V18-V19-V20-V22+V23-V21</f>
        <v>8252.8775000000023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24727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68"/>
      <c r="J33" s="1668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1842" t="s">
        <v>523</v>
      </c>
      <c r="U3" s="1842"/>
      <c r="V3" s="1842"/>
      <c r="W3" s="1842"/>
      <c r="X3" s="1842"/>
      <c r="Y3" s="1842"/>
    </row>
    <row r="4" spans="1:25" s="166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69" customFormat="1" ht="25.5" customHeight="1" x14ac:dyDescent="0.25">
      <c r="A5" s="1843"/>
      <c r="B5" s="1843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1914" t="s">
        <v>479</v>
      </c>
      <c r="R14" s="1915"/>
      <c r="S14" s="1678" t="s">
        <v>401</v>
      </c>
      <c r="T14" s="1849" t="s">
        <v>46</v>
      </c>
      <c r="U14" s="1670" t="s">
        <v>176</v>
      </c>
      <c r="V14" s="1874">
        <v>8253</v>
      </c>
      <c r="W14" s="1875"/>
      <c r="X14" s="1876"/>
    </row>
    <row r="15" spans="1:25" ht="22.5" customHeight="1" x14ac:dyDescent="0.25">
      <c r="A15" s="100" t="s">
        <v>38</v>
      </c>
      <c r="B15" s="1874">
        <v>315334</v>
      </c>
      <c r="C15" s="1876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1874">
        <v>10</v>
      </c>
      <c r="R15" s="1876"/>
      <c r="S15" s="1670">
        <v>2</v>
      </c>
      <c r="T15" s="1849"/>
      <c r="U15" s="1670" t="s">
        <v>64</v>
      </c>
      <c r="V15" s="1877">
        <v>24727</v>
      </c>
      <c r="W15" s="1877"/>
      <c r="X15" s="1877"/>
    </row>
    <row r="16" spans="1:25" ht="24.75" customHeight="1" x14ac:dyDescent="0.25">
      <c r="A16" s="100" t="s">
        <v>39</v>
      </c>
      <c r="B16" s="1874">
        <v>363636</v>
      </c>
      <c r="C16" s="1876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1877"/>
      <c r="R16" s="1877"/>
      <c r="S16" s="1675"/>
      <c r="T16" s="1871" t="s">
        <v>55</v>
      </c>
      <c r="U16" s="1871"/>
      <c r="V16" s="1878">
        <f>Y12</f>
        <v>151689.33749999999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1855"/>
      <c r="R17" s="1855"/>
      <c r="S17" s="1672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155115</v>
      </c>
      <c r="C18" s="1876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1877"/>
      <c r="R18" s="1877"/>
      <c r="S18" s="1670"/>
      <c r="T18" s="1871" t="s">
        <v>57</v>
      </c>
      <c r="U18" s="1871"/>
      <c r="V18" s="1877">
        <v>770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523855</v>
      </c>
      <c r="C19" s="1876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1874">
        <f t="shared" si="14"/>
        <v>10</v>
      </c>
      <c r="R19" s="1876"/>
      <c r="S19" s="1670">
        <f>S15+S16-S17-S18</f>
        <v>2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504210.4375</v>
      </c>
      <c r="C20" s="1904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786195.03749999998</v>
      </c>
      <c r="C21" s="1910"/>
      <c r="O21" s="1679"/>
      <c r="P21" s="1679"/>
      <c r="Q21" s="1679"/>
      <c r="R21" s="1679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100000</v>
      </c>
      <c r="D22" s="1908">
        <v>100000</v>
      </c>
      <c r="E22" s="1908">
        <v>350000</v>
      </c>
      <c r="F22" s="1908">
        <f>C22-D22+E22</f>
        <v>350000</v>
      </c>
      <c r="G22" s="1679"/>
      <c r="Q22" s="1679"/>
      <c r="R22" s="1679"/>
      <c r="T22" s="1863" t="s">
        <v>83</v>
      </c>
      <c r="U22" s="50" t="s">
        <v>60</v>
      </c>
      <c r="V22" s="1877">
        <v>89300</v>
      </c>
      <c r="W22" s="1877"/>
      <c r="X22" s="1877"/>
      <c r="Y22" s="1883"/>
    </row>
    <row r="23" spans="1:25" ht="39.75" customHeight="1" x14ac:dyDescent="0.25">
      <c r="A23" s="1679"/>
      <c r="B23" s="1906"/>
      <c r="C23" s="1909"/>
      <c r="D23" s="1909"/>
      <c r="E23" s="1909"/>
      <c r="F23" s="1909"/>
      <c r="G23" s="1679"/>
      <c r="Q23" s="1679"/>
      <c r="R23" s="1679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167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1849" t="s">
        <v>47</v>
      </c>
      <c r="U24" s="51" t="s">
        <v>62</v>
      </c>
      <c r="V24" s="1879">
        <f>V14+V16+V17-V18-V19-V20-V22+V23-V21</f>
        <v>69872.337499999994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14027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79"/>
      <c r="J33" s="1679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1842" t="s">
        <v>524</v>
      </c>
      <c r="U3" s="1842"/>
      <c r="V3" s="1842"/>
      <c r="W3" s="1842"/>
      <c r="X3" s="1842"/>
      <c r="Y3" s="1842"/>
    </row>
    <row r="4" spans="1:25" s="168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85" customFormat="1" ht="25.5" customHeight="1" x14ac:dyDescent="0.25">
      <c r="A5" s="1843"/>
      <c r="B5" s="1843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1914" t="s">
        <v>479</v>
      </c>
      <c r="R14" s="1915"/>
      <c r="S14" s="1689" t="s">
        <v>401</v>
      </c>
      <c r="T14" s="1849" t="s">
        <v>46</v>
      </c>
      <c r="U14" s="1683" t="s">
        <v>176</v>
      </c>
      <c r="V14" s="1874">
        <v>69872</v>
      </c>
      <c r="W14" s="1875"/>
      <c r="X14" s="1876"/>
    </row>
    <row r="15" spans="1:25" ht="22.5" customHeight="1" x14ac:dyDescent="0.25">
      <c r="A15" s="100" t="s">
        <v>38</v>
      </c>
      <c r="B15" s="1874">
        <v>523855</v>
      </c>
      <c r="C15" s="1876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1874">
        <v>10</v>
      </c>
      <c r="R15" s="1876"/>
      <c r="S15" s="1683">
        <v>2</v>
      </c>
      <c r="T15" s="1849"/>
      <c r="U15" s="1683" t="s">
        <v>64</v>
      </c>
      <c r="V15" s="1877">
        <v>14027</v>
      </c>
      <c r="W15" s="1877"/>
      <c r="X15" s="1877"/>
    </row>
    <row r="16" spans="1:25" ht="24.75" customHeight="1" x14ac:dyDescent="0.25">
      <c r="A16" s="100" t="s">
        <v>39</v>
      </c>
      <c r="B16" s="1874">
        <v>480072</v>
      </c>
      <c r="C16" s="1876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1877"/>
      <c r="R16" s="1877"/>
      <c r="S16" s="1686"/>
      <c r="T16" s="1871" t="s">
        <v>55</v>
      </c>
      <c r="U16" s="1871"/>
      <c r="V16" s="1878">
        <f>Y12</f>
        <v>398044.935</v>
      </c>
      <c r="W16" s="1878"/>
      <c r="X16" s="1877"/>
    </row>
    <row r="17" spans="1:25" ht="28.5" customHeight="1" x14ac:dyDescent="0.25">
      <c r="A17" s="101" t="s">
        <v>44</v>
      </c>
      <c r="B17" s="1874">
        <v>2029</v>
      </c>
      <c r="C17" s="1876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1855"/>
      <c r="R17" s="1855"/>
      <c r="S17" s="1682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376366</v>
      </c>
      <c r="C18" s="1876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1877"/>
      <c r="R18" s="1877"/>
      <c r="S18" s="1683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629590</v>
      </c>
      <c r="C19" s="1876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1874">
        <f t="shared" si="14"/>
        <v>10</v>
      </c>
      <c r="R19" s="1876"/>
      <c r="S19" s="1683">
        <f>S15+S16-S17-S18</f>
        <v>2</v>
      </c>
      <c r="T19" s="1869" t="s">
        <v>48</v>
      </c>
      <c r="U19" s="49" t="s">
        <v>58</v>
      </c>
      <c r="V19" s="1877">
        <v>350000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605980.375</v>
      </c>
      <c r="C20" s="1904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98710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892895.07499999995</v>
      </c>
      <c r="C21" s="1910"/>
      <c r="O21" s="1690"/>
      <c r="P21" s="1690"/>
      <c r="Q21" s="1690"/>
      <c r="R21" s="1690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350000</v>
      </c>
      <c r="D22" s="1908">
        <v>350000</v>
      </c>
      <c r="E22" s="1908">
        <v>400000</v>
      </c>
      <c r="F22" s="1908">
        <f>C22-D22+E22</f>
        <v>400000</v>
      </c>
      <c r="G22" s="1690"/>
      <c r="Q22" s="1690"/>
      <c r="R22" s="1690"/>
      <c r="T22" s="1863" t="s">
        <v>83</v>
      </c>
      <c r="U22" s="50" t="s">
        <v>60</v>
      </c>
      <c r="V22" s="1877">
        <v>445060</v>
      </c>
      <c r="W22" s="1877"/>
      <c r="X22" s="1877"/>
      <c r="Y22" s="1883"/>
    </row>
    <row r="23" spans="1:25" ht="39.75" customHeight="1" x14ac:dyDescent="0.25">
      <c r="A23" s="1690"/>
      <c r="B23" s="1906"/>
      <c r="C23" s="1909"/>
      <c r="D23" s="1909"/>
      <c r="E23" s="1909"/>
      <c r="F23" s="1909"/>
      <c r="G23" s="1690"/>
      <c r="Q23" s="1690"/>
      <c r="R23" s="1690"/>
      <c r="T23" s="1864"/>
      <c r="U23" s="50" t="s">
        <v>61</v>
      </c>
      <c r="V23" s="1877">
        <v>448710</v>
      </c>
      <c r="W23" s="1877"/>
      <c r="X23" s="1877"/>
      <c r="Y23" s="1883"/>
    </row>
    <row r="24" spans="1:25" ht="48" customHeight="1" x14ac:dyDescent="0.25">
      <c r="A24" s="169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1849" t="s">
        <v>47</v>
      </c>
      <c r="U24" s="51" t="s">
        <v>62</v>
      </c>
      <c r="V24" s="1879">
        <f>V14+V16+V17-V18-V19-V20-V22+V23-V21</f>
        <v>22336.934999999998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10377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690"/>
      <c r="J33" s="169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1842" t="s">
        <v>525</v>
      </c>
      <c r="U3" s="1842"/>
      <c r="V3" s="1842"/>
      <c r="W3" s="1842"/>
      <c r="X3" s="1842"/>
      <c r="Y3" s="1842"/>
    </row>
    <row r="4" spans="1:25" s="169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691" customFormat="1" ht="25.5" customHeight="1" x14ac:dyDescent="0.25">
      <c r="A5" s="1843"/>
      <c r="B5" s="1843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1914" t="s">
        <v>479</v>
      </c>
      <c r="R14" s="1915"/>
      <c r="S14" s="1700" t="s">
        <v>401</v>
      </c>
      <c r="T14" s="1849" t="s">
        <v>46</v>
      </c>
      <c r="U14" s="1692" t="s">
        <v>176</v>
      </c>
      <c r="V14" s="1874">
        <v>22337</v>
      </c>
      <c r="W14" s="1875"/>
      <c r="X14" s="1876"/>
    </row>
    <row r="15" spans="1:25" ht="22.5" customHeight="1" x14ac:dyDescent="0.25">
      <c r="A15" s="100" t="s">
        <v>38</v>
      </c>
      <c r="B15" s="1874">
        <v>629590</v>
      </c>
      <c r="C15" s="1876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1874">
        <v>10</v>
      </c>
      <c r="R15" s="1876"/>
      <c r="S15" s="1692">
        <v>2</v>
      </c>
      <c r="T15" s="1849"/>
      <c r="U15" s="1692" t="s">
        <v>64</v>
      </c>
      <c r="V15" s="1877">
        <v>10377</v>
      </c>
      <c r="W15" s="1877"/>
      <c r="X15" s="1877"/>
    </row>
    <row r="16" spans="1:25" ht="24.75" customHeight="1" x14ac:dyDescent="0.25">
      <c r="A16" s="100" t="s">
        <v>39</v>
      </c>
      <c r="B16" s="1874">
        <v>335064</v>
      </c>
      <c r="C16" s="1876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1877"/>
      <c r="R16" s="1877"/>
      <c r="S16" s="1697"/>
      <c r="T16" s="1871" t="s">
        <v>55</v>
      </c>
      <c r="U16" s="1871"/>
      <c r="V16" s="1878">
        <f>Y12</f>
        <v>331587.82750000001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1855"/>
      <c r="R17" s="1855"/>
      <c r="S17" s="1694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303679</v>
      </c>
      <c r="C18" s="1876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1877"/>
      <c r="R18" s="1877"/>
      <c r="S18" s="1692"/>
      <c r="T18" s="1871" t="s">
        <v>57</v>
      </c>
      <c r="U18" s="1871"/>
      <c r="V18" s="1877">
        <v>11783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660975</v>
      </c>
      <c r="C19" s="1876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1874">
        <f t="shared" si="14"/>
        <v>10</v>
      </c>
      <c r="R19" s="1876"/>
      <c r="S19" s="1692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636188.4375</v>
      </c>
      <c r="C20" s="1904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322500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887215.53749999998</v>
      </c>
      <c r="C21" s="1910"/>
      <c r="O21" s="1701"/>
      <c r="P21" s="1701"/>
      <c r="Q21" s="1701"/>
      <c r="R21" s="1701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701"/>
      <c r="Q22" s="1701"/>
      <c r="R22" s="1701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701"/>
      <c r="B23" s="1906"/>
      <c r="C23" s="1909"/>
      <c r="D23" s="1909"/>
      <c r="E23" s="1909"/>
      <c r="F23" s="1909"/>
      <c r="G23" s="1701"/>
      <c r="Q23" s="1701"/>
      <c r="R23" s="1701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70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1849" t="s">
        <v>47</v>
      </c>
      <c r="U24" s="51" t="s">
        <v>62</v>
      </c>
      <c r="V24" s="1879">
        <f>V14+V16+V17-V18-V19-V20-V22+V23-V21</f>
        <v>19641.827500000014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10377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01"/>
      <c r="J33" s="170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842" t="s">
        <v>526</v>
      </c>
      <c r="U3" s="1842"/>
      <c r="V3" s="1842"/>
      <c r="W3" s="1842"/>
      <c r="X3" s="1842"/>
      <c r="Y3" s="1842"/>
    </row>
    <row r="4" spans="1:25" s="170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07" customFormat="1" ht="25.5" customHeight="1" x14ac:dyDescent="0.25">
      <c r="A5" s="1843"/>
      <c r="B5" s="184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1914" t="s">
        <v>479</v>
      </c>
      <c r="R14" s="1915"/>
      <c r="S14" s="1711" t="s">
        <v>401</v>
      </c>
      <c r="T14" s="1849" t="s">
        <v>46</v>
      </c>
      <c r="U14" s="1705" t="s">
        <v>176</v>
      </c>
      <c r="V14" s="1874">
        <v>19642</v>
      </c>
      <c r="W14" s="1875"/>
      <c r="X14" s="1876"/>
    </row>
    <row r="15" spans="1:25" ht="22.5" customHeight="1" x14ac:dyDescent="0.25">
      <c r="A15" s="100" t="s">
        <v>38</v>
      </c>
      <c r="B15" s="1874">
        <v>660975</v>
      </c>
      <c r="C15" s="1876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1874">
        <v>10</v>
      </c>
      <c r="R15" s="1876"/>
      <c r="S15" s="1705">
        <v>2</v>
      </c>
      <c r="T15" s="1849"/>
      <c r="U15" s="1705" t="s">
        <v>64</v>
      </c>
      <c r="V15" s="1877">
        <v>10377</v>
      </c>
      <c r="W15" s="1877"/>
      <c r="X15" s="1877"/>
    </row>
    <row r="16" spans="1:25" ht="24.75" customHeight="1" x14ac:dyDescent="0.25">
      <c r="A16" s="100" t="s">
        <v>39</v>
      </c>
      <c r="B16" s="1874">
        <v>267012</v>
      </c>
      <c r="C16" s="1876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1877"/>
      <c r="R16" s="1877"/>
      <c r="S16" s="1708"/>
      <c r="T16" s="1871" t="s">
        <v>55</v>
      </c>
      <c r="U16" s="1871"/>
      <c r="V16" s="1878">
        <f>Y12</f>
        <v>248125.5625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855"/>
      <c r="R17" s="1855"/>
      <c r="S17" s="1704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102125</v>
      </c>
      <c r="C18" s="1876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1877"/>
      <c r="R18" s="1877"/>
      <c r="S18" s="1705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825862</v>
      </c>
      <c r="C19" s="1876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1874">
        <f t="shared" si="14"/>
        <v>10</v>
      </c>
      <c r="R19" s="1876"/>
      <c r="S19" s="1705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794892.17500000005</v>
      </c>
      <c r="C20" s="1904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257000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899024.57500000007</v>
      </c>
      <c r="C21" s="1910"/>
      <c r="O21" s="1712"/>
      <c r="P21" s="1712"/>
      <c r="Q21" s="1712"/>
      <c r="R21" s="1712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712"/>
      <c r="Q22" s="1712"/>
      <c r="R22" s="1712"/>
      <c r="T22" s="1863" t="s">
        <v>83</v>
      </c>
      <c r="U22" s="50" t="s">
        <v>60</v>
      </c>
      <c r="V22" s="1877">
        <v>257600</v>
      </c>
      <c r="W22" s="1877"/>
      <c r="X22" s="1877"/>
      <c r="Y22" s="1883"/>
    </row>
    <row r="23" spans="1:25" ht="39.75" customHeight="1" x14ac:dyDescent="0.25">
      <c r="A23" s="1712"/>
      <c r="B23" s="1906"/>
      <c r="C23" s="1909"/>
      <c r="D23" s="1909"/>
      <c r="E23" s="1909"/>
      <c r="F23" s="1909"/>
      <c r="G23" s="1712"/>
      <c r="Q23" s="1712"/>
      <c r="R23" s="1712"/>
      <c r="T23" s="1864"/>
      <c r="U23" s="50" t="s">
        <v>61</v>
      </c>
      <c r="V23" s="1877">
        <v>257000</v>
      </c>
      <c r="W23" s="1877"/>
      <c r="X23" s="1877"/>
      <c r="Y23" s="1883"/>
    </row>
    <row r="24" spans="1:25" ht="48" customHeight="1" x14ac:dyDescent="0.25">
      <c r="A24" s="171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849" t="s">
        <v>47</v>
      </c>
      <c r="U24" s="51" t="s">
        <v>62</v>
      </c>
      <c r="V24" s="1879">
        <f>V14+V16+V17-V18-V19-V20-V22+V23-V21</f>
        <v>9647.5625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10977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12"/>
      <c r="J33" s="171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842" t="s">
        <v>527</v>
      </c>
      <c r="U3" s="1842"/>
      <c r="V3" s="1842"/>
      <c r="W3" s="1842"/>
      <c r="X3" s="1842"/>
      <c r="Y3" s="1842"/>
    </row>
    <row r="4" spans="1:25" s="170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07" customFormat="1" ht="25.5" customHeight="1" x14ac:dyDescent="0.25">
      <c r="A5" s="1843"/>
      <c r="B5" s="184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1914" t="s">
        <v>479</v>
      </c>
      <c r="R14" s="1915"/>
      <c r="S14" s="1711" t="s">
        <v>401</v>
      </c>
      <c r="T14" s="1849" t="s">
        <v>46</v>
      </c>
      <c r="U14" s="1705" t="s">
        <v>176</v>
      </c>
      <c r="V14" s="1874">
        <v>9648</v>
      </c>
      <c r="W14" s="1875"/>
      <c r="X14" s="1876"/>
    </row>
    <row r="15" spans="1:25" ht="22.5" customHeight="1" x14ac:dyDescent="0.25">
      <c r="A15" s="100" t="s">
        <v>38</v>
      </c>
      <c r="B15" s="1874">
        <v>825862</v>
      </c>
      <c r="C15" s="1876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1874">
        <v>10</v>
      </c>
      <c r="R15" s="1876"/>
      <c r="S15" s="1705">
        <v>2</v>
      </c>
      <c r="T15" s="1849"/>
      <c r="U15" s="1705" t="s">
        <v>64</v>
      </c>
      <c r="V15" s="1877">
        <v>10977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1877"/>
      <c r="R16" s="1877"/>
      <c r="S16" s="1708"/>
      <c r="T16" s="1871" t="s">
        <v>55</v>
      </c>
      <c r="U16" s="1871"/>
      <c r="V16" s="1878">
        <f>Y12</f>
        <v>53221.172500000001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855"/>
      <c r="R17" s="1855"/>
      <c r="S17" s="1704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46721</v>
      </c>
      <c r="C18" s="1876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1877"/>
      <c r="R18" s="1877"/>
      <c r="S18" s="1705"/>
      <c r="T18" s="1871" t="s">
        <v>57</v>
      </c>
      <c r="U18" s="1871"/>
      <c r="V18" s="1877">
        <v>995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779141</v>
      </c>
      <c r="C19" s="1876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1874">
        <f t="shared" si="14"/>
        <v>10</v>
      </c>
      <c r="R19" s="1876"/>
      <c r="S19" s="1705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749923.21250000002</v>
      </c>
      <c r="C20" s="1904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846276.3125</v>
      </c>
      <c r="C21" s="1910"/>
      <c r="O21" s="1712"/>
      <c r="P21" s="1712"/>
      <c r="Q21" s="1712"/>
      <c r="R21" s="1712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/>
      <c r="E22" s="1908"/>
      <c r="F22" s="1908">
        <f>C22-D22+E22</f>
        <v>400000</v>
      </c>
      <c r="G22" s="1712"/>
      <c r="Q22" s="1712"/>
      <c r="R22" s="1712"/>
      <c r="T22" s="1863" t="s">
        <v>83</v>
      </c>
      <c r="U22" s="50" t="s">
        <v>60</v>
      </c>
      <c r="V22" s="1877">
        <v>1000</v>
      </c>
      <c r="W22" s="1877"/>
      <c r="X22" s="1877"/>
      <c r="Y22" s="1883"/>
    </row>
    <row r="23" spans="1:25" ht="39.75" customHeight="1" x14ac:dyDescent="0.25">
      <c r="A23" s="1712"/>
      <c r="B23" s="1906"/>
      <c r="C23" s="1909"/>
      <c r="D23" s="1909"/>
      <c r="E23" s="1909"/>
      <c r="F23" s="1909"/>
      <c r="G23" s="1712"/>
      <c r="Q23" s="1712"/>
      <c r="R23" s="171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71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849" t="s">
        <v>47</v>
      </c>
      <c r="U24" s="51" t="s">
        <v>62</v>
      </c>
      <c r="V24" s="1879">
        <f>V14+V16+V17-V18-V19-V20-V22+V23-V21</f>
        <v>60874.172500000001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11977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12"/>
      <c r="J33" s="171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1842" t="s">
        <v>528</v>
      </c>
      <c r="U3" s="1842"/>
      <c r="V3" s="1842"/>
      <c r="W3" s="1842"/>
      <c r="X3" s="1842"/>
      <c r="Y3" s="1842"/>
    </row>
    <row r="4" spans="1:25" s="170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07" customFormat="1" ht="25.5" customHeight="1" x14ac:dyDescent="0.25">
      <c r="A5" s="1843"/>
      <c r="B5" s="1843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1914" t="s">
        <v>479</v>
      </c>
      <c r="R14" s="1915"/>
      <c r="S14" s="1711" t="s">
        <v>401</v>
      </c>
      <c r="T14" s="1849" t="s">
        <v>46</v>
      </c>
      <c r="U14" s="1705" t="s">
        <v>176</v>
      </c>
      <c r="V14" s="1874">
        <v>60874</v>
      </c>
      <c r="W14" s="1875"/>
      <c r="X14" s="1876"/>
    </row>
    <row r="15" spans="1:25" ht="22.5" customHeight="1" x14ac:dyDescent="0.25">
      <c r="A15" s="100" t="s">
        <v>38</v>
      </c>
      <c r="B15" s="1874">
        <v>779141</v>
      </c>
      <c r="C15" s="1876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1874">
        <v>10</v>
      </c>
      <c r="R15" s="1876"/>
      <c r="S15" s="1705">
        <v>2</v>
      </c>
      <c r="T15" s="1849"/>
      <c r="U15" s="1705" t="s">
        <v>64</v>
      </c>
      <c r="V15" s="1877">
        <v>11977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1877"/>
      <c r="R16" s="1877"/>
      <c r="S16" s="1708"/>
      <c r="T16" s="1871" t="s">
        <v>55</v>
      </c>
      <c r="U16" s="1871"/>
      <c r="V16" s="1878">
        <f>Y12</f>
        <v>63457.402499999997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1855"/>
      <c r="R17" s="1855"/>
      <c r="S17" s="1704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65149</v>
      </c>
      <c r="C18" s="1876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1877"/>
      <c r="R18" s="1877"/>
      <c r="S18" s="1705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713992</v>
      </c>
      <c r="C19" s="1876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1874">
        <f t="shared" si="14"/>
        <v>10</v>
      </c>
      <c r="R19" s="1876"/>
      <c r="S19" s="1705">
        <f>S15+S16-S17-S18</f>
        <v>2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687217.3</v>
      </c>
      <c r="C20" s="1904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783470.4</v>
      </c>
      <c r="C21" s="1910"/>
      <c r="O21" s="1712"/>
      <c r="P21" s="1712"/>
      <c r="Q21" s="1712"/>
      <c r="R21" s="1712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400000</v>
      </c>
      <c r="D22" s="1908">
        <v>100000</v>
      </c>
      <c r="E22" s="1908"/>
      <c r="F22" s="1908">
        <f>C22-D22+E22</f>
        <v>300000</v>
      </c>
      <c r="G22" s="1712"/>
      <c r="Q22" s="1712"/>
      <c r="R22" s="1712"/>
      <c r="T22" s="1863" t="s">
        <v>83</v>
      </c>
      <c r="U22" s="50" t="s">
        <v>60</v>
      </c>
      <c r="V22" s="1877">
        <v>99700</v>
      </c>
      <c r="W22" s="1877"/>
      <c r="X22" s="1877"/>
      <c r="Y22" s="1883"/>
    </row>
    <row r="23" spans="1:25" ht="39.75" customHeight="1" x14ac:dyDescent="0.25">
      <c r="A23" s="1712"/>
      <c r="B23" s="1906"/>
      <c r="C23" s="1909"/>
      <c r="D23" s="1909"/>
      <c r="E23" s="1909"/>
      <c r="F23" s="1909"/>
      <c r="G23" s="1712"/>
      <c r="Q23" s="1712"/>
      <c r="R23" s="1712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171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1849" t="s">
        <v>47</v>
      </c>
      <c r="U24" s="51" t="s">
        <v>62</v>
      </c>
      <c r="V24" s="1879">
        <f>V14+V16+V17-V18-V19-V20-V22+V23-V21</f>
        <v>24111.402499999997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11677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12"/>
      <c r="J33" s="1712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1842" t="s">
        <v>529</v>
      </c>
      <c r="U3" s="1842"/>
      <c r="V3" s="1842"/>
      <c r="W3" s="1842"/>
      <c r="X3" s="1842"/>
      <c r="Y3" s="1842"/>
    </row>
    <row r="4" spans="1:25" s="171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13" customFormat="1" ht="25.5" customHeight="1" x14ac:dyDescent="0.25">
      <c r="A5" s="1843"/>
      <c r="B5" s="1843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1914" t="s">
        <v>479</v>
      </c>
      <c r="R14" s="1915"/>
      <c r="S14" s="1722" t="s">
        <v>401</v>
      </c>
      <c r="T14" s="1849" t="s">
        <v>46</v>
      </c>
      <c r="U14" s="1714" t="s">
        <v>176</v>
      </c>
      <c r="V14" s="1874">
        <v>24111</v>
      </c>
      <c r="W14" s="1875"/>
      <c r="X14" s="1876"/>
    </row>
    <row r="15" spans="1:25" ht="22.5" customHeight="1" x14ac:dyDescent="0.25">
      <c r="A15" s="100" t="s">
        <v>38</v>
      </c>
      <c r="B15" s="1874">
        <v>713992</v>
      </c>
      <c r="C15" s="1876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1874">
        <v>10</v>
      </c>
      <c r="R15" s="1876"/>
      <c r="S15" s="1714">
        <v>2</v>
      </c>
      <c r="T15" s="1849"/>
      <c r="U15" s="1714" t="s">
        <v>64</v>
      </c>
      <c r="V15" s="1877">
        <v>11677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1877"/>
      <c r="R16" s="1877"/>
      <c r="S16" s="1719"/>
      <c r="T16" s="1871" t="s">
        <v>55</v>
      </c>
      <c r="U16" s="1871"/>
      <c r="V16" s="1878">
        <f>Y12</f>
        <v>132037.08250000002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1855"/>
      <c r="R17" s="1855"/>
      <c r="S17" s="1716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111997</v>
      </c>
      <c r="C18" s="1876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1877"/>
      <c r="R18" s="1877"/>
      <c r="S18" s="1714"/>
      <c r="T18" s="1871" t="s">
        <v>57</v>
      </c>
      <c r="U18" s="1871"/>
      <c r="V18" s="1877">
        <v>5020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601995</v>
      </c>
      <c r="C19" s="1876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1874">
        <f t="shared" si="14"/>
        <v>10</v>
      </c>
      <c r="R19" s="1876"/>
      <c r="S19" s="1714">
        <f>S15+S16-S17-S18</f>
        <v>2</v>
      </c>
      <c r="T19" s="1869" t="s">
        <v>48</v>
      </c>
      <c r="U19" s="49" t="s">
        <v>58</v>
      </c>
      <c r="V19" s="1877">
        <v>135000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579420.1875</v>
      </c>
      <c r="C20" s="1904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652818.6875</v>
      </c>
      <c r="C21" s="1910"/>
      <c r="O21" s="1723"/>
      <c r="P21" s="1723"/>
      <c r="Q21" s="1723"/>
      <c r="R21" s="1723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300000</v>
      </c>
      <c r="D22" s="1908">
        <v>135000</v>
      </c>
      <c r="E22" s="1908"/>
      <c r="F22" s="1908">
        <f>C22-D22+E22</f>
        <v>165000</v>
      </c>
      <c r="G22" s="1723"/>
      <c r="Q22" s="1723"/>
      <c r="R22" s="1723"/>
      <c r="T22" s="1863" t="s">
        <v>83</v>
      </c>
      <c r="U22" s="50" t="s">
        <v>60</v>
      </c>
      <c r="V22" s="1877">
        <v>136020</v>
      </c>
      <c r="W22" s="1877"/>
      <c r="X22" s="1877"/>
      <c r="Y22" s="1883"/>
    </row>
    <row r="23" spans="1:25" ht="39.75" customHeight="1" x14ac:dyDescent="0.25">
      <c r="A23" s="1723"/>
      <c r="B23" s="1906"/>
      <c r="C23" s="1909"/>
      <c r="D23" s="1909"/>
      <c r="E23" s="1909"/>
      <c r="F23" s="1909"/>
      <c r="G23" s="1723"/>
      <c r="Q23" s="1723"/>
      <c r="R23" s="1723"/>
      <c r="T23" s="1864"/>
      <c r="U23" s="50" t="s">
        <v>61</v>
      </c>
      <c r="V23" s="1877">
        <v>135000</v>
      </c>
      <c r="W23" s="1877"/>
      <c r="X23" s="1877"/>
      <c r="Y23" s="1883"/>
    </row>
    <row r="24" spans="1:25" ht="48" customHeight="1" x14ac:dyDescent="0.25">
      <c r="A24" s="172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1849" t="s">
        <v>47</v>
      </c>
      <c r="U24" s="51" t="s">
        <v>62</v>
      </c>
      <c r="V24" s="1879">
        <f>V14+V16+V17-V18-V19-V20-V22+V23-V21</f>
        <v>15108.082500000019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12697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23"/>
      <c r="J33" s="1723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1842" t="s">
        <v>530</v>
      </c>
      <c r="U3" s="1842"/>
      <c r="V3" s="1842"/>
      <c r="W3" s="1842"/>
      <c r="X3" s="1842"/>
      <c r="Y3" s="1842"/>
    </row>
    <row r="4" spans="1:25" s="172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29" customFormat="1" ht="25.5" customHeight="1" x14ac:dyDescent="0.25">
      <c r="A5" s="1843"/>
      <c r="B5" s="1843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1914" t="s">
        <v>479</v>
      </c>
      <c r="R14" s="1915"/>
      <c r="S14" s="1733" t="s">
        <v>401</v>
      </c>
      <c r="T14" s="1849" t="s">
        <v>46</v>
      </c>
      <c r="U14" s="1727" t="s">
        <v>176</v>
      </c>
      <c r="V14" s="1874">
        <v>15108</v>
      </c>
      <c r="W14" s="1875"/>
      <c r="X14" s="1876"/>
    </row>
    <row r="15" spans="1:25" ht="22.5" customHeight="1" x14ac:dyDescent="0.25">
      <c r="A15" s="100" t="s">
        <v>38</v>
      </c>
      <c r="B15" s="1874">
        <v>601995</v>
      </c>
      <c r="C15" s="1876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1874">
        <v>10</v>
      </c>
      <c r="R15" s="1876"/>
      <c r="S15" s="1727">
        <v>2</v>
      </c>
      <c r="T15" s="1849"/>
      <c r="U15" s="1727" t="s">
        <v>64</v>
      </c>
      <c r="V15" s="1877">
        <v>12697</v>
      </c>
      <c r="W15" s="1877"/>
      <c r="X15" s="1877"/>
    </row>
    <row r="16" spans="1:25" ht="24.75" customHeight="1" x14ac:dyDescent="0.25">
      <c r="A16" s="100" t="s">
        <v>39</v>
      </c>
      <c r="B16" s="1874">
        <v>332467</v>
      </c>
      <c r="C16" s="1876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1877"/>
      <c r="R16" s="1877"/>
      <c r="S16" s="1730"/>
      <c r="T16" s="1871" t="s">
        <v>55</v>
      </c>
      <c r="U16" s="1871"/>
      <c r="V16" s="1878">
        <f>Y12</f>
        <v>225310.55750000002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1855"/>
      <c r="R17" s="1855"/>
      <c r="S17" s="1726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197307</v>
      </c>
      <c r="C18" s="1876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1877"/>
      <c r="R18" s="1877"/>
      <c r="S18" s="1727"/>
      <c r="T18" s="1871" t="s">
        <v>57</v>
      </c>
      <c r="U18" s="1871"/>
      <c r="V18" s="1877">
        <v>900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737155</v>
      </c>
      <c r="C19" s="1876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1874">
        <f t="shared" si="14"/>
        <v>10</v>
      </c>
      <c r="R19" s="1876"/>
      <c r="S19" s="1727">
        <f>S15+S16-S17-S18</f>
        <v>2</v>
      </c>
      <c r="T19" s="1869" t="s">
        <v>48</v>
      </c>
      <c r="U19" s="49" t="s">
        <v>58</v>
      </c>
      <c r="V19" s="1877">
        <v>165000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709511.6875</v>
      </c>
      <c r="C20" s="1904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60000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749824.01749999996</v>
      </c>
      <c r="C21" s="1910"/>
      <c r="O21" s="1734"/>
      <c r="P21" s="1734"/>
      <c r="Q21" s="1734"/>
      <c r="R21" s="1734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165000</v>
      </c>
      <c r="D22" s="1908">
        <v>165000</v>
      </c>
      <c r="E22" s="1908">
        <v>260000</v>
      </c>
      <c r="F22" s="1908">
        <f>C22-D22+E22</f>
        <v>260000</v>
      </c>
      <c r="G22" s="1734"/>
      <c r="Q22" s="1734"/>
      <c r="R22" s="1734"/>
      <c r="T22" s="1863" t="s">
        <v>83</v>
      </c>
      <c r="U22" s="50" t="s">
        <v>60</v>
      </c>
      <c r="V22" s="1877">
        <v>224430</v>
      </c>
      <c r="W22" s="1877"/>
      <c r="X22" s="1877"/>
      <c r="Y22" s="1883"/>
    </row>
    <row r="23" spans="1:25" ht="39.75" customHeight="1" x14ac:dyDescent="0.25">
      <c r="A23" s="1734"/>
      <c r="B23" s="1906"/>
      <c r="C23" s="1909"/>
      <c r="D23" s="1909"/>
      <c r="E23" s="1909"/>
      <c r="F23" s="1909"/>
      <c r="G23" s="1734"/>
      <c r="Q23" s="1734"/>
      <c r="R23" s="1734"/>
      <c r="T23" s="1864"/>
      <c r="U23" s="50" t="s">
        <v>61</v>
      </c>
      <c r="V23" s="1877">
        <v>225000</v>
      </c>
      <c r="W23" s="1877"/>
      <c r="X23" s="1877"/>
      <c r="Y23" s="1883"/>
    </row>
    <row r="24" spans="1:25" ht="48" customHeight="1" x14ac:dyDescent="0.25">
      <c r="A24" s="1734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1849" t="s">
        <v>47</v>
      </c>
      <c r="U24" s="51" t="s">
        <v>62</v>
      </c>
      <c r="V24" s="1879">
        <f>V14+V16+V17-V18-V19-V20-V22+V23-V21</f>
        <v>15088.557500000024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12127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34"/>
      <c r="J33" s="1734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1842" t="s">
        <v>531</v>
      </c>
      <c r="U3" s="1842"/>
      <c r="V3" s="1842"/>
      <c r="W3" s="1842"/>
      <c r="X3" s="1842"/>
      <c r="Y3" s="1842"/>
    </row>
    <row r="4" spans="1:25" s="173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35" customFormat="1" ht="25.5" customHeight="1" x14ac:dyDescent="0.25">
      <c r="A5" s="1843"/>
      <c r="B5" s="1843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1914" t="s">
        <v>479</v>
      </c>
      <c r="R14" s="1915"/>
      <c r="S14" s="1744" t="s">
        <v>401</v>
      </c>
      <c r="T14" s="1849" t="s">
        <v>46</v>
      </c>
      <c r="U14" s="1736" t="s">
        <v>176</v>
      </c>
      <c r="V14" s="1874">
        <v>15089</v>
      </c>
      <c r="W14" s="1875"/>
      <c r="X14" s="1876"/>
    </row>
    <row r="15" spans="1:25" ht="22.5" customHeight="1" x14ac:dyDescent="0.25">
      <c r="A15" s="100" t="s">
        <v>38</v>
      </c>
      <c r="B15" s="1874">
        <v>737155</v>
      </c>
      <c r="C15" s="1876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1874">
        <v>10</v>
      </c>
      <c r="R15" s="1876"/>
      <c r="S15" s="1736">
        <v>2</v>
      </c>
      <c r="T15" s="1849"/>
      <c r="U15" s="1736" t="s">
        <v>64</v>
      </c>
      <c r="V15" s="1877">
        <v>12127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1877"/>
      <c r="R16" s="1877"/>
      <c r="S16" s="1741"/>
      <c r="T16" s="1871" t="s">
        <v>55</v>
      </c>
      <c r="U16" s="1871"/>
      <c r="V16" s="1878">
        <f>Y12</f>
        <v>120090.015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1855"/>
      <c r="R17" s="1855"/>
      <c r="S17" s="1738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111254</v>
      </c>
      <c r="C18" s="1876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1877"/>
      <c r="R18" s="1877"/>
      <c r="S18" s="1736"/>
      <c r="T18" s="1871" t="s">
        <v>57</v>
      </c>
      <c r="U18" s="1871"/>
      <c r="V18" s="1877">
        <v>9670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625901</v>
      </c>
      <c r="C19" s="1876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1874">
        <f t="shared" si="14"/>
        <v>10</v>
      </c>
      <c r="R19" s="1876"/>
      <c r="S19" s="1736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602429.71250000002</v>
      </c>
      <c r="C20" s="1904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630968.71250000002</v>
      </c>
      <c r="C21" s="1910"/>
      <c r="O21" s="1745"/>
      <c r="P21" s="1745"/>
      <c r="Q21" s="1745"/>
      <c r="R21" s="1745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260000</v>
      </c>
      <c r="D22" s="1908"/>
      <c r="E22" s="1908"/>
      <c r="F22" s="1908">
        <f>C22-D22+E22</f>
        <v>260000</v>
      </c>
      <c r="G22" s="1745"/>
      <c r="Q22" s="1745"/>
      <c r="R22" s="1745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745"/>
      <c r="B23" s="1906"/>
      <c r="C23" s="1909"/>
      <c r="D23" s="1909"/>
      <c r="E23" s="1909"/>
      <c r="F23" s="1909"/>
      <c r="G23" s="1745"/>
      <c r="Q23" s="1745"/>
      <c r="R23" s="1745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745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1849" t="s">
        <v>47</v>
      </c>
      <c r="U24" s="51" t="s">
        <v>62</v>
      </c>
      <c r="V24" s="1879">
        <f>V14+V16+V17-V18-V19-V20-V22+V23-V21</f>
        <v>125509.01500000001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12127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45"/>
      <c r="J33" s="1745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842" t="s">
        <v>532</v>
      </c>
      <c r="U3" s="1842"/>
      <c r="V3" s="1842"/>
      <c r="W3" s="1842"/>
      <c r="X3" s="1842"/>
      <c r="Y3" s="1842"/>
    </row>
    <row r="4" spans="1:25" s="175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51" customFormat="1" ht="25.5" customHeight="1" x14ac:dyDescent="0.25">
      <c r="A5" s="1843"/>
      <c r="B5" s="1843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1914" t="s">
        <v>479</v>
      </c>
      <c r="R14" s="1915"/>
      <c r="S14" s="1755" t="s">
        <v>401</v>
      </c>
      <c r="T14" s="1849" t="s">
        <v>46</v>
      </c>
      <c r="U14" s="1749" t="s">
        <v>176</v>
      </c>
      <c r="V14" s="1874">
        <v>125509</v>
      </c>
      <c r="W14" s="1875"/>
      <c r="X14" s="1876"/>
    </row>
    <row r="15" spans="1:25" ht="22.5" customHeight="1" x14ac:dyDescent="0.25">
      <c r="A15" s="100" t="s">
        <v>38</v>
      </c>
      <c r="B15" s="1874">
        <v>625901</v>
      </c>
      <c r="C15" s="1876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1874">
        <v>10</v>
      </c>
      <c r="R15" s="1876"/>
      <c r="S15" s="1749">
        <v>2</v>
      </c>
      <c r="T15" s="1849"/>
      <c r="U15" s="1749" t="s">
        <v>64</v>
      </c>
      <c r="V15" s="1877">
        <v>12127</v>
      </c>
      <c r="W15" s="1877"/>
      <c r="X15" s="1877"/>
    </row>
    <row r="16" spans="1:25" ht="24.75" customHeight="1" x14ac:dyDescent="0.25">
      <c r="A16" s="100" t="s">
        <v>39</v>
      </c>
      <c r="B16" s="1874">
        <v>78155</v>
      </c>
      <c r="C16" s="1876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1877"/>
      <c r="R16" s="1877"/>
      <c r="S16" s="1752"/>
      <c r="T16" s="1871" t="s">
        <v>55</v>
      </c>
      <c r="U16" s="1871"/>
      <c r="V16" s="1878">
        <f>Y12</f>
        <v>137526.08750000002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1855"/>
      <c r="R17" s="1855"/>
      <c r="S17" s="1748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141415</v>
      </c>
      <c r="C18" s="1876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1877"/>
      <c r="R18" s="1877"/>
      <c r="S18" s="1749"/>
      <c r="T18" s="1871" t="s">
        <v>57</v>
      </c>
      <c r="U18" s="1871"/>
      <c r="V18" s="1877">
        <v>2628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562641</v>
      </c>
      <c r="C19" s="1876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1874">
        <f t="shared" si="14"/>
        <v>10</v>
      </c>
      <c r="R19" s="1876"/>
      <c r="S19" s="1749">
        <f>S15+S16-S17-S18</f>
        <v>2</v>
      </c>
      <c r="T19" s="1869" t="s">
        <v>48</v>
      </c>
      <c r="U19" s="49" t="s">
        <v>58</v>
      </c>
      <c r="V19" s="1877">
        <v>260000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541541.96250000002</v>
      </c>
      <c r="C20" s="1904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615855.96250000002</v>
      </c>
      <c r="C21" s="1910"/>
      <c r="O21" s="1756"/>
      <c r="P21" s="1756"/>
      <c r="Q21" s="1756"/>
      <c r="R21" s="1756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260000</v>
      </c>
      <c r="D22" s="1908">
        <v>260000</v>
      </c>
      <c r="E22" s="1908">
        <v>121000</v>
      </c>
      <c r="F22" s="1908">
        <f>C22-D22+E22</f>
        <v>121000</v>
      </c>
      <c r="G22" s="1756"/>
      <c r="Q22" s="1756"/>
      <c r="R22" s="1756"/>
      <c r="T22" s="1863" t="s">
        <v>83</v>
      </c>
      <c r="U22" s="50" t="s">
        <v>60</v>
      </c>
      <c r="V22" s="1877">
        <v>259320</v>
      </c>
      <c r="W22" s="1877"/>
      <c r="X22" s="1877"/>
      <c r="Y22" s="1883"/>
    </row>
    <row r="23" spans="1:25" ht="39.75" customHeight="1" x14ac:dyDescent="0.25">
      <c r="A23" s="1756"/>
      <c r="B23" s="1906"/>
      <c r="C23" s="1909"/>
      <c r="D23" s="1909"/>
      <c r="E23" s="1909"/>
      <c r="F23" s="1909"/>
      <c r="G23" s="1756"/>
      <c r="Q23" s="1756"/>
      <c r="R23" s="1756"/>
      <c r="T23" s="1864"/>
      <c r="U23" s="50" t="s">
        <v>61</v>
      </c>
      <c r="V23" s="1877">
        <v>262108</v>
      </c>
      <c r="W23" s="1877"/>
      <c r="X23" s="1877"/>
      <c r="Y23" s="1883"/>
    </row>
    <row r="24" spans="1:25" ht="48" customHeight="1" x14ac:dyDescent="0.25">
      <c r="A24" s="175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1849" t="s">
        <v>47</v>
      </c>
      <c r="U24" s="51" t="s">
        <v>62</v>
      </c>
      <c r="V24" s="1879">
        <f>V14+V16+V17-V18-V19-V20-V22+V23-V21</f>
        <v>3195.0875000000233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9339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56"/>
      <c r="J33" s="1756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1842" t="s">
        <v>533</v>
      </c>
      <c r="U3" s="1842"/>
      <c r="V3" s="1842"/>
      <c r="W3" s="1842"/>
      <c r="X3" s="1842"/>
      <c r="Y3" s="1842"/>
    </row>
    <row r="4" spans="1:25" s="175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51" customFormat="1" ht="25.5" customHeight="1" x14ac:dyDescent="0.25">
      <c r="A5" s="1843"/>
      <c r="B5" s="1843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1914" t="s">
        <v>479</v>
      </c>
      <c r="R14" s="1915"/>
      <c r="S14" s="1755" t="s">
        <v>401</v>
      </c>
      <c r="T14" s="1849" t="s">
        <v>46</v>
      </c>
      <c r="U14" s="1749" t="s">
        <v>176</v>
      </c>
      <c r="V14" s="1874">
        <v>3195</v>
      </c>
      <c r="W14" s="1875"/>
      <c r="X14" s="1876"/>
    </row>
    <row r="15" spans="1:25" ht="22.5" customHeight="1" x14ac:dyDescent="0.25">
      <c r="A15" s="100" t="s">
        <v>38</v>
      </c>
      <c r="B15" s="1874">
        <v>562641</v>
      </c>
      <c r="C15" s="1876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1874">
        <v>10</v>
      </c>
      <c r="R15" s="1876"/>
      <c r="S15" s="1749">
        <v>2</v>
      </c>
      <c r="T15" s="1849"/>
      <c r="U15" s="1749" t="s">
        <v>64</v>
      </c>
      <c r="V15" s="1877">
        <v>9339</v>
      </c>
      <c r="W15" s="1877"/>
      <c r="X15" s="1877"/>
    </row>
    <row r="16" spans="1:25" ht="24.75" customHeight="1" x14ac:dyDescent="0.25">
      <c r="A16" s="100" t="s">
        <v>39</v>
      </c>
      <c r="B16" s="1874">
        <v>103896</v>
      </c>
      <c r="C16" s="1876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1877"/>
      <c r="R16" s="1877"/>
      <c r="S16" s="1752"/>
      <c r="T16" s="1871" t="s">
        <v>55</v>
      </c>
      <c r="U16" s="1871"/>
      <c r="V16" s="1878">
        <f>Y12</f>
        <v>163689.19750000001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1855"/>
      <c r="R17" s="1855"/>
      <c r="S17" s="1748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166611</v>
      </c>
      <c r="C18" s="1876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1877"/>
      <c r="R18" s="1877"/>
      <c r="S18" s="1749"/>
      <c r="T18" s="1871" t="s">
        <v>57</v>
      </c>
      <c r="U18" s="1871"/>
      <c r="V18" s="1877">
        <v>2780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499926</v>
      </c>
      <c r="C19" s="1876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1874">
        <f t="shared" si="14"/>
        <v>10</v>
      </c>
      <c r="R19" s="1876"/>
      <c r="S19" s="1749">
        <f>S15+S16-S17-S18</f>
        <v>2</v>
      </c>
      <c r="T19" s="1869" t="s">
        <v>48</v>
      </c>
      <c r="U19" s="49" t="s">
        <v>58</v>
      </c>
      <c r="V19" s="1877">
        <v>121000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481178.77500000002</v>
      </c>
      <c r="C20" s="1904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553877.77500000002</v>
      </c>
      <c r="C21" s="1910"/>
      <c r="O21" s="1756"/>
      <c r="P21" s="1756"/>
      <c r="Q21" s="1756"/>
      <c r="R21" s="1756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121000</v>
      </c>
      <c r="D22" s="1908">
        <v>121000</v>
      </c>
      <c r="E22" s="1908">
        <v>100000</v>
      </c>
      <c r="F22" s="1908">
        <f>C22-D22+E22</f>
        <v>100000</v>
      </c>
      <c r="G22" s="1756"/>
      <c r="Q22" s="1756"/>
      <c r="R22" s="1756"/>
      <c r="T22" s="1863" t="s">
        <v>83</v>
      </c>
      <c r="U22" s="50" t="s">
        <v>60</v>
      </c>
      <c r="V22" s="1877">
        <v>136750</v>
      </c>
      <c r="W22" s="1877"/>
      <c r="X22" s="1877"/>
      <c r="Y22" s="1883"/>
    </row>
    <row r="23" spans="1:25" ht="39.75" customHeight="1" x14ac:dyDescent="0.25">
      <c r="A23" s="1756"/>
      <c r="B23" s="1906"/>
      <c r="C23" s="1909"/>
      <c r="D23" s="1909"/>
      <c r="E23" s="1909"/>
      <c r="F23" s="1909"/>
      <c r="G23" s="1756"/>
      <c r="Q23" s="1756"/>
      <c r="R23" s="1756"/>
      <c r="T23" s="1864"/>
      <c r="U23" s="50" t="s">
        <v>61</v>
      </c>
      <c r="V23" s="1877">
        <v>121000</v>
      </c>
      <c r="W23" s="1877"/>
      <c r="X23" s="1877"/>
      <c r="Y23" s="1883"/>
    </row>
    <row r="24" spans="1:25" ht="48" customHeight="1" x14ac:dyDescent="0.25">
      <c r="A24" s="1756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1849" t="s">
        <v>47</v>
      </c>
      <c r="U24" s="51" t="s">
        <v>62</v>
      </c>
      <c r="V24" s="1879">
        <f>V14+V16+V17-V18-V19-V20-V22+V23-V21</f>
        <v>27354.197500000009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25089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56"/>
      <c r="J33" s="1756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1842" t="s">
        <v>534</v>
      </c>
      <c r="U3" s="1842"/>
      <c r="V3" s="1842"/>
      <c r="W3" s="1842"/>
      <c r="X3" s="1842"/>
      <c r="Y3" s="1842"/>
    </row>
    <row r="4" spans="1:25" s="1757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57" customFormat="1" ht="25.5" customHeight="1" x14ac:dyDescent="0.25">
      <c r="A5" s="1843"/>
      <c r="B5" s="1843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1914" t="s">
        <v>479</v>
      </c>
      <c r="R14" s="1915"/>
      <c r="S14" s="1766" t="s">
        <v>401</v>
      </c>
      <c r="T14" s="1849" t="s">
        <v>46</v>
      </c>
      <c r="U14" s="1758" t="s">
        <v>176</v>
      </c>
      <c r="V14" s="1874">
        <v>27354</v>
      </c>
      <c r="W14" s="1875"/>
      <c r="X14" s="1876"/>
    </row>
    <row r="15" spans="1:25" ht="22.5" customHeight="1" x14ac:dyDescent="0.25">
      <c r="A15" s="100" t="s">
        <v>38</v>
      </c>
      <c r="B15" s="1874">
        <v>499926</v>
      </c>
      <c r="C15" s="1876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1874">
        <v>10</v>
      </c>
      <c r="R15" s="1876"/>
      <c r="S15" s="1758">
        <v>2</v>
      </c>
      <c r="T15" s="1849"/>
      <c r="U15" s="1758" t="s">
        <v>64</v>
      </c>
      <c r="V15" s="1877">
        <v>25089</v>
      </c>
      <c r="W15" s="1877"/>
      <c r="X15" s="1877"/>
    </row>
    <row r="16" spans="1:25" ht="24.75" customHeight="1" x14ac:dyDescent="0.25">
      <c r="A16" s="100" t="s">
        <v>39</v>
      </c>
      <c r="B16" s="1874">
        <v>105974</v>
      </c>
      <c r="C16" s="1876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1877"/>
      <c r="R16" s="1877"/>
      <c r="S16" s="1763"/>
      <c r="T16" s="1871" t="s">
        <v>55</v>
      </c>
      <c r="U16" s="1871"/>
      <c r="V16" s="1878">
        <f>Y12</f>
        <v>119800.33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1855"/>
      <c r="R17" s="1855"/>
      <c r="S17" s="1760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123188</v>
      </c>
      <c r="C18" s="1876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1877"/>
      <c r="R18" s="1877"/>
      <c r="S18" s="1758"/>
      <c r="T18" s="1871" t="s">
        <v>57</v>
      </c>
      <c r="U18" s="1871"/>
      <c r="V18" s="1877">
        <v>26220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482712</v>
      </c>
      <c r="C19" s="1876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1874">
        <f t="shared" si="14"/>
        <v>10</v>
      </c>
      <c r="R19" s="1876"/>
      <c r="S19" s="1758">
        <f>S15+S16-S17-S18</f>
        <v>2</v>
      </c>
      <c r="T19" s="1869" t="s">
        <v>48</v>
      </c>
      <c r="U19" s="49" t="s">
        <v>58</v>
      </c>
      <c r="V19" s="1877">
        <v>100000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464610.3</v>
      </c>
      <c r="C20" s="1904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537309.30000000005</v>
      </c>
      <c r="C21" s="1910"/>
      <c r="O21" s="1767"/>
      <c r="P21" s="1767"/>
      <c r="Q21" s="1767"/>
      <c r="R21" s="1767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100000</v>
      </c>
      <c r="D22" s="1908">
        <v>100000</v>
      </c>
      <c r="E22" s="1908">
        <v>102000</v>
      </c>
      <c r="F22" s="1908">
        <f>C22-D22+E22</f>
        <v>102000</v>
      </c>
      <c r="G22" s="1767"/>
      <c r="Q22" s="1767"/>
      <c r="R22" s="1767"/>
      <c r="T22" s="1863" t="s">
        <v>83</v>
      </c>
      <c r="U22" s="50" t="s">
        <v>60</v>
      </c>
      <c r="V22" s="1877">
        <v>105750</v>
      </c>
      <c r="W22" s="1877"/>
      <c r="X22" s="1877"/>
      <c r="Y22" s="1883"/>
    </row>
    <row r="23" spans="1:25" ht="39.75" customHeight="1" x14ac:dyDescent="0.25">
      <c r="A23" s="1767"/>
      <c r="B23" s="1906"/>
      <c r="C23" s="1909"/>
      <c r="D23" s="1909"/>
      <c r="E23" s="1909"/>
      <c r="F23" s="1909"/>
      <c r="G23" s="1767"/>
      <c r="Q23" s="1767"/>
      <c r="R23" s="1767"/>
      <c r="T23" s="1864"/>
      <c r="U23" s="50" t="s">
        <v>61</v>
      </c>
      <c r="V23" s="1877">
        <v>100000</v>
      </c>
      <c r="W23" s="1877"/>
      <c r="X23" s="1877"/>
      <c r="Y23" s="1883"/>
    </row>
    <row r="24" spans="1:25" ht="48" customHeight="1" x14ac:dyDescent="0.25">
      <c r="A24" s="1767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1849" t="s">
        <v>47</v>
      </c>
      <c r="U24" s="51" t="s">
        <v>62</v>
      </c>
      <c r="V24" s="1879">
        <f>V14+V16+V17-V18-V19-V20-V22+V23-V21</f>
        <v>15184.330000000016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30839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67"/>
      <c r="J33" s="1767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1842" t="s">
        <v>535</v>
      </c>
      <c r="U3" s="1842"/>
      <c r="V3" s="1842"/>
      <c r="W3" s="1842"/>
      <c r="X3" s="1842"/>
      <c r="Y3" s="1842"/>
    </row>
    <row r="4" spans="1:25" s="1773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73" customFormat="1" ht="25.5" customHeight="1" x14ac:dyDescent="0.25">
      <c r="A5" s="1843"/>
      <c r="B5" s="1843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1914" t="s">
        <v>479</v>
      </c>
      <c r="R14" s="1915"/>
      <c r="S14" s="1777" t="s">
        <v>401</v>
      </c>
      <c r="T14" s="1849" t="s">
        <v>46</v>
      </c>
      <c r="U14" s="1771" t="s">
        <v>176</v>
      </c>
      <c r="V14" s="1874">
        <v>15184</v>
      </c>
      <c r="W14" s="1875"/>
      <c r="X14" s="1876"/>
    </row>
    <row r="15" spans="1:25" ht="22.5" customHeight="1" x14ac:dyDescent="0.25">
      <c r="A15" s="100" t="s">
        <v>38</v>
      </c>
      <c r="B15" s="1874">
        <v>482712</v>
      </c>
      <c r="C15" s="1876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1874">
        <v>10</v>
      </c>
      <c r="R15" s="1876"/>
      <c r="S15" s="1771">
        <v>2</v>
      </c>
      <c r="T15" s="1849"/>
      <c r="U15" s="1771" t="s">
        <v>64</v>
      </c>
      <c r="V15" s="1877">
        <v>30839</v>
      </c>
      <c r="W15" s="1877"/>
      <c r="X15" s="1877"/>
    </row>
    <row r="16" spans="1:25" ht="24.75" customHeight="1" x14ac:dyDescent="0.25">
      <c r="A16" s="100" t="s">
        <v>39</v>
      </c>
      <c r="B16" s="1874">
        <v>93506</v>
      </c>
      <c r="C16" s="1876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1877"/>
      <c r="R16" s="1877"/>
      <c r="S16" s="1774"/>
      <c r="T16" s="1871" t="s">
        <v>55</v>
      </c>
      <c r="U16" s="1871"/>
      <c r="V16" s="1878">
        <f>Y12</f>
        <v>102856.1275</v>
      </c>
      <c r="W16" s="1878"/>
      <c r="X16" s="1877"/>
    </row>
    <row r="17" spans="1:25" ht="28.5" customHeight="1" x14ac:dyDescent="0.25">
      <c r="A17" s="101" t="s">
        <v>44</v>
      </c>
      <c r="B17" s="1874">
        <v>10389</v>
      </c>
      <c r="C17" s="1876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1855"/>
      <c r="R17" s="1855"/>
      <c r="S17" s="1770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105559</v>
      </c>
      <c r="C18" s="1876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1877"/>
      <c r="R18" s="1877"/>
      <c r="S18" s="1771"/>
      <c r="T18" s="1871" t="s">
        <v>57</v>
      </c>
      <c r="U18" s="1871"/>
      <c r="V18" s="1877">
        <v>12572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481048</v>
      </c>
      <c r="C19" s="1876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1874">
        <f t="shared" si="14"/>
        <v>10</v>
      </c>
      <c r="R19" s="1876"/>
      <c r="S19" s="1771">
        <f>S15+S16-S17-S18</f>
        <v>2</v>
      </c>
      <c r="T19" s="1869" t="s">
        <v>48</v>
      </c>
      <c r="U19" s="49" t="s">
        <v>58</v>
      </c>
      <c r="V19" s="1877">
        <v>102000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463008.7</v>
      </c>
      <c r="C20" s="1904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535507.69999999995</v>
      </c>
      <c r="C21" s="1910"/>
      <c r="O21" s="1778"/>
      <c r="P21" s="1778"/>
      <c r="Q21" s="1778"/>
      <c r="R21" s="1778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102000</v>
      </c>
      <c r="D22" s="1908">
        <v>102000</v>
      </c>
      <c r="E22" s="1908">
        <v>90000</v>
      </c>
      <c r="F22" s="1908">
        <f>C22-D22+E22</f>
        <v>90000</v>
      </c>
      <c r="G22" s="1778"/>
      <c r="Q22" s="1778"/>
      <c r="R22" s="1778"/>
      <c r="T22" s="1863" t="s">
        <v>83</v>
      </c>
      <c r="U22" s="50" t="s">
        <v>60</v>
      </c>
      <c r="V22" s="1877">
        <v>99920</v>
      </c>
      <c r="W22" s="1877"/>
      <c r="X22" s="1877"/>
      <c r="Y22" s="1883"/>
    </row>
    <row r="23" spans="1:25" ht="39.75" customHeight="1" x14ac:dyDescent="0.25">
      <c r="A23" s="1778"/>
      <c r="B23" s="1906"/>
      <c r="C23" s="1909"/>
      <c r="D23" s="1909"/>
      <c r="E23" s="1909"/>
      <c r="F23" s="1909"/>
      <c r="G23" s="1778"/>
      <c r="Q23" s="1778"/>
      <c r="R23" s="1778"/>
      <c r="T23" s="1864"/>
      <c r="U23" s="50" t="s">
        <v>61</v>
      </c>
      <c r="V23" s="1877">
        <v>102000</v>
      </c>
      <c r="W23" s="1877"/>
      <c r="X23" s="1877"/>
      <c r="Y23" s="1883"/>
    </row>
    <row r="24" spans="1:25" ht="48" customHeight="1" x14ac:dyDescent="0.25">
      <c r="A24" s="1778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1849" t="s">
        <v>47</v>
      </c>
      <c r="U24" s="51" t="s">
        <v>62</v>
      </c>
      <c r="V24" s="1879">
        <f>V14+V16+V17-V18-V19-V20-V22+V23-V21</f>
        <v>5548.1275000000023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28759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78"/>
      <c r="J33" s="1778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1842" t="s">
        <v>536</v>
      </c>
      <c r="U3" s="1842"/>
      <c r="V3" s="1842"/>
      <c r="W3" s="1842"/>
      <c r="X3" s="1842"/>
      <c r="Y3" s="1842"/>
    </row>
    <row r="4" spans="1:25" s="1779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79" customFormat="1" ht="25.5" customHeight="1" x14ac:dyDescent="0.25">
      <c r="A5" s="1843"/>
      <c r="B5" s="1843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1914" t="s">
        <v>479</v>
      </c>
      <c r="R14" s="1915"/>
      <c r="S14" s="1788" t="s">
        <v>401</v>
      </c>
      <c r="T14" s="1849" t="s">
        <v>46</v>
      </c>
      <c r="U14" s="1780" t="s">
        <v>176</v>
      </c>
      <c r="V14" s="1874">
        <v>5548</v>
      </c>
      <c r="W14" s="1875"/>
      <c r="X14" s="1876"/>
    </row>
    <row r="15" spans="1:25" ht="22.5" customHeight="1" x14ac:dyDescent="0.25">
      <c r="A15" s="100" t="s">
        <v>38</v>
      </c>
      <c r="B15" s="1874">
        <v>481048</v>
      </c>
      <c r="C15" s="1876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1874">
        <v>10</v>
      </c>
      <c r="R15" s="1876"/>
      <c r="S15" s="1780">
        <v>2</v>
      </c>
      <c r="T15" s="1849"/>
      <c r="U15" s="1780" t="s">
        <v>64</v>
      </c>
      <c r="V15" s="1877">
        <v>28759</v>
      </c>
      <c r="W15" s="1877"/>
      <c r="X15" s="1877"/>
    </row>
    <row r="16" spans="1:25" ht="24.75" customHeight="1" x14ac:dyDescent="0.25">
      <c r="A16" s="100" t="s">
        <v>39</v>
      </c>
      <c r="B16" s="1874">
        <v>213132</v>
      </c>
      <c r="C16" s="1876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1877"/>
      <c r="R16" s="1877"/>
      <c r="S16" s="1785"/>
      <c r="T16" s="1871" t="s">
        <v>55</v>
      </c>
      <c r="U16" s="1871"/>
      <c r="V16" s="1878">
        <f>Y12</f>
        <v>165208.69500000001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1855"/>
      <c r="R17" s="1855"/>
      <c r="S17" s="1782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138302</v>
      </c>
      <c r="C18" s="1876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1877"/>
      <c r="R18" s="1877"/>
      <c r="S18" s="1780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555878</v>
      </c>
      <c r="C19" s="1876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1874">
        <f t="shared" si="14"/>
        <v>10</v>
      </c>
      <c r="R19" s="1876"/>
      <c r="S19" s="1780">
        <f>S15+S16-S17-S18</f>
        <v>2</v>
      </c>
      <c r="T19" s="1869" t="s">
        <v>48</v>
      </c>
      <c r="U19" s="49" t="s">
        <v>58</v>
      </c>
      <c r="V19" s="1877">
        <v>90000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535032.57500000007</v>
      </c>
      <c r="C20" s="1904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95000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655023.77500000014</v>
      </c>
      <c r="C21" s="1910"/>
      <c r="O21" s="1789"/>
      <c r="P21" s="1789"/>
      <c r="Q21" s="1789"/>
      <c r="R21" s="1789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90000</v>
      </c>
      <c r="D22" s="1908">
        <v>90000</v>
      </c>
      <c r="E22" s="1908">
        <v>188000</v>
      </c>
      <c r="F22" s="1908">
        <f>C22-D22+E22</f>
        <v>188000</v>
      </c>
      <c r="G22" s="1789"/>
      <c r="Q22" s="1789"/>
      <c r="R22" s="1789"/>
      <c r="T22" s="1863" t="s">
        <v>83</v>
      </c>
      <c r="U22" s="50" t="s">
        <v>60</v>
      </c>
      <c r="V22" s="1877">
        <v>165410</v>
      </c>
      <c r="W22" s="1877"/>
      <c r="X22" s="1877"/>
      <c r="Y22" s="1883"/>
    </row>
    <row r="23" spans="1:25" ht="39.75" customHeight="1" x14ac:dyDescent="0.25">
      <c r="A23" s="1789"/>
      <c r="B23" s="1906"/>
      <c r="C23" s="1909"/>
      <c r="D23" s="1909"/>
      <c r="E23" s="1909"/>
      <c r="F23" s="1909"/>
      <c r="G23" s="1789"/>
      <c r="Q23" s="1789"/>
      <c r="R23" s="1789"/>
      <c r="T23" s="1864"/>
      <c r="U23" s="50" t="s">
        <v>61</v>
      </c>
      <c r="V23" s="1877">
        <v>185000</v>
      </c>
      <c r="W23" s="1877"/>
      <c r="X23" s="1877"/>
      <c r="Y23" s="1883"/>
    </row>
    <row r="24" spans="1:25" ht="48" customHeight="1" x14ac:dyDescent="0.25">
      <c r="A24" s="1789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1849" t="s">
        <v>47</v>
      </c>
      <c r="U24" s="51" t="s">
        <v>62</v>
      </c>
      <c r="V24" s="1879">
        <f>V14+V16+V17-V18-V19-V20-V22+V23-V21</f>
        <v>4826.695000000007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9169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789"/>
      <c r="J33" s="1789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1842" t="s">
        <v>537</v>
      </c>
      <c r="U3" s="1842"/>
      <c r="V3" s="1842"/>
      <c r="W3" s="1842"/>
      <c r="X3" s="1842"/>
      <c r="Y3" s="1842"/>
    </row>
    <row r="4" spans="1:25" s="1795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795" customFormat="1" ht="25.5" customHeight="1" x14ac:dyDescent="0.25">
      <c r="A5" s="1843"/>
      <c r="B5" s="1843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1914" t="s">
        <v>479</v>
      </c>
      <c r="R14" s="1915"/>
      <c r="S14" s="1799" t="s">
        <v>401</v>
      </c>
      <c r="T14" s="1849" t="s">
        <v>46</v>
      </c>
      <c r="U14" s="1793" t="s">
        <v>176</v>
      </c>
      <c r="V14" s="1874">
        <v>4827</v>
      </c>
      <c r="W14" s="1875"/>
      <c r="X14" s="1876"/>
    </row>
    <row r="15" spans="1:25" ht="22.5" customHeight="1" x14ac:dyDescent="0.25">
      <c r="A15" s="100" t="s">
        <v>38</v>
      </c>
      <c r="B15" s="1874">
        <v>555878</v>
      </c>
      <c r="C15" s="1876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1874">
        <v>10</v>
      </c>
      <c r="R15" s="1876"/>
      <c r="S15" s="1793">
        <v>2</v>
      </c>
      <c r="T15" s="1849"/>
      <c r="U15" s="1793" t="s">
        <v>64</v>
      </c>
      <c r="V15" s="1877">
        <v>9169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1877"/>
      <c r="R16" s="1877"/>
      <c r="S16" s="1796"/>
      <c r="T16" s="1871" t="s">
        <v>55</v>
      </c>
      <c r="U16" s="1871"/>
      <c r="V16" s="1878">
        <f>Y12</f>
        <v>103584.685</v>
      </c>
      <c r="W16" s="1878"/>
      <c r="X16" s="1877"/>
    </row>
    <row r="17" spans="1:25" ht="28.5" customHeight="1" x14ac:dyDescent="0.25">
      <c r="A17" s="101" t="s">
        <v>44</v>
      </c>
      <c r="B17" s="1874">
        <v>31009</v>
      </c>
      <c r="C17" s="1876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1855"/>
      <c r="R17" s="1855"/>
      <c r="S17" s="1792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91866</v>
      </c>
      <c r="C18" s="1876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1877"/>
      <c r="R18" s="1877"/>
      <c r="S18" s="1793"/>
      <c r="T18" s="1871" t="s">
        <v>57</v>
      </c>
      <c r="U18" s="1871"/>
      <c r="V18" s="1877">
        <v>620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495021</v>
      </c>
      <c r="C19" s="1876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1874">
        <f t="shared" si="14"/>
        <v>10</v>
      </c>
      <c r="R19" s="1876"/>
      <c r="S19" s="1793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476457.71250000002</v>
      </c>
      <c r="C20" s="1904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582350.21250000002</v>
      </c>
      <c r="C21" s="1910"/>
      <c r="O21" s="1800"/>
      <c r="P21" s="1800"/>
      <c r="Q21" s="1800"/>
      <c r="R21" s="1800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188000</v>
      </c>
      <c r="D22" s="1908"/>
      <c r="E22" s="1908"/>
      <c r="F22" s="1908">
        <f>C22-D22+E22</f>
        <v>188000</v>
      </c>
      <c r="G22" s="1800"/>
      <c r="Q22" s="1800"/>
      <c r="R22" s="1800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800"/>
      <c r="B23" s="1906"/>
      <c r="C23" s="1909"/>
      <c r="D23" s="1909"/>
      <c r="E23" s="1909"/>
      <c r="F23" s="1909"/>
      <c r="G23" s="1800"/>
      <c r="Q23" s="1800"/>
      <c r="R23" s="1800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800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1849" t="s">
        <v>47</v>
      </c>
      <c r="U24" s="51" t="s">
        <v>62</v>
      </c>
      <c r="V24" s="1879">
        <f>V14+V16+V17-V18-V19-V20-V22+V23-V21</f>
        <v>107791.685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9169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800"/>
      <c r="J33" s="1800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1842" t="s">
        <v>538</v>
      </c>
      <c r="U3" s="1842"/>
      <c r="V3" s="1842"/>
      <c r="W3" s="1842"/>
      <c r="X3" s="1842"/>
      <c r="Y3" s="1842"/>
    </row>
    <row r="4" spans="1:25" s="1801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01" customFormat="1" ht="25.5" customHeight="1" x14ac:dyDescent="0.25">
      <c r="A5" s="1843"/>
      <c r="B5" s="1843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1914" t="s">
        <v>479</v>
      </c>
      <c r="R14" s="1915"/>
      <c r="S14" s="1810" t="s">
        <v>401</v>
      </c>
      <c r="T14" s="1849" t="s">
        <v>46</v>
      </c>
      <c r="U14" s="1802" t="s">
        <v>176</v>
      </c>
      <c r="V14" s="1874">
        <v>107792</v>
      </c>
      <c r="W14" s="1875"/>
      <c r="X14" s="1876"/>
    </row>
    <row r="15" spans="1:25" ht="22.5" customHeight="1" x14ac:dyDescent="0.25">
      <c r="A15" s="100" t="s">
        <v>38</v>
      </c>
      <c r="B15" s="1874">
        <v>495021</v>
      </c>
      <c r="C15" s="1876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1874">
        <v>10</v>
      </c>
      <c r="R15" s="1876"/>
      <c r="S15" s="1802">
        <v>2</v>
      </c>
      <c r="T15" s="1849"/>
      <c r="U15" s="1802" t="s">
        <v>64</v>
      </c>
      <c r="V15" s="1877">
        <v>9169</v>
      </c>
      <c r="W15" s="1877"/>
      <c r="X15" s="1877"/>
    </row>
    <row r="16" spans="1:25" ht="24.75" customHeight="1" x14ac:dyDescent="0.25">
      <c r="A16" s="100" t="s">
        <v>39</v>
      </c>
      <c r="B16" s="1874">
        <v>161038</v>
      </c>
      <c r="C16" s="1876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1877"/>
      <c r="R16" s="1877"/>
      <c r="S16" s="1807"/>
      <c r="T16" s="1871" t="s">
        <v>55</v>
      </c>
      <c r="U16" s="1871"/>
      <c r="V16" s="1878">
        <f>Y12</f>
        <v>111835.185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1855"/>
      <c r="R17" s="1855"/>
      <c r="S17" s="1804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113666</v>
      </c>
      <c r="C18" s="1876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1877"/>
      <c r="R18" s="1877"/>
      <c r="S18" s="1802"/>
      <c r="T18" s="1871" t="s">
        <v>57</v>
      </c>
      <c r="U18" s="1871"/>
      <c r="V18" s="1877">
        <v>28966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542393</v>
      </c>
      <c r="C19" s="1876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1874">
        <f t="shared" si="14"/>
        <v>10</v>
      </c>
      <c r="R19" s="1876"/>
      <c r="S19" s="1802">
        <f>S15+S16-S17-S18</f>
        <v>2</v>
      </c>
      <c r="T19" s="1869" t="s">
        <v>48</v>
      </c>
      <c r="U19" s="49" t="s">
        <v>58</v>
      </c>
      <c r="V19" s="1877">
        <v>188000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522053.26250000001</v>
      </c>
      <c r="C20" s="1904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626664.0625</v>
      </c>
      <c r="C21" s="1910"/>
      <c r="O21" s="1811"/>
      <c r="P21" s="1811"/>
      <c r="Q21" s="1811"/>
      <c r="R21" s="1811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188000</v>
      </c>
      <c r="D22" s="1908">
        <v>188000</v>
      </c>
      <c r="E22" s="1908">
        <v>155000</v>
      </c>
      <c r="F22" s="1908">
        <f>C22-D22+E22</f>
        <v>155000</v>
      </c>
      <c r="G22" s="1811"/>
      <c r="Q22" s="1811"/>
      <c r="R22" s="1811"/>
      <c r="T22" s="1863" t="s">
        <v>83</v>
      </c>
      <c r="U22" s="50" t="s">
        <v>60</v>
      </c>
      <c r="V22" s="1877">
        <v>190130</v>
      </c>
      <c r="W22" s="1877"/>
      <c r="X22" s="1877"/>
      <c r="Y22" s="1883"/>
    </row>
    <row r="23" spans="1:25" ht="39.75" customHeight="1" x14ac:dyDescent="0.25">
      <c r="A23" s="1811"/>
      <c r="B23" s="1906"/>
      <c r="C23" s="1909"/>
      <c r="D23" s="1909"/>
      <c r="E23" s="1909"/>
      <c r="F23" s="1909"/>
      <c r="G23" s="1811"/>
      <c r="Q23" s="1811"/>
      <c r="R23" s="1811"/>
      <c r="T23" s="1864"/>
      <c r="U23" s="50" t="s">
        <v>61</v>
      </c>
      <c r="V23" s="1877">
        <v>188000</v>
      </c>
      <c r="W23" s="1877"/>
      <c r="X23" s="1877"/>
      <c r="Y23" s="1883"/>
    </row>
    <row r="24" spans="1:25" ht="48" customHeight="1" x14ac:dyDescent="0.25">
      <c r="A24" s="1811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1849" t="s">
        <v>47</v>
      </c>
      <c r="U24" s="51" t="s">
        <v>62</v>
      </c>
      <c r="V24" s="1879">
        <f>V14+V16+V17-V18-V19-V20-V22+V23-V21</f>
        <v>531.18499999999767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11299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811"/>
      <c r="J33" s="1811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1842" t="s">
        <v>539</v>
      </c>
      <c r="U3" s="1842"/>
      <c r="V3" s="1842"/>
      <c r="W3" s="1842"/>
      <c r="X3" s="1842"/>
      <c r="Y3" s="1842"/>
    </row>
    <row r="4" spans="1:25" s="1812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12" customFormat="1" ht="25.5" customHeight="1" x14ac:dyDescent="0.25">
      <c r="A5" s="1843"/>
      <c r="B5" s="1843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1914" t="s">
        <v>479</v>
      </c>
      <c r="R14" s="1915"/>
      <c r="S14" s="1821" t="s">
        <v>401</v>
      </c>
      <c r="T14" s="1849" t="s">
        <v>46</v>
      </c>
      <c r="U14" s="1813" t="s">
        <v>176</v>
      </c>
      <c r="V14" s="1874">
        <v>531</v>
      </c>
      <c r="W14" s="1875"/>
      <c r="X14" s="1876"/>
    </row>
    <row r="15" spans="1:25" ht="22.5" customHeight="1" x14ac:dyDescent="0.25">
      <c r="A15" s="100" t="s">
        <v>38</v>
      </c>
      <c r="B15" s="1874">
        <v>542393</v>
      </c>
      <c r="C15" s="1876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1874">
        <v>10</v>
      </c>
      <c r="R15" s="1876"/>
      <c r="S15" s="1813">
        <v>2</v>
      </c>
      <c r="T15" s="1849"/>
      <c r="U15" s="1813" t="s">
        <v>64</v>
      </c>
      <c r="V15" s="1877">
        <v>11299</v>
      </c>
      <c r="W15" s="1877"/>
      <c r="X15" s="1877"/>
    </row>
    <row r="16" spans="1:25" ht="24.75" customHeight="1" x14ac:dyDescent="0.25">
      <c r="A16" s="100" t="s">
        <v>39</v>
      </c>
      <c r="B16" s="1874"/>
      <c r="C16" s="1876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1877"/>
      <c r="R16" s="1877"/>
      <c r="S16" s="1818"/>
      <c r="T16" s="1871" t="s">
        <v>55</v>
      </c>
      <c r="U16" s="1871"/>
      <c r="V16" s="1878">
        <f>Y12</f>
        <v>150588.11249999999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1855"/>
      <c r="R17" s="1855"/>
      <c r="S17" s="1815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99305</v>
      </c>
      <c r="C18" s="1876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1877"/>
      <c r="R18" s="1877"/>
      <c r="S18" s="1813"/>
      <c r="T18" s="1871" t="s">
        <v>57</v>
      </c>
      <c r="U18" s="1871"/>
      <c r="V18" s="1877">
        <v>870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443088</v>
      </c>
      <c r="C19" s="1876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1874">
        <f t="shared" si="14"/>
        <v>10</v>
      </c>
      <c r="R19" s="1876"/>
      <c r="S19" s="1813">
        <f>S15+S16-S17-S18</f>
        <v>2</v>
      </c>
      <c r="T19" s="1869" t="s">
        <v>48</v>
      </c>
      <c r="U19" s="49" t="s">
        <v>58</v>
      </c>
      <c r="V19" s="1877"/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426472.2</v>
      </c>
      <c r="C20" s="1904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/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478044.304</v>
      </c>
      <c r="C21" s="1910"/>
      <c r="O21" s="1822"/>
      <c r="P21" s="1822"/>
      <c r="Q21" s="1822"/>
      <c r="R21" s="1822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155000</v>
      </c>
      <c r="D22" s="1908"/>
      <c r="E22" s="1908"/>
      <c r="F22" s="1908">
        <f>C22-D22+E22</f>
        <v>155000</v>
      </c>
      <c r="G22" s="1822"/>
      <c r="Q22" s="1822"/>
      <c r="R22" s="1822"/>
      <c r="T22" s="1863" t="s">
        <v>83</v>
      </c>
      <c r="U22" s="50" t="s">
        <v>60</v>
      </c>
      <c r="V22" s="1877"/>
      <c r="W22" s="1877"/>
      <c r="X22" s="1877"/>
      <c r="Y22" s="1883"/>
    </row>
    <row r="23" spans="1:25" ht="39.75" customHeight="1" x14ac:dyDescent="0.25">
      <c r="A23" s="1822"/>
      <c r="B23" s="1906"/>
      <c r="C23" s="1909"/>
      <c r="D23" s="1909"/>
      <c r="E23" s="1909"/>
      <c r="F23" s="1909"/>
      <c r="G23" s="1822"/>
      <c r="Q23" s="1822"/>
      <c r="R23" s="1822"/>
      <c r="T23" s="1864"/>
      <c r="U23" s="50" t="s">
        <v>61</v>
      </c>
      <c r="V23" s="1877"/>
      <c r="W23" s="1877"/>
      <c r="X23" s="1877"/>
      <c r="Y23" s="1883"/>
    </row>
    <row r="24" spans="1:25" ht="48" customHeight="1" x14ac:dyDescent="0.25">
      <c r="A24" s="1822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1849" t="s">
        <v>47</v>
      </c>
      <c r="U24" s="51" t="s">
        <v>62</v>
      </c>
      <c r="V24" s="1879">
        <f>V14+V16+V17-V18-V19-V20-V22+V23-V21</f>
        <v>150249.11249999999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11299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822"/>
      <c r="J33" s="1822"/>
      <c r="K33" s="1894"/>
      <c r="L33" s="1894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1842" t="s">
        <v>540</v>
      </c>
      <c r="U3" s="1842"/>
      <c r="V3" s="1842"/>
      <c r="W3" s="1842"/>
      <c r="X3" s="1842"/>
      <c r="Y3" s="1842"/>
    </row>
    <row r="4" spans="1:25" s="182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28" customFormat="1" ht="25.5" customHeight="1" x14ac:dyDescent="0.25">
      <c r="A5" s="1843"/>
      <c r="B5" s="1843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1914" t="s">
        <v>479</v>
      </c>
      <c r="R14" s="1915"/>
      <c r="S14" s="1832" t="s">
        <v>401</v>
      </c>
      <c r="T14" s="1849" t="s">
        <v>46</v>
      </c>
      <c r="U14" s="1826" t="s">
        <v>176</v>
      </c>
      <c r="V14" s="1874">
        <v>150249</v>
      </c>
      <c r="W14" s="1875"/>
      <c r="X14" s="1876"/>
    </row>
    <row r="15" spans="1:25" ht="22.5" customHeight="1" x14ac:dyDescent="0.25">
      <c r="A15" s="100" t="s">
        <v>38</v>
      </c>
      <c r="B15" s="1874">
        <v>443088</v>
      </c>
      <c r="C15" s="1876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1874">
        <v>10</v>
      </c>
      <c r="R15" s="1876"/>
      <c r="S15" s="1826">
        <v>2</v>
      </c>
      <c r="T15" s="1849"/>
      <c r="U15" s="1826" t="s">
        <v>64</v>
      </c>
      <c r="V15" s="1877">
        <v>11299</v>
      </c>
      <c r="W15" s="1877"/>
      <c r="X15" s="1877"/>
    </row>
    <row r="16" spans="1:25" ht="24.75" customHeight="1" x14ac:dyDescent="0.25">
      <c r="A16" s="100" t="s">
        <v>39</v>
      </c>
      <c r="B16" s="1874">
        <v>100779</v>
      </c>
      <c r="C16" s="1876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1877"/>
      <c r="R16" s="1877"/>
      <c r="S16" s="1829"/>
      <c r="T16" s="1871" t="s">
        <v>55</v>
      </c>
      <c r="U16" s="1871"/>
      <c r="V16" s="1878">
        <f>Y12</f>
        <v>99946.66750000001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1855"/>
      <c r="R17" s="1855"/>
      <c r="S17" s="1825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101903</v>
      </c>
      <c r="C18" s="1876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1877"/>
      <c r="R18" s="1877"/>
      <c r="S18" s="1826"/>
      <c r="T18" s="1871" t="s">
        <v>57</v>
      </c>
      <c r="U18" s="1871"/>
      <c r="V18" s="1877">
        <v>520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441964</v>
      </c>
      <c r="C19" s="1876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1874">
        <f t="shared" si="14"/>
        <v>10</v>
      </c>
      <c r="R19" s="1876"/>
      <c r="S19" s="1826">
        <f>S15+S16-S17-S18</f>
        <v>2</v>
      </c>
      <c r="T19" s="1869" t="s">
        <v>48</v>
      </c>
      <c r="U19" s="49" t="s">
        <v>58</v>
      </c>
      <c r="V19" s="1877">
        <v>155000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425390.35000000003</v>
      </c>
      <c r="C20" s="1904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341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476365.35000000003</v>
      </c>
      <c r="C21" s="1910"/>
      <c r="O21" s="1833"/>
      <c r="P21" s="1833"/>
      <c r="Q21" s="1833"/>
      <c r="R21" s="1833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155000</v>
      </c>
      <c r="D22" s="1908">
        <v>155000</v>
      </c>
      <c r="E22" s="1908">
        <v>97000</v>
      </c>
      <c r="F22" s="1908">
        <f>C22-D22+E22</f>
        <v>97000</v>
      </c>
      <c r="G22" s="1833"/>
      <c r="Q22" s="1833"/>
      <c r="R22" s="1833"/>
      <c r="T22" s="1863" t="s">
        <v>83</v>
      </c>
      <c r="U22" s="50" t="s">
        <v>60</v>
      </c>
      <c r="V22" s="1877">
        <v>155030</v>
      </c>
      <c r="W22" s="1877"/>
      <c r="X22" s="1877"/>
      <c r="Y22" s="1883"/>
    </row>
    <row r="23" spans="1:25" ht="39.75" customHeight="1" x14ac:dyDescent="0.25">
      <c r="A23" s="1833"/>
      <c r="B23" s="1906"/>
      <c r="C23" s="1909"/>
      <c r="D23" s="1909"/>
      <c r="E23" s="1909"/>
      <c r="F23" s="1909"/>
      <c r="G23" s="1833"/>
      <c r="Q23" s="1833"/>
      <c r="R23" s="1833"/>
      <c r="T23" s="1864"/>
      <c r="U23" s="50" t="s">
        <v>61</v>
      </c>
      <c r="V23" s="1877">
        <v>155000</v>
      </c>
      <c r="W23" s="1877"/>
      <c r="X23" s="1877"/>
      <c r="Y23" s="1883"/>
    </row>
    <row r="24" spans="1:25" ht="48" customHeight="1" x14ac:dyDescent="0.25">
      <c r="A24" s="183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1849" t="s">
        <v>47</v>
      </c>
      <c r="U24" s="51" t="s">
        <v>62</v>
      </c>
      <c r="V24" s="1879">
        <f>V14+V16+V17-V18-V19-V20-V22+V23-V21</f>
        <v>94304.66750000001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11329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833"/>
      <c r="J33" s="1833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abSelected="1"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840" t="s">
        <v>148</v>
      </c>
      <c r="B1" s="1840"/>
      <c r="C1" s="1840"/>
      <c r="D1" s="1840"/>
      <c r="E1" s="1840"/>
      <c r="F1" s="1840"/>
      <c r="G1" s="1840"/>
      <c r="H1" s="1840"/>
      <c r="I1" s="1840"/>
      <c r="J1" s="1840"/>
      <c r="K1" s="1840"/>
      <c r="L1" s="1840"/>
      <c r="M1" s="1840"/>
      <c r="N1" s="1840"/>
      <c r="O1" s="1840"/>
      <c r="P1" s="1840"/>
      <c r="Q1" s="1840"/>
      <c r="R1" s="1840"/>
      <c r="S1" s="1840"/>
      <c r="T1" s="1840"/>
      <c r="U1" s="1840"/>
      <c r="V1" s="1840"/>
      <c r="W1" s="1840"/>
      <c r="X1" s="1840"/>
      <c r="Y1" s="1840"/>
    </row>
    <row r="2" spans="1:25" ht="21.6" customHeight="1" x14ac:dyDescent="0.25">
      <c r="A2" s="1841" t="s">
        <v>383</v>
      </c>
      <c r="B2" s="1841"/>
      <c r="C2" s="1841"/>
      <c r="D2" s="1841"/>
      <c r="E2" s="1841"/>
      <c r="F2" s="1841"/>
      <c r="G2" s="1841"/>
      <c r="H2" s="1841"/>
      <c r="I2" s="1841"/>
      <c r="J2" s="1841"/>
      <c r="K2" s="1841"/>
      <c r="L2" s="1841"/>
      <c r="M2" s="1841"/>
      <c r="N2" s="1841"/>
      <c r="O2" s="1841"/>
      <c r="P2" s="1841"/>
      <c r="Q2" s="1841"/>
      <c r="R2" s="1841"/>
      <c r="S2" s="1841"/>
      <c r="T2" s="1841"/>
      <c r="U2" s="1841"/>
      <c r="V2" s="1841"/>
      <c r="W2" s="1841"/>
      <c r="X2" s="1841"/>
      <c r="Y2" s="1841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1842" t="s">
        <v>541</v>
      </c>
      <c r="U3" s="1842"/>
      <c r="V3" s="1842"/>
      <c r="W3" s="1842"/>
      <c r="X3" s="1842"/>
      <c r="Y3" s="1842"/>
    </row>
    <row r="4" spans="1:25" s="1828" customFormat="1" ht="18" customHeight="1" x14ac:dyDescent="0.25">
      <c r="A4" s="1843" t="s">
        <v>25</v>
      </c>
      <c r="B4" s="1843" t="s">
        <v>26</v>
      </c>
      <c r="C4" s="1844" t="s">
        <v>27</v>
      </c>
      <c r="D4" s="1844"/>
      <c r="E4" s="1844" t="s">
        <v>342</v>
      </c>
      <c r="F4" s="1844"/>
      <c r="G4" s="1844" t="s">
        <v>65</v>
      </c>
      <c r="H4" s="1844"/>
      <c r="I4" s="1844" t="s">
        <v>29</v>
      </c>
      <c r="J4" s="1844"/>
      <c r="K4" s="1845" t="s">
        <v>14</v>
      </c>
      <c r="L4" s="1846"/>
      <c r="M4" s="1845" t="s">
        <v>429</v>
      </c>
      <c r="N4" s="1846"/>
      <c r="O4" s="1845" t="s">
        <v>441</v>
      </c>
      <c r="P4" s="1846"/>
      <c r="Q4" s="1845" t="s">
        <v>114</v>
      </c>
      <c r="R4" s="1846"/>
      <c r="S4" s="1844" t="s">
        <v>35</v>
      </c>
      <c r="T4" s="1844"/>
      <c r="U4" s="1845" t="s">
        <v>17</v>
      </c>
      <c r="V4" s="1846"/>
      <c r="W4" s="1847" t="s">
        <v>36</v>
      </c>
      <c r="X4" s="1848"/>
      <c r="Y4" s="1838" t="s">
        <v>30</v>
      </c>
    </row>
    <row r="5" spans="1:25" s="1828" customFormat="1" ht="25.5" customHeight="1" x14ac:dyDescent="0.25">
      <c r="A5" s="1843"/>
      <c r="B5" s="1843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839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1849" t="s">
        <v>31</v>
      </c>
      <c r="B12" s="1849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1850" t="s">
        <v>27</v>
      </c>
      <c r="C14" s="1850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1914" t="s">
        <v>479</v>
      </c>
      <c r="R14" s="1915"/>
      <c r="S14" s="1832" t="s">
        <v>401</v>
      </c>
      <c r="T14" s="1849" t="s">
        <v>46</v>
      </c>
      <c r="U14" s="1826" t="s">
        <v>176</v>
      </c>
      <c r="V14" s="1874">
        <v>94305</v>
      </c>
      <c r="W14" s="1875"/>
      <c r="X14" s="1876"/>
    </row>
    <row r="15" spans="1:25" ht="22.5" customHeight="1" x14ac:dyDescent="0.25">
      <c r="A15" s="100" t="s">
        <v>38</v>
      </c>
      <c r="B15" s="1874">
        <v>441964</v>
      </c>
      <c r="C15" s="1876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1874">
        <v>10</v>
      </c>
      <c r="R15" s="1876"/>
      <c r="S15" s="1826">
        <v>2</v>
      </c>
      <c r="T15" s="1849"/>
      <c r="U15" s="1826" t="s">
        <v>64</v>
      </c>
      <c r="V15" s="1877">
        <v>11329</v>
      </c>
      <c r="W15" s="1877"/>
      <c r="X15" s="1877"/>
    </row>
    <row r="16" spans="1:25" ht="24.75" customHeight="1" x14ac:dyDescent="0.25">
      <c r="A16" s="100" t="s">
        <v>39</v>
      </c>
      <c r="B16" s="1874">
        <v>107510</v>
      </c>
      <c r="C16" s="1876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1877"/>
      <c r="R16" s="1877"/>
      <c r="S16" s="1829"/>
      <c r="T16" s="1871" t="s">
        <v>55</v>
      </c>
      <c r="U16" s="1871"/>
      <c r="V16" s="1878">
        <f>Y12</f>
        <v>104448.0975</v>
      </c>
      <c r="W16" s="1878"/>
      <c r="X16" s="1877"/>
    </row>
    <row r="17" spans="1:25" ht="28.5" customHeight="1" x14ac:dyDescent="0.25">
      <c r="A17" s="101" t="s">
        <v>44</v>
      </c>
      <c r="B17" s="1874"/>
      <c r="C17" s="1876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1855"/>
      <c r="R17" s="1855"/>
      <c r="S17" s="1825"/>
      <c r="T17" s="1900" t="s">
        <v>521</v>
      </c>
      <c r="U17" s="1901"/>
      <c r="V17" s="1902"/>
      <c r="W17" s="1902"/>
      <c r="X17" s="1902"/>
    </row>
    <row r="18" spans="1:25" ht="27" customHeight="1" x14ac:dyDescent="0.25">
      <c r="A18" s="100" t="s">
        <v>40</v>
      </c>
      <c r="B18" s="1880">
        <f>C12</f>
        <v>107051</v>
      </c>
      <c r="C18" s="1876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1877"/>
      <c r="R18" s="1877"/>
      <c r="S18" s="1826"/>
      <c r="T18" s="1871" t="s">
        <v>57</v>
      </c>
      <c r="U18" s="1871"/>
      <c r="V18" s="1877">
        <v>920</v>
      </c>
      <c r="W18" s="1877"/>
      <c r="X18" s="1877"/>
      <c r="Y18" s="1883"/>
    </row>
    <row r="19" spans="1:25" ht="25.5" customHeight="1" x14ac:dyDescent="0.25">
      <c r="A19" s="100" t="s">
        <v>41</v>
      </c>
      <c r="B19" s="1874">
        <f>B15+B16+B17-B18</f>
        <v>442423</v>
      </c>
      <c r="C19" s="1876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1874">
        <f t="shared" si="14"/>
        <v>10</v>
      </c>
      <c r="R19" s="1876"/>
      <c r="S19" s="1826">
        <f>S15+S16-S17-S18</f>
        <v>2</v>
      </c>
      <c r="T19" s="1869" t="s">
        <v>48</v>
      </c>
      <c r="U19" s="49" t="s">
        <v>58</v>
      </c>
      <c r="V19" s="1877">
        <v>97000</v>
      </c>
      <c r="W19" s="1877"/>
      <c r="X19" s="1877"/>
      <c r="Y19" s="1883"/>
    </row>
    <row r="20" spans="1:25" ht="23.25" customHeight="1" x14ac:dyDescent="0.25">
      <c r="A20" s="289" t="s">
        <v>187</v>
      </c>
      <c r="B20" s="1903">
        <f>B19*0.9625</f>
        <v>425832.13750000001</v>
      </c>
      <c r="C20" s="1904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903">
        <f>470*Q19</f>
        <v>4700</v>
      </c>
      <c r="R20" s="1904"/>
      <c r="S20" s="290">
        <f>341*S19</f>
        <v>682</v>
      </c>
      <c r="T20" s="1870"/>
      <c r="U20" s="49" t="s">
        <v>59</v>
      </c>
      <c r="V20" s="1877">
        <v>82000</v>
      </c>
      <c r="W20" s="1877"/>
      <c r="X20" s="1877"/>
      <c r="Y20" s="1883"/>
    </row>
    <row r="21" spans="1:25" ht="32.25" customHeight="1" x14ac:dyDescent="0.25">
      <c r="A21" s="291" t="s">
        <v>186</v>
      </c>
      <c r="B21" s="1910">
        <f>SUM(B20:S20)</f>
        <v>555091.33750000002</v>
      </c>
      <c r="C21" s="1910"/>
      <c r="O21" s="1833"/>
      <c r="P21" s="1833"/>
      <c r="Q21" s="1833"/>
      <c r="R21" s="1833"/>
      <c r="T21" s="1900" t="s">
        <v>518</v>
      </c>
      <c r="U21" s="1901"/>
      <c r="V21" s="1911"/>
      <c r="W21" s="1912"/>
      <c r="X21" s="1913"/>
      <c r="Y21" s="1883"/>
    </row>
    <row r="22" spans="1:25" ht="35.25" customHeight="1" x14ac:dyDescent="0.25">
      <c r="A22" s="15"/>
      <c r="B22" s="1905" t="s">
        <v>49</v>
      </c>
      <c r="C22" s="1908">
        <v>97000</v>
      </c>
      <c r="D22" s="1908">
        <v>97000</v>
      </c>
      <c r="E22" s="1908">
        <v>100000</v>
      </c>
      <c r="F22" s="1908">
        <f>C22-D22+E22</f>
        <v>100000</v>
      </c>
      <c r="G22" s="1833"/>
      <c r="Q22" s="1833"/>
      <c r="R22" s="1833"/>
      <c r="T22" s="1863" t="s">
        <v>83</v>
      </c>
      <c r="U22" s="50" t="s">
        <v>60</v>
      </c>
      <c r="V22" s="1877">
        <v>179000</v>
      </c>
      <c r="W22" s="1877"/>
      <c r="X22" s="1877"/>
      <c r="Y22" s="1883"/>
    </row>
    <row r="23" spans="1:25" ht="39.75" customHeight="1" x14ac:dyDescent="0.25">
      <c r="A23" s="1833"/>
      <c r="B23" s="1906"/>
      <c r="C23" s="1909"/>
      <c r="D23" s="1909"/>
      <c r="E23" s="1909"/>
      <c r="F23" s="1909"/>
      <c r="G23" s="1833"/>
      <c r="Q23" s="1833"/>
      <c r="R23" s="1833"/>
      <c r="T23" s="1864"/>
      <c r="U23" s="50" t="s">
        <v>61</v>
      </c>
      <c r="V23" s="1877">
        <v>179000</v>
      </c>
      <c r="W23" s="1877"/>
      <c r="X23" s="1877"/>
      <c r="Y23" s="1883"/>
    </row>
    <row r="24" spans="1:25" ht="48" customHeight="1" x14ac:dyDescent="0.25">
      <c r="A24" s="1833"/>
      <c r="B24" s="1907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1849" t="s">
        <v>47</v>
      </c>
      <c r="U24" s="51" t="s">
        <v>62</v>
      </c>
      <c r="V24" s="1879">
        <f>V14+V16+V17-V18-V19-V20-V22+V23-V21</f>
        <v>18833.097500000003</v>
      </c>
      <c r="W24" s="1879"/>
      <c r="X24" s="1879"/>
      <c r="Y24" s="1883"/>
    </row>
    <row r="25" spans="1:25" ht="40.5" customHeight="1" x14ac:dyDescent="0.25">
      <c r="T25" s="1849"/>
      <c r="U25" s="51" t="s">
        <v>63</v>
      </c>
      <c r="V25" s="1877">
        <f>V15+V22-V23</f>
        <v>11329</v>
      </c>
      <c r="W25" s="1877"/>
      <c r="X25" s="1877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894"/>
      <c r="J32" s="1894"/>
      <c r="K32" s="1894"/>
      <c r="L32" s="1894"/>
    </row>
    <row r="33" spans="9:12" x14ac:dyDescent="0.25">
      <c r="I33" s="1833"/>
      <c r="J33" s="1833"/>
      <c r="K33" s="1894"/>
      <c r="L33" s="1894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291</vt:i4>
      </vt:variant>
    </vt:vector>
  </HeadingPairs>
  <TitlesOfParts>
    <vt:vector size="291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</cp:lastModifiedBy>
  <cp:lastPrinted>2024-12-18T13:36:57Z</cp:lastPrinted>
  <dcterms:created xsi:type="dcterms:W3CDTF">2023-07-12T08:43:23Z</dcterms:created>
  <dcterms:modified xsi:type="dcterms:W3CDTF">2024-12-18T16:44:47Z</dcterms:modified>
</cp:coreProperties>
</file>