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kthi Sree\Downloads\"/>
    </mc:Choice>
  </mc:AlternateContent>
  <xr:revisionPtr revIDLastSave="0" documentId="13_ncr:1_{38D7D4CC-D0CD-425B-AFC9-1F61873A44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 1" sheetId="1" r:id="rId1"/>
    <sheet name="Output 2" sheetId="2" r:id="rId2"/>
    <sheet name="Output 3" sheetId="3" r:id="rId3"/>
    <sheet name="Income Statement" sheetId="4" r:id="rId4"/>
    <sheet name="Balance Sheet" sheetId="5" r:id="rId5"/>
    <sheet name="Cash Flows" sheetId="6" r:id="rId6"/>
    <sheet name="Customer Data" sheetId="7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36nNwwaKGaxW9smCPNGSj6tOnY0N45kIbgof6GZfMTs="/>
    </ext>
  </extLst>
</workbook>
</file>

<file path=xl/calcChain.xml><?xml version="1.0" encoding="utf-8"?>
<calcChain xmlns="http://schemas.openxmlformats.org/spreadsheetml/2006/main">
  <c r="H25" i="3" l="1"/>
  <c r="H27" i="3"/>
  <c r="H29" i="3"/>
  <c r="H23" i="3"/>
  <c r="G36" i="3"/>
  <c r="F36" i="3"/>
  <c r="E36" i="3"/>
  <c r="D36" i="3"/>
  <c r="E35" i="3"/>
  <c r="F35" i="3"/>
  <c r="G35" i="3"/>
  <c r="D35" i="3"/>
  <c r="E34" i="3"/>
  <c r="F34" i="3"/>
  <c r="G34" i="3"/>
  <c r="D34" i="3"/>
  <c r="E33" i="3"/>
  <c r="F33" i="3"/>
  <c r="G33" i="3"/>
  <c r="D33" i="3"/>
  <c r="G30" i="3"/>
  <c r="F30" i="3"/>
  <c r="E30" i="3"/>
  <c r="D30" i="3"/>
  <c r="G29" i="3"/>
  <c r="F29" i="3"/>
  <c r="E29" i="3"/>
  <c r="D29" i="3"/>
  <c r="E28" i="3"/>
  <c r="F28" i="3"/>
  <c r="G28" i="3"/>
  <c r="D28" i="3"/>
  <c r="G27" i="3"/>
  <c r="F27" i="3"/>
  <c r="E27" i="3"/>
  <c r="D27" i="3"/>
  <c r="E26" i="3"/>
  <c r="F26" i="3"/>
  <c r="G26" i="3"/>
  <c r="D26" i="3"/>
  <c r="E24" i="3"/>
  <c r="F24" i="3"/>
  <c r="G24" i="3"/>
  <c r="D24" i="3"/>
  <c r="G25" i="3"/>
  <c r="F25" i="3"/>
  <c r="E25" i="3"/>
  <c r="D25" i="3"/>
  <c r="G23" i="3"/>
  <c r="F23" i="3"/>
  <c r="E23" i="3"/>
  <c r="D23" i="3"/>
  <c r="F24" i="2"/>
  <c r="G24" i="2"/>
  <c r="H24" i="2"/>
  <c r="I24" i="2"/>
  <c r="J24" i="2"/>
  <c r="K24" i="2"/>
  <c r="E24" i="2"/>
  <c r="F23" i="2"/>
  <c r="G23" i="2"/>
  <c r="H23" i="2"/>
  <c r="I23" i="2"/>
  <c r="J23" i="2"/>
  <c r="K23" i="2"/>
  <c r="E23" i="2"/>
  <c r="F21" i="2"/>
  <c r="G21" i="2"/>
  <c r="H21" i="2"/>
  <c r="I21" i="2"/>
  <c r="J21" i="2"/>
  <c r="K21" i="2"/>
  <c r="E21" i="2"/>
  <c r="F19" i="2"/>
  <c r="G19" i="2"/>
  <c r="H19" i="2"/>
  <c r="I19" i="2"/>
  <c r="J19" i="2"/>
  <c r="K19" i="2"/>
  <c r="E19" i="2"/>
  <c r="F20" i="2"/>
  <c r="G20" i="2"/>
  <c r="H20" i="2"/>
  <c r="I20" i="2"/>
  <c r="J20" i="2"/>
  <c r="K20" i="2"/>
  <c r="E20" i="2"/>
  <c r="F18" i="2"/>
  <c r="G18" i="2"/>
  <c r="H18" i="2"/>
  <c r="I18" i="2"/>
  <c r="J18" i="2"/>
  <c r="K18" i="2"/>
  <c r="E18" i="2"/>
  <c r="F17" i="2"/>
  <c r="G17" i="2"/>
  <c r="H17" i="2"/>
  <c r="I17" i="2"/>
  <c r="J17" i="2"/>
  <c r="K17" i="2"/>
  <c r="E17" i="2"/>
  <c r="K15" i="2"/>
  <c r="H15" i="2"/>
  <c r="I15" i="2"/>
  <c r="J15" i="2"/>
  <c r="G15" i="2"/>
  <c r="F15" i="2"/>
  <c r="E15" i="2"/>
  <c r="K31" i="1"/>
  <c r="H31" i="1"/>
  <c r="I31" i="1"/>
  <c r="J31" i="1"/>
  <c r="G31" i="1"/>
  <c r="F31" i="1"/>
  <c r="E31" i="1"/>
  <c r="K26" i="1"/>
  <c r="H26" i="1"/>
  <c r="I26" i="1"/>
  <c r="J26" i="1"/>
  <c r="G26" i="1"/>
  <c r="F26" i="1"/>
  <c r="E26" i="1"/>
  <c r="F30" i="1"/>
  <c r="G30" i="1"/>
  <c r="H30" i="1"/>
  <c r="I30" i="1"/>
  <c r="J30" i="1"/>
  <c r="K30" i="1"/>
  <c r="E30" i="1"/>
  <c r="F29" i="1"/>
  <c r="G29" i="1"/>
  <c r="H29" i="1"/>
  <c r="I29" i="1"/>
  <c r="J29" i="1"/>
  <c r="K29" i="1"/>
  <c r="E29" i="1"/>
  <c r="K24" i="1"/>
  <c r="H24" i="1"/>
  <c r="I24" i="1"/>
  <c r="J24" i="1"/>
  <c r="G24" i="1"/>
  <c r="F24" i="1"/>
  <c r="E24" i="1"/>
  <c r="G23" i="1"/>
  <c r="H23" i="1"/>
  <c r="I23" i="1"/>
  <c r="J23" i="1"/>
  <c r="K23" i="1"/>
  <c r="F23" i="1"/>
  <c r="E23" i="1"/>
  <c r="K22" i="1"/>
  <c r="H22" i="1"/>
  <c r="I22" i="1"/>
  <c r="J22" i="1"/>
  <c r="G22" i="1"/>
  <c r="F22" i="1"/>
  <c r="E22" i="1"/>
  <c r="G20" i="1"/>
  <c r="H20" i="1"/>
  <c r="I20" i="1"/>
  <c r="J20" i="1"/>
  <c r="K20" i="1"/>
  <c r="K19" i="1"/>
  <c r="H19" i="1"/>
  <c r="I19" i="1"/>
  <c r="J19" i="1"/>
  <c r="G19" i="1"/>
  <c r="F20" i="1"/>
  <c r="E20" i="1"/>
  <c r="F19" i="1"/>
  <c r="E19" i="1"/>
  <c r="K17" i="1"/>
  <c r="K16" i="1"/>
  <c r="G17" i="1"/>
  <c r="H17" i="1"/>
  <c r="I17" i="1"/>
  <c r="J17" i="1"/>
  <c r="H16" i="1"/>
  <c r="I16" i="1"/>
  <c r="J16" i="1"/>
  <c r="G16" i="1"/>
  <c r="F17" i="1"/>
  <c r="E17" i="1"/>
  <c r="F16" i="1"/>
  <c r="E16" i="1"/>
  <c r="O11" i="4"/>
  <c r="O12" i="4"/>
  <c r="O18" i="4"/>
  <c r="O20" i="4"/>
  <c r="O14" i="4"/>
  <c r="K6" i="7"/>
  <c r="K9" i="7" s="1"/>
  <c r="J11" i="7" s="1"/>
  <c r="J6" i="7"/>
  <c r="J9" i="7" s="1"/>
  <c r="I11" i="7" s="1"/>
  <c r="I6" i="7"/>
  <c r="I9" i="7" s="1"/>
  <c r="H11" i="7" s="1"/>
  <c r="H6" i="7"/>
  <c r="H9" i="7" s="1"/>
  <c r="G11" i="7" s="1"/>
  <c r="G6" i="7"/>
  <c r="G9" i="7" s="1"/>
  <c r="F11" i="7" s="1"/>
  <c r="F6" i="7"/>
  <c r="F9" i="7" s="1"/>
  <c r="E11" i="7" s="1"/>
  <c r="E6" i="7"/>
  <c r="E9" i="7" s="1"/>
  <c r="D11" i="7" s="1"/>
  <c r="D6" i="7"/>
  <c r="D9" i="7" s="1"/>
  <c r="C11" i="7" s="1"/>
  <c r="C6" i="7"/>
  <c r="C9" i="7" s="1"/>
  <c r="R50" i="6"/>
  <c r="P50" i="6"/>
  <c r="O50" i="6"/>
  <c r="N50" i="6"/>
  <c r="M50" i="6"/>
  <c r="K50" i="6"/>
  <c r="J50" i="6"/>
  <c r="I50" i="6"/>
  <c r="H50" i="6"/>
  <c r="R49" i="6"/>
  <c r="P49" i="6"/>
  <c r="O49" i="6"/>
  <c r="N49" i="6"/>
  <c r="M49" i="6"/>
  <c r="K49" i="6"/>
  <c r="J49" i="6"/>
  <c r="I49" i="6"/>
  <c r="H49" i="6"/>
  <c r="K48" i="6"/>
  <c r="K51" i="6" s="1"/>
  <c r="J48" i="6"/>
  <c r="J51" i="6" s="1"/>
  <c r="I48" i="6"/>
  <c r="I51" i="6" s="1"/>
  <c r="R45" i="6"/>
  <c r="Q45" i="6"/>
  <c r="P45" i="6"/>
  <c r="O45" i="6"/>
  <c r="N45" i="6"/>
  <c r="M45" i="6"/>
  <c r="L45" i="6"/>
  <c r="K45" i="6"/>
  <c r="J45" i="6"/>
  <c r="I45" i="6"/>
  <c r="H45" i="6"/>
  <c r="Q43" i="6"/>
  <c r="L43" i="6"/>
  <c r="Q42" i="6"/>
  <c r="L42" i="6"/>
  <c r="R40" i="6"/>
  <c r="P40" i="6"/>
  <c r="O40" i="6"/>
  <c r="N40" i="6"/>
  <c r="M40" i="6"/>
  <c r="K40" i="6"/>
  <c r="J40" i="6"/>
  <c r="I40" i="6"/>
  <c r="H40" i="6"/>
  <c r="Q39" i="6"/>
  <c r="L39" i="6"/>
  <c r="Q38" i="6"/>
  <c r="L38" i="6"/>
  <c r="Q37" i="6"/>
  <c r="L37" i="6"/>
  <c r="Q36" i="6"/>
  <c r="L36" i="6"/>
  <c r="Q35" i="6"/>
  <c r="L35" i="6"/>
  <c r="Q34" i="6"/>
  <c r="Q40" i="6" s="1"/>
  <c r="L34" i="6"/>
  <c r="L40" i="6" s="1"/>
  <c r="R32" i="6"/>
  <c r="P32" i="6"/>
  <c r="O32" i="6"/>
  <c r="N32" i="6"/>
  <c r="M32" i="6"/>
  <c r="K32" i="6"/>
  <c r="J32" i="6"/>
  <c r="I32" i="6"/>
  <c r="H32" i="6"/>
  <c r="Q31" i="6"/>
  <c r="Q30" i="6"/>
  <c r="L30" i="6"/>
  <c r="Q29" i="6"/>
  <c r="Q50" i="6" s="1"/>
  <c r="L29" i="6"/>
  <c r="L32" i="6" s="1"/>
  <c r="Q28" i="6"/>
  <c r="Q49" i="6" s="1"/>
  <c r="L28" i="6"/>
  <c r="L49" i="6" s="1"/>
  <c r="P26" i="6"/>
  <c r="P48" i="6" s="1"/>
  <c r="P51" i="6" s="1"/>
  <c r="O26" i="6"/>
  <c r="O48" i="6" s="1"/>
  <c r="O51" i="6" s="1"/>
  <c r="N26" i="6"/>
  <c r="N48" i="6" s="1"/>
  <c r="N51" i="6" s="1"/>
  <c r="M26" i="6"/>
  <c r="M48" i="6" s="1"/>
  <c r="M51" i="6" s="1"/>
  <c r="K26" i="6"/>
  <c r="J26" i="6"/>
  <c r="I26" i="6"/>
  <c r="H26" i="6"/>
  <c r="H48" i="6" s="1"/>
  <c r="H51" i="6" s="1"/>
  <c r="Q25" i="6"/>
  <c r="L25" i="6"/>
  <c r="Q24" i="6"/>
  <c r="L24" i="6"/>
  <c r="Q23" i="6"/>
  <c r="L23" i="6"/>
  <c r="Q22" i="6"/>
  <c r="L22" i="6"/>
  <c r="Q21" i="6"/>
  <c r="L21" i="6"/>
  <c r="Q19" i="6"/>
  <c r="L19" i="6"/>
  <c r="Q18" i="6"/>
  <c r="L18" i="6"/>
  <c r="Q17" i="6"/>
  <c r="L17" i="6"/>
  <c r="Q16" i="6"/>
  <c r="L16" i="6"/>
  <c r="Q15" i="6"/>
  <c r="L15" i="6"/>
  <c r="L26" i="6" s="1"/>
  <c r="L48" i="6" s="1"/>
  <c r="Q14" i="6"/>
  <c r="L14" i="6"/>
  <c r="Q13" i="6"/>
  <c r="L13" i="6"/>
  <c r="Q12" i="6"/>
  <c r="L12" i="6"/>
  <c r="R9" i="6"/>
  <c r="R26" i="6" s="1"/>
  <c r="R48" i="6" s="1"/>
  <c r="R51" i="6" s="1"/>
  <c r="Q9" i="6"/>
  <c r="Q26" i="6" s="1"/>
  <c r="Q48" i="6" s="1"/>
  <c r="Q51" i="6" s="1"/>
  <c r="L9" i="6"/>
  <c r="L36" i="5"/>
  <c r="R35" i="5"/>
  <c r="Q35" i="5"/>
  <c r="Q36" i="5" s="1"/>
  <c r="P35" i="5"/>
  <c r="P36" i="5" s="1"/>
  <c r="O35" i="5"/>
  <c r="N35" i="5"/>
  <c r="M35" i="5"/>
  <c r="L35" i="5"/>
  <c r="K35" i="5"/>
  <c r="J35" i="5"/>
  <c r="I35" i="5"/>
  <c r="H35" i="5"/>
  <c r="G35" i="5"/>
  <c r="L29" i="5"/>
  <c r="K29" i="5"/>
  <c r="K36" i="5" s="1"/>
  <c r="J29" i="5"/>
  <c r="J36" i="5" s="1"/>
  <c r="R25" i="5"/>
  <c r="R29" i="5" s="1"/>
  <c r="R36" i="5" s="1"/>
  <c r="Q25" i="5"/>
  <c r="P25" i="5"/>
  <c r="O25" i="5"/>
  <c r="O29" i="5" s="1"/>
  <c r="O36" i="5" s="1"/>
  <c r="N25" i="5"/>
  <c r="N29" i="5" s="1"/>
  <c r="N36" i="5" s="1"/>
  <c r="M25" i="5"/>
  <c r="M29" i="5" s="1"/>
  <c r="M36" i="5" s="1"/>
  <c r="L25" i="5"/>
  <c r="K25" i="5"/>
  <c r="J25" i="5"/>
  <c r="I25" i="5"/>
  <c r="I29" i="5" s="1"/>
  <c r="I36" i="5" s="1"/>
  <c r="H25" i="5"/>
  <c r="H29" i="5" s="1"/>
  <c r="H36" i="5" s="1"/>
  <c r="G25" i="5"/>
  <c r="G29" i="5" s="1"/>
  <c r="G36" i="5" s="1"/>
  <c r="R17" i="5"/>
  <c r="M17" i="5"/>
  <c r="L17" i="5"/>
  <c r="K17" i="5"/>
  <c r="J17" i="5"/>
  <c r="R13" i="5"/>
  <c r="Q13" i="5"/>
  <c r="Q17" i="5" s="1"/>
  <c r="P13" i="5"/>
  <c r="P17" i="5" s="1"/>
  <c r="O13" i="5"/>
  <c r="O17" i="5" s="1"/>
  <c r="N13" i="5"/>
  <c r="N17" i="5" s="1"/>
  <c r="M13" i="5"/>
  <c r="L13" i="5"/>
  <c r="K13" i="5"/>
  <c r="J13" i="5"/>
  <c r="I13" i="5"/>
  <c r="I17" i="5" s="1"/>
  <c r="H13" i="5"/>
  <c r="H17" i="5" s="1"/>
  <c r="G13" i="5"/>
  <c r="G17" i="5" s="1"/>
  <c r="O26" i="4"/>
  <c r="J26" i="4"/>
  <c r="O25" i="4"/>
  <c r="J25" i="4"/>
  <c r="L23" i="4"/>
  <c r="L20" i="4"/>
  <c r="L22" i="4" s="1"/>
  <c r="K20" i="4"/>
  <c r="K23" i="4" s="1"/>
  <c r="O19" i="4"/>
  <c r="J19" i="4"/>
  <c r="P18" i="4"/>
  <c r="P20" i="4" s="1"/>
  <c r="L18" i="4"/>
  <c r="K18" i="4"/>
  <c r="I18" i="4"/>
  <c r="I20" i="4" s="1"/>
  <c r="H18" i="4"/>
  <c r="H20" i="4" s="1"/>
  <c r="G18" i="4"/>
  <c r="G20" i="4" s="1"/>
  <c r="O17" i="4"/>
  <c r="J17" i="4"/>
  <c r="O16" i="4"/>
  <c r="J16" i="4"/>
  <c r="P14" i="4"/>
  <c r="N14" i="4"/>
  <c r="N18" i="4" s="1"/>
  <c r="N20" i="4" s="1"/>
  <c r="M14" i="4"/>
  <c r="M18" i="4" s="1"/>
  <c r="M20" i="4" s="1"/>
  <c r="L14" i="4"/>
  <c r="K14" i="4"/>
  <c r="I14" i="4"/>
  <c r="H14" i="4"/>
  <c r="G14" i="4"/>
  <c r="F14" i="4"/>
  <c r="F18" i="4" s="1"/>
  <c r="O13" i="4"/>
  <c r="J13" i="4"/>
  <c r="J12" i="4"/>
  <c r="J11" i="4"/>
  <c r="O10" i="4"/>
  <c r="J10" i="4"/>
  <c r="O9" i="4"/>
  <c r="J9" i="4"/>
  <c r="M16" i="1"/>
  <c r="J18" i="4" l="1"/>
  <c r="F20" i="4"/>
  <c r="P23" i="4"/>
  <c r="P22" i="4"/>
  <c r="L51" i="6"/>
  <c r="G23" i="4"/>
  <c r="G22" i="4"/>
  <c r="M22" i="4"/>
  <c r="M23" i="4"/>
  <c r="H23" i="4"/>
  <c r="H22" i="4"/>
  <c r="N23" i="4"/>
  <c r="O23" i="4" s="1"/>
  <c r="N22" i="4"/>
  <c r="I22" i="4"/>
  <c r="I23" i="4"/>
  <c r="J14" i="4"/>
  <c r="K22" i="4"/>
  <c r="Q32" i="6"/>
  <c r="L50" i="6"/>
  <c r="O22" i="4" l="1"/>
  <c r="F23" i="4"/>
  <c r="J23" i="4" s="1"/>
  <c r="J20" i="4"/>
  <c r="F22" i="4"/>
  <c r="J22" i="4" s="1"/>
</calcChain>
</file>

<file path=xl/sharedStrings.xml><?xml version="1.0" encoding="utf-8"?>
<sst xmlns="http://schemas.openxmlformats.org/spreadsheetml/2006/main" count="279" uniqueCount="175">
  <si>
    <t xml:space="preserve">Output 1 </t>
  </si>
  <si>
    <t>BigTechCompany</t>
  </si>
  <si>
    <t>Quarterly Financial Overview</t>
  </si>
  <si>
    <t>Instructions:</t>
  </si>
  <si>
    <t xml:space="preserve">Using the income statement, balance sheet and cash flow statements, populate the quarterly financial information for Stargaze in the table below. </t>
  </si>
  <si>
    <t>The following will be found in the three financial statements: revenues, operating income, net income, net income per share, free cash flow.</t>
  </si>
  <si>
    <t>Next, calculate the quarter-over-quarter growth for revenue, operating income (EBITDA) and net income per share.</t>
  </si>
  <si>
    <t>Then, calculate the financial metrics -- EBITDA margin, net income margin, FCF per diluted share.</t>
  </si>
  <si>
    <t>Ensure that your number formatting is consistent with the formatting in column D.</t>
  </si>
  <si>
    <t>Once finished, copy this table on page 2 of your PowerPoint template.</t>
  </si>
  <si>
    <t>Q1</t>
  </si>
  <si>
    <t>Q2</t>
  </si>
  <si>
    <t>Q3</t>
  </si>
  <si>
    <t>Q4</t>
  </si>
  <si>
    <t>($ in thousands)</t>
  </si>
  <si>
    <t>Revenues</t>
  </si>
  <si>
    <t>Quarterly Growth</t>
  </si>
  <si>
    <t>Operating Income (EBITDA)</t>
  </si>
  <si>
    <t>Net Income</t>
  </si>
  <si>
    <t>Net Income per Share</t>
  </si>
  <si>
    <t>Free Cash Flow (FCF)</t>
  </si>
  <si>
    <t>Financial Metrics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</si>
  <si>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</si>
  <si>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</si>
  <si>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</si>
  <si>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</si>
  <si>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</si>
  <si>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</si>
  <si>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</si>
  <si>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</si>
  <si>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</si>
  <si>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EBITDA Margin</t>
  </si>
  <si>
    <t>Hint: EBITDA margin is calculated as EBITDA divided by revenue</t>
  </si>
  <si>
    <t>Net Income Margin</t>
  </si>
  <si>
    <t>FCF per Diluted Share</t>
  </si>
  <si>
    <t xml:space="preserve">Hint: divide FCF by diluted shares </t>
  </si>
  <si>
    <t>Output 2</t>
  </si>
  <si>
    <t>Customer Trends</t>
  </si>
  <si>
    <t>Using the Customer Data tab, populate the quarterly information on Stargaze customers.</t>
  </si>
  <si>
    <t>Ensure that your formatting is consistent across the table. Your formatting should match that of column D.</t>
  </si>
  <si>
    <t>Once finished, copy your table into page 3 of the PowerPoint presentation.</t>
  </si>
  <si>
    <t>#s in thousands</t>
  </si>
  <si>
    <t xml:space="preserve">Cost of Subscription (Quarterly) </t>
  </si>
  <si>
    <t>Number of Users (Beginning of Period)</t>
  </si>
  <si>
    <t>Customer Attrition</t>
  </si>
  <si>
    <t>Hint: Customer attrition is the number of customers who canceled their service.</t>
  </si>
  <si>
    <t>New Users</t>
  </si>
  <si>
    <t>Number of Users (End of Period)</t>
  </si>
  <si>
    <t>Change in # of Users</t>
  </si>
  <si>
    <t>Net Change in Customers</t>
  </si>
  <si>
    <t>Hint: This is calculated by taking the number of new users minus the number of customers who canceled their services.</t>
  </si>
  <si>
    <t>Churn Rate</t>
  </si>
  <si>
    <t>Hint: Churn rate is calculated by taking the number of customers lost in a period divided by the number of total customers in the previous period.</t>
  </si>
  <si>
    <t>Output 3</t>
  </si>
  <si>
    <t>Annual Projections</t>
  </si>
  <si>
    <t>Populate the FINANCIAL HIGHLIGHTS section from the income statement, balance sheet and statement of cash flows.</t>
  </si>
  <si>
    <t xml:space="preserve">For the 2023E figures, you will need to use annualized figures. To do this, multiply Q1 2023 figures by 4. </t>
  </si>
  <si>
    <t>For the 2024E figures, the company is assuming the following:</t>
  </si>
  <si>
    <t>Revenues increase by 15%</t>
  </si>
  <si>
    <t>Operating income increases by 10%</t>
  </si>
  <si>
    <t>Net income Increases by 8%</t>
  </si>
  <si>
    <t>FCF decreases by 2%</t>
  </si>
  <si>
    <t>Share count remains the same</t>
  </si>
  <si>
    <t>Debt remains the same</t>
  </si>
  <si>
    <t>Next, calculate the financial metrics table.</t>
  </si>
  <si>
    <t xml:space="preserve">Once you have finished populating the table, check to make sure your formatting matches column D. Then copy the table into the PowerPoint presentation. </t>
  </si>
  <si>
    <t xml:space="preserve">FY </t>
  </si>
  <si>
    <t>FY</t>
  </si>
  <si>
    <t>2020-2024E</t>
  </si>
  <si>
    <t>Financial Highlights</t>
  </si>
  <si>
    <t>2023E</t>
  </si>
  <si>
    <t>2024E</t>
  </si>
  <si>
    <t>CAGR</t>
  </si>
  <si>
    <t>Click here to learn how to Calculate CAGR</t>
  </si>
  <si>
    <t>Annual Growth</t>
  </si>
  <si>
    <t>Debt / EBITDA</t>
  </si>
  <si>
    <t>2.7x</t>
  </si>
  <si>
    <t>Note: For debt, use long-term debt on the balance sheet.</t>
  </si>
  <si>
    <t>Consolidated Statements of Operations</t>
  </si>
  <si>
    <t>(unaudited)</t>
  </si>
  <si>
    <t>(in thousands, except per share data)</t>
  </si>
  <si>
    <t>Three Months Ended</t>
  </si>
  <si>
    <t>Twelve Months Ended</t>
  </si>
  <si>
    <t>March 31,</t>
  </si>
  <si>
    <t>June 30,</t>
  </si>
  <si>
    <t>September 30,</t>
  </si>
  <si>
    <t>December 31,</t>
  </si>
  <si>
    <t>Cost of revenues</t>
  </si>
  <si>
    <t>Marketing</t>
  </si>
  <si>
    <t>Technology and development</t>
  </si>
  <si>
    <t>General and administrative</t>
  </si>
  <si>
    <t>Operating income</t>
  </si>
  <si>
    <t>Other income (expense):</t>
  </si>
  <si>
    <t xml:space="preserve">Interest expense </t>
  </si>
  <si>
    <t>Interest and other income (expense)</t>
  </si>
  <si>
    <t>Income before income taxes</t>
  </si>
  <si>
    <t>Benefit from (provision for) income taxes</t>
  </si>
  <si>
    <t>Net income</t>
  </si>
  <si>
    <t>Earnings per share:</t>
  </si>
  <si>
    <t>Basic</t>
  </si>
  <si>
    <t>Diluted</t>
  </si>
  <si>
    <t>Weighted-average shares of common stock outstanding:</t>
  </si>
  <si>
    <t>Consolidated Balance Sheets</t>
  </si>
  <si>
    <t>(in thousands)</t>
  </si>
  <si>
    <t>Assets</t>
  </si>
  <si>
    <t>Current assets:</t>
  </si>
  <si>
    <t>Cash and cash equivalents</t>
  </si>
  <si>
    <t>Short-term investments</t>
  </si>
  <si>
    <t>Other current assets</t>
  </si>
  <si>
    <t>Total current assets</t>
  </si>
  <si>
    <t>Content assets, net</t>
  </si>
  <si>
    <t>Property and equipment, net</t>
  </si>
  <si>
    <t>Other non-current assets</t>
  </si>
  <si>
    <t>Total assets</t>
  </si>
  <si>
    <t>Liabilities and Stockholders' Equity</t>
  </si>
  <si>
    <t>Current liabilities:</t>
  </si>
  <si>
    <t>Current content liabilities</t>
  </si>
  <si>
    <t>Accounts payable</t>
  </si>
  <si>
    <t>Accrued expenses and other liabilities</t>
  </si>
  <si>
    <t>Deferred revenue</t>
  </si>
  <si>
    <t>Short-term debt</t>
  </si>
  <si>
    <t>Total current liabilities</t>
  </si>
  <si>
    <t>Non-current content liabilities</t>
  </si>
  <si>
    <t>Long-term debt</t>
  </si>
  <si>
    <t>Other non-current liabilities</t>
  </si>
  <si>
    <t>Total liabilities</t>
  </si>
  <si>
    <t>Stockholders' equity:</t>
  </si>
  <si>
    <t>Common stock</t>
  </si>
  <si>
    <t>Treasury stock at cost</t>
  </si>
  <si>
    <t>Accumulated other comprehensive income (loss)</t>
  </si>
  <si>
    <t>Retained earnings</t>
  </si>
  <si>
    <t>Total stockholders' equity</t>
  </si>
  <si>
    <t>Total liabilities and stockholders' equity</t>
  </si>
  <si>
    <t>Consolidated Statements of Cash Flows</t>
  </si>
  <si>
    <t>Cash flows from operating activities:</t>
  </si>
  <si>
    <t>Adjustments to reconcile net income to net cash</t>
  </si>
  <si>
    <t>provided by (used in) operating activities:</t>
  </si>
  <si>
    <t>Additions to content assets</t>
  </si>
  <si>
    <t>Change in content liabilities</t>
  </si>
  <si>
    <t>Amortization of content assets</t>
  </si>
  <si>
    <t>Depreciation and amortization of property, equipment and intangibles</t>
  </si>
  <si>
    <t>Stock-based compensation expense</t>
  </si>
  <si>
    <t>Foreign currency remeasurement loss (gain) on debt</t>
  </si>
  <si>
    <t>Other non-cash items</t>
  </si>
  <si>
    <t>Deferred income taxes</t>
  </si>
  <si>
    <t>Changes in operating assets and liabilities:</t>
  </si>
  <si>
    <t>Other non-current assets and liabilities</t>
  </si>
  <si>
    <t>Net cash provided by (used in) operating activities</t>
  </si>
  <si>
    <t>Cash flows from investing activities:</t>
  </si>
  <si>
    <t>Purchases of property and equipment</t>
  </si>
  <si>
    <t>Change in other assets</t>
  </si>
  <si>
    <t>Acquisitions</t>
  </si>
  <si>
    <t>Purchases of short-term investments</t>
  </si>
  <si>
    <t>Net cash used in investing activities</t>
  </si>
  <si>
    <t>Cash flows from financing activities:</t>
  </si>
  <si>
    <t>Proceeds from issuance of debt</t>
  </si>
  <si>
    <t>Debt issuance costs</t>
  </si>
  <si>
    <t>Repayments of debt</t>
  </si>
  <si>
    <t>Proceeds from issuance of common stock</t>
  </si>
  <si>
    <t>Repurchases of common stock</t>
  </si>
  <si>
    <t>Taxes paid related to net share settlement of equity awards</t>
  </si>
  <si>
    <t>Net cash provided by (used in) financing activities</t>
  </si>
  <si>
    <t>Effect of exchange rate changes on cash, cash equivalents, and restricted cash</t>
  </si>
  <si>
    <t>Net increase (decrease) in cash, cash equivalents, and restricted cash</t>
  </si>
  <si>
    <t>Cash, cash equivalents, and restricted cash beginning of period</t>
  </si>
  <si>
    <t xml:space="preserve"> Cash, cash equivalents, and restricted cash end of period</t>
  </si>
  <si>
    <t>Non-GAAP free cash flow reconciliation:</t>
  </si>
  <si>
    <t>Non-GAAP free cash flow</t>
  </si>
  <si>
    <t>Revenue</t>
  </si>
  <si>
    <t>Quarterly Subscription Cost</t>
  </si>
  <si>
    <t>Users (Beginning of Period)</t>
  </si>
  <si>
    <t>Users who cancelled</t>
  </si>
  <si>
    <t xml:space="preserve">Users (End of Period) </t>
  </si>
  <si>
    <t xml:space="preserve">Note: In Q4 2021, the company announced its plans to increase prices, which led to a drop in customers. 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</si>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</sst>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&quot;$&quot;#,##0"/>
    <numFmt numFmtId="167" formatCode="&quot;$&quot;#,##0.00"/>
    <numFmt numFmtId="168" formatCode="_(* #,##0_);_(* \(#,##0\);_(* &quot;-&quot;??_);_(@_)"/>
    <numFmt numFmtId="169" formatCode="0.0%"/>
    <numFmt numFmtId="170" formatCode="0.0\x"/>
    <numFmt numFmtId="171" formatCode="#,##0.0\ ;\(#,##0.0\)"/>
    <numFmt numFmtId="172" formatCode="&quot;$&quot;#,##0\ ;\(&quot;$&quot;#,##0.0\)"/>
    <numFmt numFmtId="173" formatCode="&quot;$&quot;* #,###\ ;&quot;$&quot;* \(#,###\);&quot;$&quot;* \-\ "/>
    <numFmt numFmtId="174" formatCode="_(&quot;$&quot;* #,##0_);_(&quot;$&quot;* \(#,##0\);_(&quot;$&quot;* &quot;-&quot;??_);_(@_)"/>
    <numFmt numFmtId="175" formatCode="#,##0\ ;\(#,##0.0\)"/>
    <numFmt numFmtId="176" formatCode="&quot;$&quot;* #,###.00\ ;&quot;$&quot;* \(#,###.00\);&quot;$&quot;* \-\ "/>
    <numFmt numFmtId="178" formatCode="0.0%;[Red]\(0.0%\)"/>
  </numFmts>
  <fonts count="40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i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</font>
    <font>
      <u/>
      <sz val="12"/>
      <color theme="1"/>
      <name val="Calibri"/>
      <family val="2"/>
    </font>
    <font>
      <i/>
      <sz val="11"/>
      <color theme="1"/>
      <name val="Calibri"/>
      <family val="2"/>
    </font>
    <font>
      <u/>
      <sz val="12"/>
      <color theme="1"/>
      <name val="Calibri"/>
      <family val="2"/>
    </font>
    <font>
      <u/>
      <sz val="12"/>
      <color theme="1"/>
      <name val="Calibri"/>
      <family val="2"/>
    </font>
    <font>
      <i/>
      <u/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rgb="FF0432FF"/>
      <name val="Calibri"/>
      <family val="2"/>
    </font>
    <font>
      <b/>
      <sz val="10"/>
      <color rgb="FF0432FF"/>
      <name val="Calibri"/>
      <family val="2"/>
    </font>
    <font>
      <b/>
      <u/>
      <sz val="10"/>
      <color theme="1"/>
      <name val="Calibri"/>
      <family val="2"/>
    </font>
    <font>
      <sz val="10"/>
      <color rgb="FF0070C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theme="1"/>
      <name val="Calibri"/>
      <family val="2"/>
    </font>
    <font>
      <sz val="10"/>
      <color rgb="FF0000FF"/>
      <name val="Calibri"/>
      <family val="2"/>
    </font>
    <font>
      <b/>
      <u/>
      <sz val="10"/>
      <color theme="1"/>
      <name val="Calibri"/>
      <family val="2"/>
    </font>
    <font>
      <b/>
      <i/>
      <sz val="10"/>
      <color rgb="FF000000"/>
      <name val="Calibri"/>
      <family val="2"/>
    </font>
    <font>
      <b/>
      <i/>
      <sz val="10"/>
      <color theme="1"/>
      <name val="Calibri"/>
      <family val="2"/>
    </font>
    <font>
      <sz val="10"/>
      <color rgb="FF008000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/>
    <xf numFmtId="0" fontId="2" fillId="3" borderId="7" xfId="0" applyFont="1" applyFill="1" applyBorder="1"/>
    <xf numFmtId="166" fontId="1" fillId="3" borderId="1" xfId="0" applyNumberFormat="1" applyFont="1" applyFill="1" applyBorder="1"/>
    <xf numFmtId="166" fontId="1" fillId="3" borderId="8" xfId="0" applyNumberFormat="1" applyFont="1" applyFill="1" applyBorder="1"/>
    <xf numFmtId="166" fontId="1" fillId="0" borderId="0" xfId="0" applyNumberFormat="1" applyFont="1"/>
    <xf numFmtId="0" fontId="6" fillId="0" borderId="0" xfId="0" applyFont="1"/>
    <xf numFmtId="0" fontId="6" fillId="0" borderId="5" xfId="0" applyFont="1" applyBorder="1" applyAlignment="1">
      <alignment horizontal="left"/>
    </xf>
    <xf numFmtId="9" fontId="6" fillId="0" borderId="0" xfId="0" applyNumberFormat="1" applyFont="1"/>
    <xf numFmtId="9" fontId="6" fillId="0" borderId="6" xfId="0" applyNumberFormat="1" applyFont="1" applyBorder="1"/>
    <xf numFmtId="167" fontId="1" fillId="3" borderId="1" xfId="0" applyNumberFormat="1" applyFont="1" applyFill="1" applyBorder="1"/>
    <xf numFmtId="167" fontId="1" fillId="3" borderId="8" xfId="0" applyNumberFormat="1" applyFont="1" applyFill="1" applyBorder="1"/>
    <xf numFmtId="0" fontId="1" fillId="0" borderId="6" xfId="0" applyFont="1" applyBorder="1"/>
    <xf numFmtId="0" fontId="2" fillId="0" borderId="9" xfId="0" applyFont="1" applyBorder="1" applyAlignment="1">
      <alignment horizontal="left"/>
    </xf>
    <xf numFmtId="166" fontId="1" fillId="0" borderId="10" xfId="0" applyNumberFormat="1" applyFont="1" applyBorder="1"/>
    <xf numFmtId="166" fontId="1" fillId="0" borderId="11" xfId="0" applyNumberFormat="1" applyFont="1" applyBorder="1"/>
    <xf numFmtId="0" fontId="1" fillId="0" borderId="0" xfId="0" applyFont="1" applyAlignment="1">
      <alignment horizontal="left"/>
    </xf>
    <xf numFmtId="0" fontId="7" fillId="0" borderId="2" xfId="0" applyFont="1" applyBorder="1"/>
    <xf numFmtId="0" fontId="8" fillId="0" borderId="3" xfId="0" quotePrefix="1" applyFont="1" applyBorder="1" applyAlignment="1">
      <alignment horizontal="center"/>
    </xf>
    <xf numFmtId="0" fontId="9" fillId="0" borderId="4" xfId="0" quotePrefix="1" applyFont="1" applyBorder="1" applyAlignment="1">
      <alignment horizontal="center"/>
    </xf>
    <xf numFmtId="0" fontId="1" fillId="0" borderId="5" xfId="0" applyFont="1" applyBorder="1"/>
    <xf numFmtId="9" fontId="1" fillId="0" borderId="0" xfId="0" applyNumberFormat="1" applyFont="1"/>
    <xf numFmtId="0" fontId="1" fillId="0" borderId="12" xfId="0" applyFont="1" applyBorder="1"/>
    <xf numFmtId="167" fontId="1" fillId="0" borderId="13" xfId="0" applyNumberFormat="1" applyFont="1" applyBorder="1"/>
    <xf numFmtId="167" fontId="1" fillId="0" borderId="14" xfId="0" applyNumberFormat="1" applyFont="1" applyBorder="1"/>
    <xf numFmtId="0" fontId="10" fillId="2" borderId="1" xfId="0" applyFont="1" applyFill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1" fillId="0" borderId="5" xfId="0" quotePrefix="1" applyFont="1" applyBorder="1" applyAlignment="1">
      <alignment horizontal="left"/>
    </xf>
    <xf numFmtId="0" fontId="10" fillId="0" borderId="5" xfId="0" applyFont="1" applyBorder="1"/>
    <xf numFmtId="0" fontId="10" fillId="0" borderId="0" xfId="0" applyFont="1"/>
    <xf numFmtId="0" fontId="10" fillId="0" borderId="6" xfId="0" applyFont="1" applyBorder="1"/>
    <xf numFmtId="166" fontId="10" fillId="0" borderId="0" xfId="0" applyNumberFormat="1" applyFont="1"/>
    <xf numFmtId="166" fontId="10" fillId="0" borderId="6" xfId="0" applyNumberFormat="1" applyFont="1" applyBorder="1"/>
    <xf numFmtId="168" fontId="10" fillId="0" borderId="0" xfId="0" applyNumberFormat="1" applyFont="1"/>
    <xf numFmtId="0" fontId="13" fillId="0" borderId="0" xfId="0" applyFont="1"/>
    <xf numFmtId="0" fontId="13" fillId="0" borderId="5" xfId="0" applyFont="1" applyBorder="1" applyAlignment="1">
      <alignment horizontal="left"/>
    </xf>
    <xf numFmtId="168" fontId="13" fillId="0" borderId="0" xfId="0" applyNumberFormat="1" applyFont="1"/>
    <xf numFmtId="9" fontId="13" fillId="0" borderId="0" xfId="0" applyNumberFormat="1" applyFont="1"/>
    <xf numFmtId="9" fontId="13" fillId="0" borderId="6" xfId="0" applyNumberFormat="1" applyFont="1" applyBorder="1"/>
    <xf numFmtId="0" fontId="10" fillId="4" borderId="15" xfId="0" applyFont="1" applyFill="1" applyBorder="1"/>
    <xf numFmtId="169" fontId="10" fillId="4" borderId="16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4" fillId="0" borderId="0" xfId="0" applyFont="1"/>
    <xf numFmtId="0" fontId="16" fillId="4" borderId="1" xfId="0" quotePrefix="1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2" borderId="1" xfId="0" applyFont="1" applyFill="1" applyBorder="1"/>
    <xf numFmtId="166" fontId="1" fillId="0" borderId="5" xfId="0" applyNumberFormat="1" applyFont="1" applyBorder="1"/>
    <xf numFmtId="9" fontId="13" fillId="4" borderId="1" xfId="0" applyNumberFormat="1" applyFont="1" applyFill="1" applyBorder="1"/>
    <xf numFmtId="0" fontId="6" fillId="0" borderId="0" xfId="0" applyFont="1" applyAlignment="1">
      <alignment horizontal="left"/>
    </xf>
    <xf numFmtId="167" fontId="1" fillId="0" borderId="0" xfId="0" applyNumberFormat="1" applyFont="1"/>
    <xf numFmtId="167" fontId="1" fillId="0" borderId="5" xfId="0" applyNumberFormat="1" applyFont="1" applyBorder="1"/>
    <xf numFmtId="0" fontId="2" fillId="0" borderId="0" xfId="0" applyFont="1" applyAlignment="1">
      <alignment horizontal="left"/>
    </xf>
    <xf numFmtId="0" fontId="10" fillId="0" borderId="3" xfId="0" applyFont="1" applyBorder="1"/>
    <xf numFmtId="0" fontId="1" fillId="0" borderId="3" xfId="0" applyFont="1" applyBorder="1"/>
    <xf numFmtId="0" fontId="10" fillId="0" borderId="2" xfId="0" applyFont="1" applyBorder="1"/>
    <xf numFmtId="0" fontId="10" fillId="0" borderId="4" xfId="0" applyFont="1" applyBorder="1"/>
    <xf numFmtId="9" fontId="10" fillId="0" borderId="0" xfId="0" applyNumberFormat="1" applyFont="1"/>
    <xf numFmtId="170" fontId="1" fillId="0" borderId="0" xfId="0" applyNumberFormat="1" applyFont="1" applyAlignment="1">
      <alignment horizontal="right"/>
    </xf>
    <xf numFmtId="170" fontId="1" fillId="0" borderId="0" xfId="0" applyNumberFormat="1" applyFont="1"/>
    <xf numFmtId="167" fontId="10" fillId="0" borderId="13" xfId="0" applyNumberFormat="1" applyFont="1" applyBorder="1"/>
    <xf numFmtId="167" fontId="10" fillId="0" borderId="12" xfId="0" applyNumberFormat="1" applyFont="1" applyBorder="1"/>
    <xf numFmtId="167" fontId="10" fillId="0" borderId="14" xfId="0" applyNumberFormat="1" applyFont="1" applyBorder="1"/>
    <xf numFmtId="0" fontId="19" fillId="0" borderId="0" xfId="0" applyFont="1"/>
    <xf numFmtId="0" fontId="20" fillId="0" borderId="0" xfId="0" applyFont="1"/>
    <xf numFmtId="171" fontId="21" fillId="0" borderId="0" xfId="0" applyNumberFormat="1" applyFont="1" applyAlignment="1">
      <alignment horizontal="center"/>
    </xf>
    <xf numFmtId="171" fontId="22" fillId="0" borderId="0" xfId="0" applyNumberFormat="1" applyFont="1" applyAlignment="1">
      <alignment horizontal="center" wrapText="1"/>
    </xf>
    <xf numFmtId="171" fontId="23" fillId="5" borderId="1" xfId="0" applyNumberFormat="1" applyFont="1" applyFill="1" applyBorder="1" applyAlignment="1">
      <alignment horizontal="center"/>
    </xf>
    <xf numFmtId="171" fontId="24" fillId="0" borderId="0" xfId="0" applyNumberFormat="1" applyFont="1" applyAlignment="1">
      <alignment horizontal="center"/>
    </xf>
    <xf numFmtId="171" fontId="24" fillId="5" borderId="1" xfId="0" applyNumberFormat="1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5" borderId="1" xfId="0" applyFont="1" applyFill="1" applyBorder="1" applyAlignment="1">
      <alignment horizontal="center"/>
    </xf>
    <xf numFmtId="172" fontId="20" fillId="0" borderId="0" xfId="0" applyNumberFormat="1" applyFont="1"/>
    <xf numFmtId="0" fontId="24" fillId="5" borderId="1" xfId="0" applyFont="1" applyFill="1" applyBorder="1"/>
    <xf numFmtId="173" fontId="20" fillId="0" borderId="0" xfId="0" applyNumberFormat="1" applyFont="1"/>
    <xf numFmtId="174" fontId="27" fillId="0" borderId="0" xfId="0" applyNumberFormat="1" applyFont="1" applyAlignment="1">
      <alignment horizontal="right"/>
    </xf>
    <xf numFmtId="174" fontId="24" fillId="5" borderId="1" xfId="0" applyNumberFormat="1" applyFont="1" applyFill="1" applyBorder="1" applyAlignment="1">
      <alignment horizontal="right"/>
    </xf>
    <xf numFmtId="3" fontId="27" fillId="0" borderId="0" xfId="0" applyNumberFormat="1" applyFont="1" applyAlignment="1">
      <alignment horizontal="right" wrapText="1"/>
    </xf>
    <xf numFmtId="168" fontId="24" fillId="5" borderId="1" xfId="0" applyNumberFormat="1" applyFont="1" applyFill="1" applyBorder="1"/>
    <xf numFmtId="168" fontId="20" fillId="0" borderId="0" xfId="0" applyNumberFormat="1" applyFont="1"/>
    <xf numFmtId="3" fontId="27" fillId="0" borderId="13" xfId="0" applyNumberFormat="1" applyFont="1" applyBorder="1" applyAlignment="1">
      <alignment horizontal="right" wrapText="1"/>
    </xf>
    <xf numFmtId="168" fontId="20" fillId="0" borderId="3" xfId="0" applyNumberFormat="1" applyFont="1" applyBorder="1"/>
    <xf numFmtId="168" fontId="24" fillId="5" borderId="17" xfId="0" applyNumberFormat="1" applyFont="1" applyFill="1" applyBorder="1"/>
    <xf numFmtId="168" fontId="27" fillId="0" borderId="0" xfId="0" applyNumberFormat="1" applyFont="1"/>
    <xf numFmtId="168" fontId="27" fillId="0" borderId="13" xfId="0" applyNumberFormat="1" applyFont="1" applyBorder="1"/>
    <xf numFmtId="174" fontId="20" fillId="0" borderId="18" xfId="0" applyNumberFormat="1" applyFont="1" applyBorder="1"/>
    <xf numFmtId="174" fontId="24" fillId="5" borderId="19" xfId="0" applyNumberFormat="1" applyFont="1" applyFill="1" applyBorder="1"/>
    <xf numFmtId="175" fontId="20" fillId="0" borderId="0" xfId="0" applyNumberFormat="1" applyFont="1"/>
    <xf numFmtId="175" fontId="24" fillId="5" borderId="1" xfId="0" applyNumberFormat="1" applyFont="1" applyFill="1" applyBorder="1"/>
    <xf numFmtId="165" fontId="20" fillId="0" borderId="0" xfId="0" applyNumberFormat="1" applyFont="1"/>
    <xf numFmtId="176" fontId="20" fillId="0" borderId="0" xfId="0" applyNumberFormat="1" applyFont="1"/>
    <xf numFmtId="165" fontId="24" fillId="5" borderId="1" xfId="0" applyNumberFormat="1" applyFont="1" applyFill="1" applyBorder="1"/>
    <xf numFmtId="3" fontId="20" fillId="0" borderId="0" xfId="0" applyNumberFormat="1" applyFont="1"/>
    <xf numFmtId="3" fontId="27" fillId="0" borderId="0" xfId="0" applyNumberFormat="1" applyFont="1"/>
    <xf numFmtId="168" fontId="28" fillId="5" borderId="1" xfId="0" applyNumberFormat="1" applyFont="1" applyFill="1" applyBorder="1"/>
    <xf numFmtId="0" fontId="24" fillId="0" borderId="0" xfId="0" applyFont="1"/>
    <xf numFmtId="166" fontId="20" fillId="0" borderId="0" xfId="0" applyNumberFormat="1" applyFont="1"/>
    <xf numFmtId="0" fontId="24" fillId="6" borderId="1" xfId="0" applyFont="1" applyFill="1" applyBorder="1" applyAlignment="1">
      <alignment horizontal="center"/>
    </xf>
    <xf numFmtId="0" fontId="24" fillId="5" borderId="1" xfId="0" applyFont="1" applyFill="1" applyBorder="1" applyAlignment="1">
      <alignment horizontal="center"/>
    </xf>
    <xf numFmtId="0" fontId="29" fillId="6" borderId="1" xfId="0" applyFont="1" applyFill="1" applyBorder="1" applyAlignment="1">
      <alignment horizontal="center"/>
    </xf>
    <xf numFmtId="0" fontId="24" fillId="6" borderId="1" xfId="0" applyFont="1" applyFill="1" applyBorder="1"/>
    <xf numFmtId="174" fontId="30" fillId="0" borderId="0" xfId="0" applyNumberFormat="1" applyFont="1"/>
    <xf numFmtId="174" fontId="30" fillId="6" borderId="1" xfId="0" applyNumberFormat="1" applyFont="1" applyFill="1" applyBorder="1"/>
    <xf numFmtId="174" fontId="20" fillId="0" borderId="0" xfId="0" applyNumberFormat="1" applyFont="1"/>
    <xf numFmtId="174" fontId="31" fillId="5" borderId="1" xfId="0" applyNumberFormat="1" applyFont="1" applyFill="1" applyBorder="1"/>
    <xf numFmtId="168" fontId="30" fillId="0" borderId="0" xfId="0" applyNumberFormat="1" applyFont="1"/>
    <xf numFmtId="168" fontId="30" fillId="6" borderId="1" xfId="0" applyNumberFormat="1" applyFont="1" applyFill="1" applyBorder="1"/>
    <xf numFmtId="168" fontId="31" fillId="5" borderId="1" xfId="0" applyNumberFormat="1" applyFont="1" applyFill="1" applyBorder="1"/>
    <xf numFmtId="168" fontId="30" fillId="0" borderId="13" xfId="0" applyNumberFormat="1" applyFont="1" applyBorder="1"/>
    <xf numFmtId="168" fontId="30" fillId="6" borderId="16" xfId="0" applyNumberFormat="1" applyFont="1" applyFill="1" applyBorder="1"/>
    <xf numFmtId="168" fontId="31" fillId="0" borderId="0" xfId="0" applyNumberFormat="1" applyFont="1"/>
    <xf numFmtId="168" fontId="31" fillId="6" borderId="1" xfId="0" applyNumberFormat="1" applyFont="1" applyFill="1" applyBorder="1"/>
    <xf numFmtId="168" fontId="32" fillId="0" borderId="3" xfId="0" applyNumberFormat="1" applyFont="1" applyBorder="1"/>
    <xf numFmtId="168" fontId="31" fillId="5" borderId="17" xfId="0" applyNumberFormat="1" applyFont="1" applyFill="1" applyBorder="1"/>
    <xf numFmtId="0" fontId="20" fillId="7" borderId="1" xfId="0" applyFont="1" applyFill="1" applyBorder="1"/>
    <xf numFmtId="168" fontId="20" fillId="0" borderId="13" xfId="0" applyNumberFormat="1" applyFont="1" applyBorder="1"/>
    <xf numFmtId="174" fontId="31" fillId="0" borderId="18" xfId="0" applyNumberFormat="1" applyFont="1" applyBorder="1"/>
    <xf numFmtId="174" fontId="31" fillId="6" borderId="19" xfId="0" applyNumberFormat="1" applyFont="1" applyFill="1" applyBorder="1"/>
    <xf numFmtId="174" fontId="31" fillId="5" borderId="19" xfId="0" applyNumberFormat="1" applyFont="1" applyFill="1" applyBorder="1"/>
    <xf numFmtId="173" fontId="32" fillId="0" borderId="0" xfId="0" applyNumberFormat="1" applyFont="1"/>
    <xf numFmtId="173" fontId="32" fillId="6" borderId="1" xfId="0" applyNumberFormat="1" applyFont="1" applyFill="1" applyBorder="1"/>
    <xf numFmtId="173" fontId="32" fillId="5" borderId="1" xfId="0" applyNumberFormat="1" applyFont="1" applyFill="1" applyBorder="1"/>
    <xf numFmtId="168" fontId="32" fillId="0" borderId="0" xfId="0" applyNumberFormat="1" applyFont="1"/>
    <xf numFmtId="174" fontId="32" fillId="0" borderId="0" xfId="0" applyNumberFormat="1" applyFont="1"/>
    <xf numFmtId="168" fontId="31" fillId="5" borderId="16" xfId="0" applyNumberFormat="1" applyFont="1" applyFill="1" applyBorder="1"/>
    <xf numFmtId="174" fontId="31" fillId="0" borderId="0" xfId="0" applyNumberFormat="1" applyFont="1"/>
    <xf numFmtId="174" fontId="31" fillId="6" borderId="1" xfId="0" applyNumberFormat="1" applyFont="1" applyFill="1" applyBorder="1"/>
    <xf numFmtId="168" fontId="32" fillId="0" borderId="13" xfId="0" applyNumberFormat="1" applyFont="1" applyBorder="1"/>
    <xf numFmtId="168" fontId="32" fillId="6" borderId="1" xfId="0" applyNumberFormat="1" applyFont="1" applyFill="1" applyBorder="1"/>
    <xf numFmtId="0" fontId="20" fillId="0" borderId="0" xfId="0" applyFont="1" applyAlignment="1">
      <alignment horizontal="left" wrapText="1"/>
    </xf>
    <xf numFmtId="168" fontId="20" fillId="6" borderId="16" xfId="0" applyNumberFormat="1" applyFont="1" applyFill="1" applyBorder="1"/>
    <xf numFmtId="168" fontId="24" fillId="0" borderId="0" xfId="0" applyNumberFormat="1" applyFont="1"/>
    <xf numFmtId="171" fontId="33" fillId="5" borderId="1" xfId="0" applyNumberFormat="1" applyFont="1" applyFill="1" applyBorder="1" applyAlignment="1">
      <alignment horizontal="center" wrapText="1"/>
    </xf>
    <xf numFmtId="168" fontId="34" fillId="0" borderId="0" xfId="0" applyNumberFormat="1" applyFont="1"/>
    <xf numFmtId="1" fontId="35" fillId="5" borderId="1" xfId="0" applyNumberFormat="1" applyFont="1" applyFill="1" applyBorder="1" applyAlignment="1">
      <alignment horizontal="center"/>
    </xf>
    <xf numFmtId="173" fontId="27" fillId="0" borderId="0" xfId="0" applyNumberFormat="1" applyFont="1"/>
    <xf numFmtId="174" fontId="24" fillId="5" borderId="1" xfId="0" applyNumberFormat="1" applyFont="1" applyFill="1" applyBorder="1"/>
    <xf numFmtId="168" fontId="20" fillId="0" borderId="10" xfId="0" applyNumberFormat="1" applyFont="1" applyBorder="1"/>
    <xf numFmtId="168" fontId="24" fillId="5" borderId="20" xfId="0" applyNumberFormat="1" applyFont="1" applyFill="1" applyBorder="1"/>
    <xf numFmtId="173" fontId="20" fillId="0" borderId="18" xfId="0" applyNumberFormat="1" applyFont="1" applyBorder="1"/>
    <xf numFmtId="173" fontId="24" fillId="5" borderId="19" xfId="0" applyNumberFormat="1" applyFont="1" applyFill="1" applyBorder="1"/>
    <xf numFmtId="178" fontId="36" fillId="0" borderId="0" xfId="0" applyNumberFormat="1" applyFont="1"/>
    <xf numFmtId="178" fontId="24" fillId="0" borderId="0" xfId="0" applyNumberFormat="1" applyFont="1"/>
    <xf numFmtId="178" fontId="37" fillId="0" borderId="0" xfId="0" applyNumberFormat="1" applyFont="1"/>
    <xf numFmtId="168" fontId="38" fillId="0" borderId="0" xfId="0" applyNumberFormat="1" applyFont="1"/>
    <xf numFmtId="0" fontId="39" fillId="0" borderId="0" xfId="0" applyFont="1"/>
    <xf numFmtId="174" fontId="39" fillId="0" borderId="0" xfId="0" applyNumberFormat="1" applyFont="1"/>
    <xf numFmtId="164" fontId="10" fillId="0" borderId="0" xfId="0" applyNumberFormat="1" applyFont="1"/>
    <xf numFmtId="168" fontId="19" fillId="0" borderId="0" xfId="0" applyNumberFormat="1" applyFont="1"/>
    <xf numFmtId="49" fontId="5" fillId="0" borderId="0" xfId="0" quotePrefix="1" applyNumberFormat="1" applyFont="1" applyAlignment="1">
      <alignment horizontal="center"/>
    </xf>
    <xf numFmtId="49" fontId="11" fillId="0" borderId="0" xfId="0" quotePrefix="1" applyNumberFormat="1" applyFont="1" applyAlignment="1">
      <alignment horizontal="center"/>
    </xf>
    <xf numFmtId="49" fontId="12" fillId="0" borderId="0" xfId="0" quotePrefix="1" applyNumberFormat="1" applyFont="1" applyAlignment="1">
      <alignment horizontal="center"/>
    </xf>
    <xf numFmtId="49" fontId="15" fillId="0" borderId="5" xfId="0" quotePrefix="1" applyNumberFormat="1" applyFont="1" applyBorder="1" applyAlignment="1">
      <alignment horizontal="center"/>
    </xf>
    <xf numFmtId="49" fontId="3" fillId="0" borderId="0" xfId="0" quotePrefix="1" applyNumberFormat="1" applyFont="1" applyAlignment="1">
      <alignment horizontal="center"/>
    </xf>
    <xf numFmtId="171" fontId="22" fillId="0" borderId="0" xfId="0" applyNumberFormat="1" applyFont="1" applyAlignment="1">
      <alignment horizontal="center" wrapText="1"/>
    </xf>
    <xf numFmtId="0" fontId="0" fillId="0" borderId="0" xfId="0"/>
    <xf numFmtId="171" fontId="21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forage/Downloads/Stargaze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come Statemen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vestopedia.com/terms/c/cagr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B2:M31"/>
  <sheetViews>
    <sheetView showGridLines="0" tabSelected="1" zoomScale="70" zoomScaleNormal="70" workbookViewId="0">
      <selection activeCell="K32" sqref="K32"/>
    </sheetView>
  </sheetViews>
  <sheetFormatPr defaultColWidth="14.44140625" defaultRowHeight="15" customHeight="1" x14ac:dyDescent="0.3"/>
  <cols>
    <col min="1" max="1" width="9.109375" customWidth="1"/>
    <col min="2" max="2" width="31.44140625" customWidth="1"/>
    <col min="3" max="11" width="13.44140625" customWidth="1"/>
    <col min="12" max="12" width="9.109375" customWidth="1"/>
    <col min="13" max="13" width="66" customWidth="1"/>
    <col min="14" max="26" width="8.6640625" customWidth="1"/>
  </cols>
  <sheetData>
    <row r="2" spans="2:13" ht="15.75" customHeight="1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5.75" customHeight="1" x14ac:dyDescent="0.3"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5.75" customHeight="1" x14ac:dyDescent="0.3">
      <c r="B4" s="2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15.75" customHeight="1" x14ac:dyDescent="0.3"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15.75" customHeight="1" x14ac:dyDescent="0.3"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1"/>
      <c r="M6" s="1"/>
    </row>
    <row r="7" spans="2:13" ht="15.75" customHeight="1" x14ac:dyDescent="0.3">
      <c r="B7" s="4" t="s">
        <v>4</v>
      </c>
      <c r="C7" s="4"/>
      <c r="D7" s="4"/>
      <c r="E7" s="4"/>
      <c r="F7" s="4"/>
      <c r="G7" s="4"/>
      <c r="H7" s="4"/>
      <c r="I7" s="4"/>
      <c r="J7" s="4"/>
      <c r="K7" s="4"/>
      <c r="L7" s="1"/>
      <c r="M7" s="1"/>
    </row>
    <row r="8" spans="2:13" ht="15.75" customHeight="1" x14ac:dyDescent="0.3">
      <c r="B8" s="4" t="s">
        <v>5</v>
      </c>
      <c r="C8" s="4"/>
      <c r="D8" s="4"/>
      <c r="E8" s="4"/>
      <c r="F8" s="4"/>
      <c r="G8" s="4"/>
      <c r="H8" s="4"/>
      <c r="I8" s="4"/>
      <c r="J8" s="4"/>
      <c r="K8" s="4"/>
      <c r="L8" s="1"/>
      <c r="M8" s="1"/>
    </row>
    <row r="9" spans="2:13" ht="15.75" customHeight="1" x14ac:dyDescent="0.3">
      <c r="B9" s="4" t="s">
        <v>6</v>
      </c>
      <c r="C9" s="4"/>
      <c r="D9" s="4"/>
      <c r="E9" s="4"/>
      <c r="F9" s="4"/>
      <c r="G9" s="4"/>
      <c r="H9" s="4"/>
      <c r="I9" s="4"/>
      <c r="J9" s="4"/>
      <c r="K9" s="4"/>
      <c r="L9" s="1"/>
      <c r="M9" s="1"/>
    </row>
    <row r="10" spans="2:13" ht="15.75" customHeight="1" x14ac:dyDescent="0.3">
      <c r="B10" s="4" t="s">
        <v>7</v>
      </c>
      <c r="C10" s="4"/>
      <c r="D10" s="4"/>
      <c r="E10" s="4"/>
      <c r="F10" s="4"/>
      <c r="G10" s="4"/>
      <c r="H10" s="4"/>
      <c r="I10" s="4"/>
      <c r="J10" s="4"/>
      <c r="K10" s="4"/>
      <c r="L10" s="1"/>
      <c r="M10" s="1"/>
    </row>
    <row r="11" spans="2:13" ht="15.75" customHeight="1" x14ac:dyDescent="0.3">
      <c r="B11" s="4" t="s">
        <v>8</v>
      </c>
      <c r="C11" s="4"/>
      <c r="D11" s="4"/>
      <c r="E11" s="4"/>
      <c r="F11" s="4"/>
      <c r="G11" s="4"/>
      <c r="H11" s="4"/>
      <c r="I11" s="4"/>
      <c r="J11" s="4"/>
      <c r="K11" s="4"/>
      <c r="L11" s="1"/>
      <c r="M11" s="1"/>
    </row>
    <row r="12" spans="2:13" ht="15.75" customHeight="1" x14ac:dyDescent="0.3">
      <c r="B12" s="4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1"/>
      <c r="M12" s="1"/>
    </row>
    <row r="13" spans="2:13" ht="15.75" customHeight="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15.75" customHeight="1" x14ac:dyDescent="0.3">
      <c r="B14" s="5" t="s">
        <v>1</v>
      </c>
      <c r="C14" s="6" t="s">
        <v>10</v>
      </c>
      <c r="D14" s="6" t="s">
        <v>11</v>
      </c>
      <c r="E14" s="6" t="s">
        <v>12</v>
      </c>
      <c r="F14" s="6" t="s">
        <v>13</v>
      </c>
      <c r="G14" s="6" t="s">
        <v>10</v>
      </c>
      <c r="H14" s="6" t="s">
        <v>11</v>
      </c>
      <c r="I14" s="6" t="s">
        <v>12</v>
      </c>
      <c r="J14" s="6" t="s">
        <v>13</v>
      </c>
      <c r="K14" s="7" t="s">
        <v>10</v>
      </c>
      <c r="L14" s="1"/>
      <c r="M14" s="1"/>
    </row>
    <row r="15" spans="2:13" ht="15.75" customHeight="1" x14ac:dyDescent="0.3">
      <c r="B15" s="8" t="s">
        <v>14</v>
      </c>
      <c r="C15" s="160">
        <v>2021</v>
      </c>
      <c r="D15" s="160">
        <v>2021</v>
      </c>
      <c r="E15" s="160">
        <v>2021</v>
      </c>
      <c r="F15" s="160">
        <v>2021</v>
      </c>
      <c r="G15" s="160">
        <v>2022</v>
      </c>
      <c r="H15" s="160">
        <v>2022</v>
      </c>
      <c r="I15" s="160">
        <v>2022</v>
      </c>
      <c r="J15" s="160">
        <v>2022</v>
      </c>
      <c r="K15" s="164" t="s">
        <v>174</v>
      </c>
      <c r="L15" s="1"/>
      <c r="M15" s="1"/>
    </row>
    <row r="16" spans="2:13" ht="15.75" customHeight="1" x14ac:dyDescent="0.3">
      <c r="B16" s="9" t="s">
        <v>15</v>
      </c>
      <c r="C16" s="10">
        <v>501429.74000000005</v>
      </c>
      <c r="D16" s="10">
        <v>513924.39000000007</v>
      </c>
      <c r="E16" s="10">
        <f>'Income Statement'!H9</f>
        <v>523842.69000000006</v>
      </c>
      <c r="F16" s="10">
        <f>'Income Statement'!I9</f>
        <v>539652.26</v>
      </c>
      <c r="G16" s="10">
        <f>'Income Statement'!K9</f>
        <v>550743.69000000006</v>
      </c>
      <c r="H16" s="10">
        <f>'Income Statement'!L9</f>
        <v>557909.87</v>
      </c>
      <c r="I16" s="10">
        <f>'Income Statement'!M9</f>
        <v>554791.2300000001</v>
      </c>
      <c r="J16" s="10">
        <f>'Income Statement'!N9</f>
        <v>549643.71000000008</v>
      </c>
      <c r="K16" s="11">
        <f>'Income Statement'!P9</f>
        <v>571305.21000000008</v>
      </c>
      <c r="L16" s="1"/>
      <c r="M16" s="12">
        <f>'Income Statement'!Q9</f>
        <v>0</v>
      </c>
    </row>
    <row r="17" spans="2:13" ht="15.75" customHeight="1" x14ac:dyDescent="0.3">
      <c r="B17" s="14" t="s">
        <v>16</v>
      </c>
      <c r="C17" s="13"/>
      <c r="D17" s="15">
        <v>2.4918047341986549E-2</v>
      </c>
      <c r="E17" s="15">
        <f>(E16/D16) -1</f>
        <v>1.9299142428324867E-2</v>
      </c>
      <c r="F17" s="15">
        <f>(F16/E16) -1</f>
        <v>3.0179995448633479E-2</v>
      </c>
      <c r="G17" s="15">
        <f t="shared" ref="G17:K17" si="0">(G16/F16) -1</f>
        <v>2.0552920504770977E-2</v>
      </c>
      <c r="H17" s="15">
        <f t="shared" si="0"/>
        <v>1.3011824066472721E-2</v>
      </c>
      <c r="I17" s="15">
        <f t="shared" si="0"/>
        <v>-5.5898634666561309E-3</v>
      </c>
      <c r="J17" s="15">
        <f t="shared" si="0"/>
        <v>-9.2783009565599039E-3</v>
      </c>
      <c r="K17" s="15">
        <f t="shared" si="0"/>
        <v>3.9410075301325564E-2</v>
      </c>
      <c r="L17" s="13"/>
      <c r="M17" s="13"/>
    </row>
    <row r="18" spans="2:13" ht="15.75" customHeight="1" x14ac:dyDescent="0.3">
      <c r="B18" s="14"/>
      <c r="C18" s="13"/>
      <c r="D18" s="15"/>
      <c r="E18" s="15"/>
      <c r="F18" s="15"/>
      <c r="G18" s="15"/>
      <c r="H18" s="15"/>
      <c r="I18" s="15"/>
      <c r="J18" s="15"/>
      <c r="K18" s="16"/>
      <c r="L18" s="13"/>
      <c r="M18" s="13"/>
    </row>
    <row r="19" spans="2:13" ht="15.75" customHeight="1" x14ac:dyDescent="0.3">
      <c r="B19" s="9" t="s">
        <v>17</v>
      </c>
      <c r="C19" s="10">
        <v>137189.91999999998</v>
      </c>
      <c r="D19" s="10">
        <v>129334.10000000003</v>
      </c>
      <c r="E19" s="10">
        <f>'Income Statement'!H14</f>
        <v>122867.71000000002</v>
      </c>
      <c r="F19" s="10">
        <f>'Income Statement'!I14</f>
        <v>44223.899999999965</v>
      </c>
      <c r="G19" s="10">
        <f>'Income Statement'!K14</f>
        <v>138013.82</v>
      </c>
      <c r="H19" s="10">
        <f>'Income Statement'!L14</f>
        <v>110479.81</v>
      </c>
      <c r="I19" s="10">
        <f>'Income Statement'!M14</f>
        <v>107311.26000000001</v>
      </c>
      <c r="J19" s="10">
        <f>'Income Statement'!N14</f>
        <v>38493.280000000028</v>
      </c>
      <c r="K19" s="11">
        <f>'Income Statement'!P14</f>
        <v>120002.19</v>
      </c>
      <c r="L19" s="1"/>
      <c r="M19" s="1"/>
    </row>
    <row r="20" spans="2:13" ht="15.75" customHeight="1" x14ac:dyDescent="0.3">
      <c r="B20" s="14" t="s">
        <v>16</v>
      </c>
      <c r="C20" s="13"/>
      <c r="D20" s="15">
        <v>-5.7262370296592868E-2</v>
      </c>
      <c r="E20" s="15">
        <f>(E19/D19) -1</f>
        <v>-4.9997564447427312E-2</v>
      </c>
      <c r="F20" s="15">
        <f>(F19/E19) -1</f>
        <v>-0.64006898150864888</v>
      </c>
      <c r="G20" s="15">
        <f t="shared" ref="G20:K20" si="1">(G19/F19) -1</f>
        <v>2.1207971255361944</v>
      </c>
      <c r="H20" s="15">
        <f t="shared" si="1"/>
        <v>-0.19950183249764408</v>
      </c>
      <c r="I20" s="15">
        <f t="shared" si="1"/>
        <v>-2.8679900879626685E-2</v>
      </c>
      <c r="J20" s="15">
        <f t="shared" si="1"/>
        <v>-0.64129318768598909</v>
      </c>
      <c r="K20" s="15">
        <f t="shared" si="1"/>
        <v>2.1174841426867212</v>
      </c>
      <c r="L20" s="13"/>
      <c r="M20" s="13"/>
    </row>
    <row r="21" spans="2:13" ht="15.75" customHeight="1" x14ac:dyDescent="0.3">
      <c r="B21" s="14"/>
      <c r="C21" s="13"/>
      <c r="D21" s="15"/>
      <c r="E21" s="15"/>
      <c r="F21" s="15"/>
      <c r="G21" s="15"/>
      <c r="H21" s="15"/>
      <c r="I21" s="15"/>
      <c r="J21" s="15"/>
      <c r="K21" s="16"/>
      <c r="L21" s="13"/>
      <c r="M21" s="13"/>
    </row>
    <row r="22" spans="2:13" ht="15.75" customHeight="1" x14ac:dyDescent="0.3">
      <c r="B22" s="9" t="s">
        <v>18</v>
      </c>
      <c r="C22" s="10">
        <v>119470.04999999999</v>
      </c>
      <c r="D22" s="10">
        <v>94710.910000000018</v>
      </c>
      <c r="E22" s="10">
        <f>'Income Statement'!H20</f>
        <v>101434.97000000002</v>
      </c>
      <c r="F22" s="10">
        <f>'Income Statement'!I20</f>
        <v>42520.02999999997</v>
      </c>
      <c r="G22" s="10">
        <f>'Income Statement'!K20</f>
        <v>111821.29000000001</v>
      </c>
      <c r="H22" s="10">
        <f>'Income Statement'!L20</f>
        <v>100866.56999999999</v>
      </c>
      <c r="I22" s="10">
        <f>'Income Statement'!M20</f>
        <v>97876.94</v>
      </c>
      <c r="J22" s="10">
        <f>'Income Statement'!N20</f>
        <v>3869.880000000026</v>
      </c>
      <c r="K22" s="11">
        <f>'Income Statement'!P20</f>
        <v>102018.78540000001</v>
      </c>
      <c r="L22" s="1"/>
      <c r="M22" s="1"/>
    </row>
    <row r="23" spans="2:13" ht="15.75" customHeight="1" x14ac:dyDescent="0.3">
      <c r="B23" s="14" t="s">
        <v>16</v>
      </c>
      <c r="C23" s="13"/>
      <c r="D23" s="15">
        <v>-0.2072413964838884</v>
      </c>
      <c r="E23" s="15">
        <f>(E22/D22) -1</f>
        <v>7.099562236283008E-2</v>
      </c>
      <c r="F23" s="15">
        <f>(F22/E22) -1</f>
        <v>-0.5808148807063287</v>
      </c>
      <c r="G23" s="15">
        <f t="shared" ref="G23:K23" si="2">(G22/F22) -1</f>
        <v>1.6298497437560626</v>
      </c>
      <c r="H23" s="15">
        <f t="shared" si="2"/>
        <v>-9.796631750536966E-2</v>
      </c>
      <c r="I23" s="15">
        <f t="shared" si="2"/>
        <v>-2.9639453388768833E-2</v>
      </c>
      <c r="J23" s="15">
        <f t="shared" si="2"/>
        <v>-0.96046177986357129</v>
      </c>
      <c r="K23" s="15">
        <f t="shared" si="2"/>
        <v>25.362260690253787</v>
      </c>
      <c r="L23" s="13"/>
      <c r="M23" s="13"/>
    </row>
    <row r="24" spans="2:13" ht="15.75" customHeight="1" x14ac:dyDescent="0.3">
      <c r="B24" s="9" t="s">
        <v>19</v>
      </c>
      <c r="C24" s="17">
        <v>3.850682724762196</v>
      </c>
      <c r="D24" s="17">
        <v>3.053109606258702</v>
      </c>
      <c r="E24" s="17">
        <f>'Income Statement'!H22</f>
        <v>3.2726806661577585</v>
      </c>
      <c r="F24" s="17">
        <f>'Income Statement'!I22</f>
        <v>1.3697430670497122</v>
      </c>
      <c r="G24" s="17">
        <f>'Income Statement'!K22</f>
        <v>3.5966709145190996</v>
      </c>
      <c r="H24" s="17">
        <f>'Income Statement'!L22</f>
        <v>3.241318885992122</v>
      </c>
      <c r="I24" s="17">
        <f>'Income Statement'!M22</f>
        <v>3.1429785244493993</v>
      </c>
      <c r="J24" s="17">
        <f>'Income Statement'!N22</f>
        <v>0.12417789757412481</v>
      </c>
      <c r="K24" s="18">
        <f>'Income Statement'!P22</f>
        <v>3.2732866024022784</v>
      </c>
      <c r="L24" s="1"/>
      <c r="M24" s="1"/>
    </row>
    <row r="25" spans="2:13" ht="15.75" customHeight="1" x14ac:dyDescent="0.3">
      <c r="B25" s="14"/>
      <c r="C25" s="1"/>
      <c r="D25" s="1"/>
      <c r="E25" s="1"/>
      <c r="F25" s="1"/>
      <c r="G25" s="1"/>
      <c r="H25" s="1"/>
      <c r="I25" s="1"/>
      <c r="J25" s="1"/>
      <c r="K25" s="19"/>
      <c r="L25" s="1"/>
      <c r="M25" s="1"/>
    </row>
    <row r="26" spans="2:13" ht="15.75" customHeight="1" x14ac:dyDescent="0.3">
      <c r="B26" s="20" t="s">
        <v>20</v>
      </c>
      <c r="C26" s="21">
        <v>48415.499999999993</v>
      </c>
      <c r="D26" s="21">
        <v>-12252.72999999997</v>
      </c>
      <c r="E26" s="21">
        <f>'Cash Flows'!J26+'Cash Flows'!J28+'Cash Flows'!J29</f>
        <v>-7437.6399999999903</v>
      </c>
      <c r="F26" s="21">
        <f>'Cash Flows'!K26+'Cash Flows'!K28+'Cash Flows'!K29</f>
        <v>-39847.709999999977</v>
      </c>
      <c r="G26" s="21">
        <f>'Cash Flows'!M26+'Cash Flows'!M28</f>
        <v>56117.670000000027</v>
      </c>
      <c r="H26" s="21">
        <f>'Cash Flows'!N26+'Cash Flows'!N28</f>
        <v>891.23999999999069</v>
      </c>
      <c r="I26" s="21">
        <f>'Cash Flows'!O26+'Cash Flows'!O28</f>
        <v>33029.5</v>
      </c>
      <c r="J26" s="21">
        <f>'Cash Flows'!P26+'Cash Flows'!P28</f>
        <v>23258.550000000025</v>
      </c>
      <c r="K26" s="22">
        <f>'Cash Flows'!R26+'Cash Flows'!R28</f>
        <v>56812.070000000007</v>
      </c>
      <c r="L26" s="1"/>
      <c r="M26" s="1"/>
    </row>
    <row r="27" spans="2:13" ht="15.75" customHeight="1" x14ac:dyDescent="0.3">
      <c r="B27" s="2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t="15.75" customHeight="1" x14ac:dyDescent="0.3">
      <c r="B28" s="24" t="s">
        <v>21</v>
      </c>
      <c r="C28" s="25" t="s">
        <v>22</v>
      </c>
      <c r="D28" s="25" t="s">
        <v>23</v>
      </c>
      <c r="E28" s="25" t="s">
        <v>24</v>
      </c>
      <c r="F28" s="25" t="s">
        <v>25</v>
      </c>
      <c r="G28" s="25" t="s">
        <v>26</v>
      </c>
      <c r="H28" s="25" t="s">
        <v>27</v>
      </c>
      <c r="I28" s="25" t="s">
        <v>28</v>
      </c>
      <c r="J28" s="25" t="s">
        <v>29</v>
      </c>
      <c r="K28" s="26" t="s">
        <v>30</v>
      </c>
      <c r="L28" s="1"/>
      <c r="M28" s="1"/>
    </row>
    <row r="29" spans="2:13" ht="15.75" customHeight="1" x14ac:dyDescent="0.3">
      <c r="B29" s="27" t="s">
        <v>31</v>
      </c>
      <c r="C29" s="28">
        <v>0.27359749343945966</v>
      </c>
      <c r="D29" s="28">
        <v>0.25165978209362666</v>
      </c>
      <c r="E29" s="28">
        <f>E19/E16</f>
        <v>0.23455077706629829</v>
      </c>
      <c r="F29" s="28">
        <f t="shared" ref="F29:K29" si="3">F19/F16</f>
        <v>8.1948883156720151E-2</v>
      </c>
      <c r="G29" s="28">
        <f t="shared" si="3"/>
        <v>0.25059537223204498</v>
      </c>
      <c r="H29" s="28">
        <f t="shared" si="3"/>
        <v>0.19802447660587183</v>
      </c>
      <c r="I29" s="28">
        <f t="shared" si="3"/>
        <v>0.19342638130743342</v>
      </c>
      <c r="J29" s="28">
        <f t="shared" si="3"/>
        <v>7.0033149292293401E-2</v>
      </c>
      <c r="K29" s="28">
        <f t="shared" si="3"/>
        <v>0.21004917844176493</v>
      </c>
      <c r="L29" s="1"/>
      <c r="M29" s="4" t="s">
        <v>32</v>
      </c>
    </row>
    <row r="30" spans="2:13" ht="15.75" customHeight="1" x14ac:dyDescent="0.3">
      <c r="B30" s="27" t="s">
        <v>33</v>
      </c>
      <c r="C30" s="28">
        <v>0.23825880371595026</v>
      </c>
      <c r="D30" s="28">
        <v>0.18428958002946699</v>
      </c>
      <c r="E30" s="28">
        <f>E22/E16</f>
        <v>0.19363631856731647</v>
      </c>
      <c r="F30" s="28">
        <f t="shared" ref="F30:K30" si="4">F22/F16</f>
        <v>7.8791535126712831E-2</v>
      </c>
      <c r="G30" s="28">
        <f t="shared" si="4"/>
        <v>0.20303689725432894</v>
      </c>
      <c r="H30" s="28">
        <f t="shared" si="4"/>
        <v>0.18079366475448802</v>
      </c>
      <c r="I30" s="28">
        <f t="shared" si="4"/>
        <v>0.17642120983058796</v>
      </c>
      <c r="J30" s="28">
        <f t="shared" si="4"/>
        <v>7.0407064241670763E-3</v>
      </c>
      <c r="K30" s="28">
        <f t="shared" si="4"/>
        <v>0.17857142489563502</v>
      </c>
      <c r="L30" s="1"/>
      <c r="M30" s="1"/>
    </row>
    <row r="31" spans="2:13" ht="15.75" customHeight="1" x14ac:dyDescent="0.3">
      <c r="B31" s="29" t="s">
        <v>34</v>
      </c>
      <c r="C31" s="30">
        <v>1.5179713853669881</v>
      </c>
      <c r="D31" s="30">
        <v>-0.38459206071245639</v>
      </c>
      <c r="E31" s="30">
        <f>E26/'Income Statement'!H26</f>
        <v>-0.23355937791943693</v>
      </c>
      <c r="F31" s="30">
        <f>F26/'Income Statement'!I26</f>
        <v>-1.2489233098213004</v>
      </c>
      <c r="G31" s="30">
        <f>G26/'Income Statement'!K26</f>
        <v>1.7697777404941462</v>
      </c>
      <c r="H31" s="30">
        <f>H26/'Income Statement'!L26</f>
        <v>2.828271160386403E-2</v>
      </c>
      <c r="I31" s="30">
        <f>I26/'Income Statement'!M26</f>
        <v>1.0477546053683406</v>
      </c>
      <c r="J31" s="30">
        <f>J26/'Income Statement'!N26</f>
        <v>0.73567084173772179</v>
      </c>
      <c r="K31" s="31">
        <f>K26/'Income Statement'!P26</f>
        <v>1.7939224211291795</v>
      </c>
      <c r="L31" s="1"/>
      <c r="M31" s="4" t="s">
        <v>35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B2:M24"/>
  <sheetViews>
    <sheetView showGridLines="0" zoomScale="85" zoomScaleNormal="85" workbookViewId="0">
      <selection activeCell="F26" sqref="F26"/>
    </sheetView>
  </sheetViews>
  <sheetFormatPr defaultColWidth="14.44140625" defaultRowHeight="15" customHeight="1" x14ac:dyDescent="0.3"/>
  <cols>
    <col min="1" max="1" width="8.6640625" customWidth="1"/>
    <col min="2" max="2" width="39.44140625" customWidth="1"/>
    <col min="3" max="11" width="10.33203125" customWidth="1"/>
    <col min="12" max="12" width="8.6640625" customWidth="1"/>
    <col min="13" max="13" width="131.6640625" customWidth="1"/>
    <col min="14" max="26" width="8.6640625" customWidth="1"/>
  </cols>
  <sheetData>
    <row r="2" spans="2:11" ht="15.6" x14ac:dyDescent="0.3">
      <c r="B2" s="2" t="s">
        <v>36</v>
      </c>
    </row>
    <row r="3" spans="2:11" ht="15.6" x14ac:dyDescent="0.3">
      <c r="B3" s="2" t="s">
        <v>1</v>
      </c>
    </row>
    <row r="4" spans="2:11" ht="15.6" x14ac:dyDescent="0.3">
      <c r="B4" s="2" t="s">
        <v>37</v>
      </c>
    </row>
    <row r="5" spans="2:11" ht="15.6" x14ac:dyDescent="0.3">
      <c r="B5" s="2"/>
    </row>
    <row r="6" spans="2:11" ht="15.6" x14ac:dyDescent="0.3">
      <c r="B6" s="3" t="s">
        <v>3</v>
      </c>
      <c r="C6" s="32"/>
      <c r="D6" s="32"/>
      <c r="E6" s="32"/>
      <c r="F6" s="32"/>
      <c r="G6" s="32"/>
      <c r="H6" s="32"/>
      <c r="I6" s="32"/>
      <c r="J6" s="32"/>
      <c r="K6" s="32"/>
    </row>
    <row r="7" spans="2:11" ht="15.6" x14ac:dyDescent="0.3">
      <c r="B7" s="4" t="s">
        <v>38</v>
      </c>
      <c r="C7" s="32"/>
      <c r="D7" s="32"/>
      <c r="E7" s="32"/>
      <c r="F7" s="32"/>
      <c r="G7" s="32"/>
      <c r="H7" s="32"/>
      <c r="I7" s="32"/>
      <c r="J7" s="32"/>
      <c r="K7" s="32"/>
    </row>
    <row r="8" spans="2:11" ht="15.6" x14ac:dyDescent="0.3">
      <c r="B8" s="4" t="s">
        <v>39</v>
      </c>
      <c r="C8" s="32"/>
      <c r="D8" s="32"/>
      <c r="E8" s="32"/>
      <c r="F8" s="32"/>
      <c r="G8" s="32"/>
      <c r="H8" s="32"/>
      <c r="I8" s="32"/>
      <c r="J8" s="32"/>
      <c r="K8" s="32"/>
    </row>
    <row r="9" spans="2:11" ht="15.6" x14ac:dyDescent="0.3">
      <c r="B9" s="4" t="s">
        <v>40</v>
      </c>
      <c r="C9" s="32"/>
      <c r="D9" s="32"/>
      <c r="E9" s="32"/>
      <c r="F9" s="32"/>
      <c r="G9" s="32"/>
      <c r="H9" s="32"/>
      <c r="I9" s="32"/>
      <c r="J9" s="32"/>
      <c r="K9" s="32"/>
    </row>
    <row r="10" spans="2:11" ht="15.6" x14ac:dyDescent="0.3">
      <c r="B10" s="2"/>
    </row>
    <row r="11" spans="2:11" ht="15.6" x14ac:dyDescent="0.3">
      <c r="B11" s="2"/>
    </row>
    <row r="12" spans="2:11" ht="15.6" x14ac:dyDescent="0.3">
      <c r="B12" s="33" t="s">
        <v>37</v>
      </c>
      <c r="C12" s="34" t="s">
        <v>10</v>
      </c>
      <c r="D12" s="34" t="s">
        <v>11</v>
      </c>
      <c r="E12" s="34" t="s">
        <v>12</v>
      </c>
      <c r="F12" s="34" t="s">
        <v>13</v>
      </c>
      <c r="G12" s="34" t="s">
        <v>10</v>
      </c>
      <c r="H12" s="34" t="s">
        <v>11</v>
      </c>
      <c r="I12" s="34" t="s">
        <v>12</v>
      </c>
      <c r="J12" s="34" t="s">
        <v>13</v>
      </c>
      <c r="K12" s="35" t="s">
        <v>10</v>
      </c>
    </row>
    <row r="13" spans="2:11" ht="15.6" x14ac:dyDescent="0.3">
      <c r="B13" s="36" t="s">
        <v>41</v>
      </c>
      <c r="C13" s="161">
        <v>2021</v>
      </c>
      <c r="D13" s="161">
        <v>2021</v>
      </c>
      <c r="E13" s="161">
        <v>2021</v>
      </c>
      <c r="F13" s="161">
        <v>2021</v>
      </c>
      <c r="G13" s="161">
        <v>2022</v>
      </c>
      <c r="H13" s="161">
        <v>2022</v>
      </c>
      <c r="I13" s="161">
        <v>2022</v>
      </c>
      <c r="J13" s="161">
        <v>2022</v>
      </c>
      <c r="K13" s="161">
        <v>2023</v>
      </c>
    </row>
    <row r="14" spans="2:11" ht="14.4" x14ac:dyDescent="0.3">
      <c r="B14" s="37"/>
      <c r="C14" s="38"/>
      <c r="D14" s="38"/>
      <c r="E14" s="38"/>
      <c r="F14" s="38"/>
      <c r="G14" s="38"/>
      <c r="H14" s="38"/>
      <c r="I14" s="38"/>
      <c r="J14" s="38"/>
      <c r="K14" s="39"/>
    </row>
    <row r="15" spans="2:11" ht="14.4" x14ac:dyDescent="0.3">
      <c r="B15" s="37" t="s">
        <v>42</v>
      </c>
      <c r="C15" s="40">
        <v>33</v>
      </c>
      <c r="D15" s="40">
        <v>33</v>
      </c>
      <c r="E15" s="40">
        <f>'Customer Data'!E7</f>
        <v>33</v>
      </c>
      <c r="F15" s="40">
        <f>'Customer Data'!F7</f>
        <v>33</v>
      </c>
      <c r="G15" s="40">
        <f>'Customer Data'!G7</f>
        <v>34</v>
      </c>
      <c r="H15" s="40">
        <f>'Customer Data'!H7</f>
        <v>34</v>
      </c>
      <c r="I15" s="40">
        <f>'Customer Data'!I7</f>
        <v>34</v>
      </c>
      <c r="J15" s="40">
        <f>'Customer Data'!J7</f>
        <v>34</v>
      </c>
      <c r="K15" s="41">
        <f>'Customer Data'!K7</f>
        <v>34</v>
      </c>
    </row>
    <row r="17" spans="2:13" ht="14.4" x14ac:dyDescent="0.3">
      <c r="B17" s="37" t="s">
        <v>43</v>
      </c>
      <c r="C17" s="42">
        <v>15194.840606060607</v>
      </c>
      <c r="D17" s="42">
        <v>15573.466363636366</v>
      </c>
      <c r="E17" s="42">
        <f>'Customer Data'!E9</f>
        <v>15874.02090909091</v>
      </c>
      <c r="F17" s="42">
        <f>'Customer Data'!F9</f>
        <v>16353.098787878787</v>
      </c>
      <c r="G17" s="42">
        <f>'Customer Data'!G9</f>
        <v>16198.343823529414</v>
      </c>
      <c r="H17" s="42">
        <f>'Customer Data'!H9</f>
        <v>16409.113823529413</v>
      </c>
      <c r="I17" s="42">
        <f>'Customer Data'!I9</f>
        <v>16317.389117647062</v>
      </c>
      <c r="J17" s="42">
        <f>'Customer Data'!J9</f>
        <v>16165.991470588238</v>
      </c>
      <c r="K17" s="42">
        <f>'Customer Data'!K9</f>
        <v>16803.094411764709</v>
      </c>
    </row>
    <row r="18" spans="2:13" ht="14.4" x14ac:dyDescent="0.3">
      <c r="B18" s="37" t="s">
        <v>44</v>
      </c>
      <c r="C18" s="42">
        <v>89</v>
      </c>
      <c r="D18" s="42">
        <v>200</v>
      </c>
      <c r="E18" s="42">
        <f>'Customer Data'!E10</f>
        <v>204</v>
      </c>
      <c r="F18" s="42">
        <f>'Customer Data'!F10</f>
        <v>444</v>
      </c>
      <c r="G18" s="42">
        <f>'Customer Data'!G10</f>
        <v>2446</v>
      </c>
      <c r="H18" s="42">
        <f>'Customer Data'!H10</f>
        <v>5000</v>
      </c>
      <c r="I18" s="42">
        <f>'Customer Data'!I10</f>
        <v>1655</v>
      </c>
      <c r="J18" s="42">
        <f>'Customer Data'!J10</f>
        <v>1244</v>
      </c>
      <c r="K18" s="42">
        <f>'Customer Data'!K10</f>
        <v>322</v>
      </c>
      <c r="M18" s="32" t="s">
        <v>45</v>
      </c>
    </row>
    <row r="19" spans="2:13" ht="14.4" x14ac:dyDescent="0.3">
      <c r="B19" s="37" t="s">
        <v>46</v>
      </c>
      <c r="C19" s="42">
        <v>467.62575757575905</v>
      </c>
      <c r="D19" s="42">
        <v>500.5545454545445</v>
      </c>
      <c r="E19" s="42">
        <f>E20-E17-E18</f>
        <v>275.07787878787713</v>
      </c>
      <c r="F19" s="42">
        <f t="shared" ref="F19:K19" si="0">F20-F17-F18</f>
        <v>-598.75496434937304</v>
      </c>
      <c r="G19" s="42">
        <f t="shared" si="0"/>
        <v>-2235.2300000000014</v>
      </c>
      <c r="H19" s="42">
        <f t="shared" si="0"/>
        <v>-5091.7247058823505</v>
      </c>
      <c r="I19" s="42">
        <f t="shared" si="0"/>
        <v>-1806.3976470588241</v>
      </c>
      <c r="J19" s="42">
        <f t="shared" si="0"/>
        <v>-606.89705882352973</v>
      </c>
      <c r="K19" s="42">
        <f t="shared" si="0"/>
        <v>1320.9055882352914</v>
      </c>
    </row>
    <row r="20" spans="2:13" ht="14.4" x14ac:dyDescent="0.3">
      <c r="B20" s="37" t="s">
        <v>47</v>
      </c>
      <c r="C20" s="42">
        <v>15573.466363636366</v>
      </c>
      <c r="D20" s="42">
        <v>15874.02090909091</v>
      </c>
      <c r="E20" s="42">
        <f>'Customer Data'!E11</f>
        <v>16353.098787878787</v>
      </c>
      <c r="F20" s="42">
        <f>'Customer Data'!F11</f>
        <v>16198.343823529414</v>
      </c>
      <c r="G20" s="42">
        <f>'Customer Data'!G11</f>
        <v>16409.113823529413</v>
      </c>
      <c r="H20" s="42">
        <f>'Customer Data'!H11</f>
        <v>16317.389117647062</v>
      </c>
      <c r="I20" s="42">
        <f>'Customer Data'!I11</f>
        <v>16165.991470588238</v>
      </c>
      <c r="J20" s="42">
        <f>'Customer Data'!J11</f>
        <v>16803.094411764709</v>
      </c>
      <c r="K20" s="42">
        <f>'Customer Data'!K11</f>
        <v>18446</v>
      </c>
    </row>
    <row r="21" spans="2:13" ht="15.75" customHeight="1" x14ac:dyDescent="0.3">
      <c r="B21" s="44" t="s">
        <v>48</v>
      </c>
      <c r="C21" s="45"/>
      <c r="D21" s="46">
        <v>1.9299142428324867E-2</v>
      </c>
      <c r="E21" s="46">
        <f>(E20/D20) -1</f>
        <v>3.0179995448633479E-2</v>
      </c>
      <c r="F21" s="46">
        <f t="shared" ref="F21:K21" si="1">(F20/E20) -1</f>
        <v>-9.463341863016228E-3</v>
      </c>
      <c r="G21" s="46">
        <f t="shared" si="1"/>
        <v>1.3011824066472721E-2</v>
      </c>
      <c r="H21" s="46">
        <f t="shared" si="1"/>
        <v>-5.5898634666562419E-3</v>
      </c>
      <c r="I21" s="46">
        <f t="shared" si="1"/>
        <v>-9.2783009565599039E-3</v>
      </c>
      <c r="J21" s="46">
        <f t="shared" si="1"/>
        <v>3.9410075301325564E-2</v>
      </c>
      <c r="K21" s="46">
        <f t="shared" si="1"/>
        <v>9.7773990193437799E-2</v>
      </c>
      <c r="L21" s="43"/>
      <c r="M21" s="43"/>
    </row>
    <row r="22" spans="2:13" ht="15.75" customHeight="1" x14ac:dyDescent="0.3">
      <c r="B22" s="44"/>
      <c r="C22" s="45"/>
      <c r="D22" s="46"/>
      <c r="E22" s="46"/>
      <c r="F22" s="46"/>
      <c r="G22" s="46"/>
      <c r="H22" s="46"/>
      <c r="I22" s="46"/>
      <c r="J22" s="46"/>
      <c r="K22" s="47"/>
      <c r="L22" s="43"/>
      <c r="M22" s="43"/>
    </row>
    <row r="23" spans="2:13" ht="15.75" customHeight="1" x14ac:dyDescent="0.3">
      <c r="B23" s="37" t="s">
        <v>49</v>
      </c>
      <c r="C23" s="42">
        <v>378.62575757575905</v>
      </c>
      <c r="D23" s="42">
        <v>300.5545454545445</v>
      </c>
      <c r="E23" s="42">
        <f>E20-E17</f>
        <v>479.07787878787713</v>
      </c>
      <c r="F23" s="42">
        <f t="shared" ref="F23:K23" si="2">F20-F17</f>
        <v>-154.75496434937304</v>
      </c>
      <c r="G23" s="42">
        <f t="shared" si="2"/>
        <v>210.76999999999862</v>
      </c>
      <c r="H23" s="42">
        <f t="shared" si="2"/>
        <v>-91.724705882350463</v>
      </c>
      <c r="I23" s="42">
        <f t="shared" si="2"/>
        <v>-151.39764705882408</v>
      </c>
      <c r="J23" s="42">
        <f t="shared" si="2"/>
        <v>637.10294117647027</v>
      </c>
      <c r="K23" s="42">
        <f t="shared" si="2"/>
        <v>1642.9055882352914</v>
      </c>
      <c r="M23" s="32" t="s">
        <v>50</v>
      </c>
    </row>
    <row r="24" spans="2:13" ht="15.75" customHeight="1" x14ac:dyDescent="0.3">
      <c r="B24" s="48" t="s">
        <v>51</v>
      </c>
      <c r="C24" s="49">
        <v>5.857251307032566E-3</v>
      </c>
      <c r="D24" s="49">
        <v>1.2842356051636311E-2</v>
      </c>
      <c r="E24" s="49">
        <f>E18/E17</f>
        <v>1.2851186297932304E-2</v>
      </c>
      <c r="F24" s="49">
        <f t="shared" ref="F24:K24" si="3">F18/F17</f>
        <v>2.7150817454188E-2</v>
      </c>
      <c r="G24" s="49">
        <f t="shared" si="3"/>
        <v>0.15100309183751154</v>
      </c>
      <c r="H24" s="49">
        <f t="shared" si="3"/>
        <v>0.30470871576442982</v>
      </c>
      <c r="I24" s="49">
        <f t="shared" si="3"/>
        <v>0.1014255398377512</v>
      </c>
      <c r="J24" s="49">
        <f t="shared" si="3"/>
        <v>7.6951667472006532E-2</v>
      </c>
      <c r="K24" s="49">
        <f t="shared" si="3"/>
        <v>1.916313698592036E-2</v>
      </c>
      <c r="M24" s="32" t="s">
        <v>52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B3:J36"/>
  <sheetViews>
    <sheetView showGridLines="0" zoomScale="70" zoomScaleNormal="70" workbookViewId="0">
      <selection activeCell="J30" sqref="J30"/>
    </sheetView>
  </sheetViews>
  <sheetFormatPr defaultColWidth="14.44140625" defaultRowHeight="15" customHeight="1" x14ac:dyDescent="0.3"/>
  <cols>
    <col min="1" max="1" width="8.6640625" customWidth="1"/>
    <col min="2" max="2" width="35.44140625" customWidth="1"/>
    <col min="3" max="3" width="15.109375" customWidth="1"/>
    <col min="4" max="8" width="12.88671875" customWidth="1"/>
    <col min="9" max="9" width="8.6640625" customWidth="1"/>
    <col min="10" max="10" width="71.44140625" customWidth="1"/>
    <col min="11" max="11" width="4.6640625" customWidth="1"/>
    <col min="12" max="26" width="8.6640625" customWidth="1"/>
  </cols>
  <sheetData>
    <row r="3" spans="2:2" ht="15.6" x14ac:dyDescent="0.3">
      <c r="B3" s="2" t="s">
        <v>53</v>
      </c>
    </row>
    <row r="4" spans="2:2" ht="15.6" x14ac:dyDescent="0.3">
      <c r="B4" s="2" t="s">
        <v>1</v>
      </c>
    </row>
    <row r="5" spans="2:2" ht="15.6" x14ac:dyDescent="0.3">
      <c r="B5" s="2" t="s">
        <v>54</v>
      </c>
    </row>
    <row r="6" spans="2:2" ht="15.6" x14ac:dyDescent="0.3">
      <c r="B6" s="2"/>
    </row>
    <row r="7" spans="2:2" ht="15.6" x14ac:dyDescent="0.3">
      <c r="B7" s="3" t="s">
        <v>3</v>
      </c>
    </row>
    <row r="8" spans="2:2" ht="15.6" x14ac:dyDescent="0.3">
      <c r="B8" s="4" t="s">
        <v>55</v>
      </c>
    </row>
    <row r="9" spans="2:2" ht="15.6" x14ac:dyDescent="0.3">
      <c r="B9" s="4" t="s">
        <v>56</v>
      </c>
    </row>
    <row r="10" spans="2:2" ht="15.6" x14ac:dyDescent="0.3">
      <c r="B10" s="4" t="s">
        <v>57</v>
      </c>
    </row>
    <row r="11" spans="2:2" ht="15.6" x14ac:dyDescent="0.3">
      <c r="B11" s="50" t="s">
        <v>58</v>
      </c>
    </row>
    <row r="12" spans="2:2" ht="15.6" x14ac:dyDescent="0.3">
      <c r="B12" s="50" t="s">
        <v>59</v>
      </c>
    </row>
    <row r="13" spans="2:2" ht="15.6" x14ac:dyDescent="0.3">
      <c r="B13" s="50" t="s">
        <v>60</v>
      </c>
    </row>
    <row r="14" spans="2:2" ht="15.6" x14ac:dyDescent="0.3">
      <c r="B14" s="50" t="s">
        <v>61</v>
      </c>
    </row>
    <row r="15" spans="2:2" ht="15.6" x14ac:dyDescent="0.3">
      <c r="B15" s="50" t="s">
        <v>62</v>
      </c>
    </row>
    <row r="16" spans="2:2" ht="15.6" x14ac:dyDescent="0.3">
      <c r="B16" s="50" t="s">
        <v>63</v>
      </c>
    </row>
    <row r="17" spans="2:10" ht="15.6" x14ac:dyDescent="0.3">
      <c r="B17" s="50" t="s">
        <v>64</v>
      </c>
      <c r="C17" s="32"/>
      <c r="D17" s="32"/>
      <c r="E17" s="32"/>
      <c r="F17" s="32"/>
      <c r="G17" s="32"/>
      <c r="H17" s="32"/>
      <c r="I17" s="32"/>
      <c r="J17" s="32"/>
    </row>
    <row r="18" spans="2:10" ht="15.6" x14ac:dyDescent="0.3">
      <c r="B18" s="4" t="s">
        <v>65</v>
      </c>
      <c r="C18" s="32"/>
      <c r="D18" s="32"/>
      <c r="E18" s="32"/>
      <c r="F18" s="32"/>
      <c r="G18" s="32"/>
      <c r="H18" s="32"/>
      <c r="I18" s="32"/>
      <c r="J18" s="32"/>
    </row>
    <row r="19" spans="2:10" ht="15.6" x14ac:dyDescent="0.3">
      <c r="B19" s="23"/>
    </row>
    <row r="20" spans="2:10" ht="15.6" x14ac:dyDescent="0.3">
      <c r="B20" s="1"/>
    </row>
    <row r="21" spans="2:10" ht="15.75" customHeight="1" x14ac:dyDescent="0.3">
      <c r="B21" s="1"/>
      <c r="C21" s="51" t="s">
        <v>66</v>
      </c>
      <c r="D21" s="51" t="s">
        <v>67</v>
      </c>
      <c r="E21" s="51" t="s">
        <v>67</v>
      </c>
      <c r="F21" s="52" t="s">
        <v>67</v>
      </c>
      <c r="G21" s="51" t="s">
        <v>67</v>
      </c>
      <c r="H21" s="53" t="s">
        <v>68</v>
      </c>
      <c r="I21" s="51"/>
      <c r="J21" s="51"/>
    </row>
    <row r="22" spans="2:10" ht="15.75" customHeight="1" x14ac:dyDescent="0.3">
      <c r="B22" s="54" t="s">
        <v>69</v>
      </c>
      <c r="C22" s="162">
        <v>2020</v>
      </c>
      <c r="D22" s="162">
        <v>2021</v>
      </c>
      <c r="E22" s="162">
        <v>2022</v>
      </c>
      <c r="F22" s="163" t="s">
        <v>70</v>
      </c>
      <c r="G22" s="162" t="s">
        <v>71</v>
      </c>
      <c r="H22" s="55" t="s">
        <v>72</v>
      </c>
      <c r="I22" s="56"/>
      <c r="J22" s="57" t="s">
        <v>73</v>
      </c>
    </row>
    <row r="23" spans="2:10" ht="15.75" customHeight="1" x14ac:dyDescent="0.3">
      <c r="B23" s="2" t="s">
        <v>15</v>
      </c>
      <c r="C23" s="12">
        <v>1999444</v>
      </c>
      <c r="D23" s="12">
        <f>'Income Statement'!J9</f>
        <v>2078849.0800000003</v>
      </c>
      <c r="E23" s="12">
        <f>'Income Statement'!O9</f>
        <v>2213088.5</v>
      </c>
      <c r="F23" s="58">
        <f>'Income Statement'!P9*4</f>
        <v>2285220.8400000003</v>
      </c>
      <c r="G23" s="12">
        <f>F23*(1+0.15)</f>
        <v>2628003.966</v>
      </c>
      <c r="H23" s="59">
        <f>(G23/C23) ^(1/4) -1</f>
        <v>7.0728081380118102E-2</v>
      </c>
    </row>
    <row r="24" spans="2:10" ht="15.75" customHeight="1" x14ac:dyDescent="0.3">
      <c r="B24" s="60" t="s">
        <v>74</v>
      </c>
      <c r="D24" s="28">
        <f>(D23/C23) -1</f>
        <v>3.9713580375344559E-2</v>
      </c>
      <c r="E24" s="28">
        <f t="shared" ref="E24:G24" si="0">(E23/D23) -1</f>
        <v>6.45739131769969E-2</v>
      </c>
      <c r="F24" s="28">
        <f t="shared" si="0"/>
        <v>3.2593518063105176E-2</v>
      </c>
      <c r="G24" s="28">
        <f t="shared" si="0"/>
        <v>0.14999999999999991</v>
      </c>
      <c r="H24" s="59"/>
    </row>
    <row r="25" spans="2:10" ht="15.75" customHeight="1" x14ac:dyDescent="0.3">
      <c r="B25" s="2" t="s">
        <v>17</v>
      </c>
      <c r="C25" s="12">
        <v>371461.44</v>
      </c>
      <c r="D25" s="12">
        <f>'Income Statement'!J14</f>
        <v>433615.63</v>
      </c>
      <c r="E25" s="12">
        <f>'Income Statement'!O14</f>
        <v>394298.17000000004</v>
      </c>
      <c r="F25" s="58">
        <f>'Income Statement'!P14*4</f>
        <v>480008.76</v>
      </c>
      <c r="G25" s="12">
        <f>F25*(1+0.1)</f>
        <v>528009.63600000006</v>
      </c>
      <c r="H25" s="59">
        <f t="shared" ref="H24:H30" si="1">(G25/C25) ^(1/4) -1</f>
        <v>9.189789210040189E-2</v>
      </c>
    </row>
    <row r="26" spans="2:10" ht="15.75" customHeight="1" x14ac:dyDescent="0.3">
      <c r="B26" s="60" t="s">
        <v>74</v>
      </c>
      <c r="D26" s="28">
        <f>(D25/C25) -1</f>
        <v>0.16732339701262133</v>
      </c>
      <c r="E26" s="28">
        <f t="shared" ref="E26:G26" si="2">(E25/D25) -1</f>
        <v>-9.0673530379889566E-2</v>
      </c>
      <c r="F26" s="28">
        <f t="shared" si="2"/>
        <v>0.21737506415512908</v>
      </c>
      <c r="G26" s="28">
        <f t="shared" si="2"/>
        <v>0.10000000000000009</v>
      </c>
      <c r="H26" s="59"/>
    </row>
    <row r="27" spans="2:10" ht="15.75" customHeight="1" x14ac:dyDescent="0.3">
      <c r="B27" s="2" t="s">
        <v>18</v>
      </c>
      <c r="C27" s="12">
        <v>247640.95999999999</v>
      </c>
      <c r="D27" s="12">
        <f>'Income Statement'!J20</f>
        <v>358135.96</v>
      </c>
      <c r="E27" s="12">
        <f>'Income Statement'!O20</f>
        <v>314434.68</v>
      </c>
      <c r="F27" s="58">
        <f>'Income Statement'!P20*4</f>
        <v>408075.14160000003</v>
      </c>
      <c r="G27" s="12">
        <f>F27*(1+0.08)</f>
        <v>440721.15292800008</v>
      </c>
      <c r="H27" s="59">
        <f t="shared" si="1"/>
        <v>0.15500896226812899</v>
      </c>
    </row>
    <row r="28" spans="2:10" ht="15.75" customHeight="1" x14ac:dyDescent="0.3">
      <c r="B28" s="60" t="s">
        <v>74</v>
      </c>
      <c r="D28" s="28">
        <f>(D27/C27)-1</f>
        <v>0.44619032328093078</v>
      </c>
      <c r="E28" s="28">
        <f t="shared" ref="E28:G28" si="3">(E27/D27)-1</f>
        <v>-0.12202427256955717</v>
      </c>
      <c r="F28" s="28">
        <f t="shared" si="3"/>
        <v>0.29780576875298892</v>
      </c>
      <c r="G28" s="28">
        <f t="shared" si="3"/>
        <v>8.0000000000000071E-2</v>
      </c>
      <c r="H28" s="59"/>
    </row>
    <row r="29" spans="2:10" ht="15.75" customHeight="1" x14ac:dyDescent="0.3">
      <c r="B29" s="2" t="s">
        <v>19</v>
      </c>
      <c r="C29" s="61">
        <v>12.11</v>
      </c>
      <c r="D29" s="61">
        <f>'Income Statement'!J22</f>
        <v>11.546216064228368</v>
      </c>
      <c r="E29" s="61">
        <f>'Income Statement'!O22</f>
        <v>10.105146222534746</v>
      </c>
      <c r="F29" s="62">
        <f>'Income Statement'!P22*4</f>
        <v>13.093146409609114</v>
      </c>
      <c r="G29" s="61">
        <f>F29*(1+0.08)</f>
        <v>14.140598122377844</v>
      </c>
      <c r="H29" s="59">
        <f t="shared" si="1"/>
        <v>3.9515355807991925E-2</v>
      </c>
    </row>
    <row r="30" spans="2:10" ht="15.75" customHeight="1" x14ac:dyDescent="0.3">
      <c r="B30" s="63" t="s">
        <v>20</v>
      </c>
      <c r="C30" s="12">
        <v>755</v>
      </c>
      <c r="D30" s="12">
        <f>'Cash Flows'!L26+'Cash Flows'!L28+'Cash Flows'!L29</f>
        <v>-11122.580000000014</v>
      </c>
      <c r="E30" s="12">
        <f>'Cash Flows'!Q26+'Cash Flows'!Q28</f>
        <v>113296.96000000022</v>
      </c>
      <c r="F30" s="58">
        <f>(('Cash Flows'!R26*4)-('Cash Flows'!R28*4))</f>
        <v>261978.92000000004</v>
      </c>
      <c r="G30" s="12">
        <f>F30*0.98</f>
        <v>256739.34160000004</v>
      </c>
      <c r="H30" s="59"/>
    </row>
    <row r="31" spans="2:10" ht="15.75" customHeight="1" x14ac:dyDescent="0.3">
      <c r="B31" s="23"/>
      <c r="D31" s="1"/>
      <c r="F31" s="37"/>
    </row>
    <row r="32" spans="2:10" ht="15.75" customHeight="1" x14ac:dyDescent="0.3">
      <c r="B32" s="24" t="s">
        <v>21</v>
      </c>
      <c r="C32" s="64"/>
      <c r="D32" s="65"/>
      <c r="E32" s="64"/>
      <c r="F32" s="66"/>
      <c r="G32" s="67"/>
      <c r="H32" s="38"/>
    </row>
    <row r="33" spans="2:10" ht="15.75" customHeight="1" x14ac:dyDescent="0.3">
      <c r="B33" s="27" t="s">
        <v>31</v>
      </c>
      <c r="C33" s="68">
        <v>0.18578236749816449</v>
      </c>
      <c r="D33" s="68">
        <f>'Output 3'!D25/'Output 3'!D23</f>
        <v>0.20858446828665406</v>
      </c>
      <c r="E33" s="68">
        <f>'Output 3'!E25/'Output 3'!E23</f>
        <v>0.17816647187855345</v>
      </c>
      <c r="F33" s="68">
        <f>'Output 3'!F25/'Output 3'!F23</f>
        <v>0.21004917844176493</v>
      </c>
      <c r="G33" s="68">
        <f>'Output 3'!G25/'Output 3'!G23</f>
        <v>0.20091660546603607</v>
      </c>
      <c r="H33" s="38"/>
    </row>
    <row r="34" spans="2:10" ht="15.75" customHeight="1" x14ac:dyDescent="0.3">
      <c r="B34" s="27" t="s">
        <v>33</v>
      </c>
      <c r="C34" s="68">
        <v>0.12385491166544299</v>
      </c>
      <c r="D34" s="68">
        <f>D27/D23</f>
        <v>0.17227607499049424</v>
      </c>
      <c r="E34" s="68">
        <f t="shared" ref="E34:G34" si="4">E27/E23</f>
        <v>0.14207957792921522</v>
      </c>
      <c r="F34" s="68">
        <f t="shared" si="4"/>
        <v>0.17857142489563502</v>
      </c>
      <c r="G34" s="68">
        <f t="shared" si="4"/>
        <v>0.16770185990198772</v>
      </c>
      <c r="H34" s="38"/>
    </row>
    <row r="35" spans="2:10" ht="15.75" customHeight="1" x14ac:dyDescent="0.3">
      <c r="B35" s="27" t="s">
        <v>75</v>
      </c>
      <c r="C35" s="69" t="s">
        <v>76</v>
      </c>
      <c r="D35" s="70">
        <f>'Balance Sheet'!J27/'Output 3'!D25</f>
        <v>2.3719510295327688</v>
      </c>
      <c r="E35" s="70">
        <f>'Balance Sheet'!K27/'Output 3'!E25</f>
        <v>2.5803296779186167</v>
      </c>
      <c r="F35" s="70">
        <f>'Balance Sheet'!L27/'Output 3'!F25</f>
        <v>2.0756521401817754</v>
      </c>
      <c r="G35" s="70">
        <f>'Balance Sheet'!M27/'Output 3'!G25</f>
        <v>1.8411940307846957</v>
      </c>
      <c r="H35" s="38"/>
      <c r="J35" s="32" t="s">
        <v>77</v>
      </c>
    </row>
    <row r="36" spans="2:10" ht="15.75" customHeight="1" x14ac:dyDescent="0.3">
      <c r="B36" s="29" t="s">
        <v>34</v>
      </c>
      <c r="C36" s="30">
        <v>2.5145142424751077E-2</v>
      </c>
      <c r="D36" s="30">
        <f>'Output 1'!C31+'Output 1'!D31+'Output 1'!E31+'Output 1'!F31</f>
        <v>-0.34910336308620571</v>
      </c>
      <c r="E36" s="71">
        <f>'Output 1'!G31+'Output 1'!H31+'Output 1'!I31+'Output 1'!J31</f>
        <v>3.5814858992040728</v>
      </c>
      <c r="F36" s="72">
        <f>'Output 1'!K31*4</f>
        <v>7.1756896845167182</v>
      </c>
      <c r="G36" s="73">
        <f>F36*0.98</f>
        <v>7.0321758908263838</v>
      </c>
      <c r="H36" s="38"/>
    </row>
  </sheetData>
  <hyperlinks>
    <hyperlink ref="J22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P26"/>
  <sheetViews>
    <sheetView zoomScale="85" zoomScaleNormal="85" workbookViewId="0">
      <selection activeCell="O25" sqref="O25"/>
    </sheetView>
  </sheetViews>
  <sheetFormatPr defaultColWidth="14.44140625" defaultRowHeight="15" customHeight="1" x14ac:dyDescent="0.3"/>
  <cols>
    <col min="1" max="1" width="4.44140625" customWidth="1"/>
    <col min="2" max="2" width="4.33203125" customWidth="1"/>
    <col min="3" max="3" width="9.109375" customWidth="1"/>
    <col min="4" max="4" width="27.88671875" customWidth="1"/>
    <col min="5" max="5" width="2" customWidth="1"/>
    <col min="6" max="6" width="13" customWidth="1"/>
    <col min="7" max="7" width="13.6640625" customWidth="1"/>
    <col min="8" max="9" width="13.33203125" customWidth="1"/>
    <col min="10" max="10" width="17.44140625" customWidth="1"/>
    <col min="11" max="14" width="13" customWidth="1"/>
    <col min="15" max="16" width="17.44140625" customWidth="1"/>
    <col min="17" max="26" width="9.109375" customWidth="1"/>
  </cols>
  <sheetData>
    <row r="1" spans="1:16" ht="12.75" customHeight="1" x14ac:dyDescent="0.3">
      <c r="A1" s="2" t="s">
        <v>1</v>
      </c>
      <c r="B1" s="74"/>
      <c r="C1" s="74"/>
      <c r="D1" s="74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12.75" customHeight="1" x14ac:dyDescent="0.3">
      <c r="A2" s="2" t="s">
        <v>78</v>
      </c>
      <c r="B2" s="74"/>
      <c r="C2" s="74"/>
      <c r="D2" s="74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1:16" ht="12.75" customHeight="1" x14ac:dyDescent="0.3">
      <c r="A3" s="75" t="s">
        <v>79</v>
      </c>
      <c r="B3" s="74"/>
      <c r="C3" s="74"/>
      <c r="D3" s="74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</row>
    <row r="4" spans="1:16" ht="12.75" customHeight="1" x14ac:dyDescent="0.3">
      <c r="A4" s="75" t="s">
        <v>80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</row>
    <row r="5" spans="1:16" ht="12.75" customHeight="1" x14ac:dyDescent="0.3">
      <c r="A5" s="75"/>
      <c r="B5" s="75"/>
      <c r="C5" s="75"/>
      <c r="D5" s="75"/>
      <c r="E5" s="76"/>
      <c r="F5" s="165" t="s">
        <v>81</v>
      </c>
      <c r="G5" s="166"/>
      <c r="H5" s="166"/>
      <c r="I5" s="166"/>
      <c r="J5" s="78" t="s">
        <v>82</v>
      </c>
      <c r="K5" s="165" t="s">
        <v>81</v>
      </c>
      <c r="L5" s="166"/>
      <c r="M5" s="166"/>
      <c r="N5" s="166"/>
      <c r="O5" s="78" t="s">
        <v>82</v>
      </c>
      <c r="P5" s="77" t="s">
        <v>81</v>
      </c>
    </row>
    <row r="6" spans="1:16" ht="12.75" customHeight="1" x14ac:dyDescent="0.3">
      <c r="A6" s="75"/>
      <c r="B6" s="75"/>
      <c r="C6" s="75"/>
      <c r="D6" s="75"/>
      <c r="E6" s="79"/>
      <c r="F6" s="79" t="s">
        <v>83</v>
      </c>
      <c r="G6" s="79" t="s">
        <v>84</v>
      </c>
      <c r="H6" s="79" t="s">
        <v>85</v>
      </c>
      <c r="I6" s="79" t="s">
        <v>86</v>
      </c>
      <c r="J6" s="80" t="s">
        <v>86</v>
      </c>
      <c r="K6" s="79" t="s">
        <v>83</v>
      </c>
      <c r="L6" s="79" t="s">
        <v>84</v>
      </c>
      <c r="M6" s="79" t="s">
        <v>85</v>
      </c>
      <c r="N6" s="79" t="s">
        <v>86</v>
      </c>
      <c r="O6" s="80" t="s">
        <v>86</v>
      </c>
      <c r="P6" s="79" t="s">
        <v>83</v>
      </c>
    </row>
    <row r="7" spans="1:16" ht="12.75" customHeight="1" x14ac:dyDescent="0.3">
      <c r="A7" s="75"/>
      <c r="B7" s="75"/>
      <c r="C7" s="75"/>
      <c r="D7" s="75"/>
      <c r="E7" s="81"/>
      <c r="F7" s="81">
        <v>2021</v>
      </c>
      <c r="G7" s="81">
        <v>2021</v>
      </c>
      <c r="H7" s="81">
        <v>2021</v>
      </c>
      <c r="I7" s="81">
        <v>2021</v>
      </c>
      <c r="J7" s="82">
        <v>2021</v>
      </c>
      <c r="K7" s="81">
        <v>2022</v>
      </c>
      <c r="L7" s="81">
        <v>2022</v>
      </c>
      <c r="M7" s="81">
        <v>2022</v>
      </c>
      <c r="N7" s="81">
        <v>2022</v>
      </c>
      <c r="O7" s="82">
        <v>2022</v>
      </c>
      <c r="P7" s="81">
        <v>2023</v>
      </c>
    </row>
    <row r="8" spans="1:16" ht="12.75" customHeight="1" x14ac:dyDescent="0.3">
      <c r="A8" s="75"/>
      <c r="B8" s="75"/>
      <c r="C8" s="75"/>
      <c r="D8" s="75"/>
      <c r="E8" s="83"/>
      <c r="F8" s="75"/>
      <c r="G8" s="75"/>
      <c r="H8" s="75"/>
      <c r="I8" s="75"/>
      <c r="J8" s="84"/>
      <c r="K8" s="75"/>
      <c r="L8" s="75"/>
      <c r="M8" s="75"/>
      <c r="N8" s="75"/>
      <c r="O8" s="84"/>
      <c r="P8" s="75"/>
    </row>
    <row r="9" spans="1:16" ht="12.75" customHeight="1" x14ac:dyDescent="0.3">
      <c r="A9" s="75" t="s">
        <v>15</v>
      </c>
      <c r="B9" s="75"/>
      <c r="C9" s="75"/>
      <c r="D9" s="75"/>
      <c r="E9" s="85"/>
      <c r="F9" s="86">
        <v>501429.74000000005</v>
      </c>
      <c r="G9" s="86">
        <v>513924.39000000007</v>
      </c>
      <c r="H9" s="86">
        <v>523842.69000000006</v>
      </c>
      <c r="I9" s="86">
        <v>539652.26</v>
      </c>
      <c r="J9" s="87">
        <f t="shared" ref="J9:J14" si="0">SUM(F9:I9)</f>
        <v>2078849.0800000003</v>
      </c>
      <c r="K9" s="86">
        <v>550743.69000000006</v>
      </c>
      <c r="L9" s="86">
        <v>557909.87</v>
      </c>
      <c r="M9" s="86">
        <v>554791.2300000001</v>
      </c>
      <c r="N9" s="86">
        <v>549643.71000000008</v>
      </c>
      <c r="O9" s="87">
        <f t="shared" ref="O9:O14" si="1">SUM(K9:N9)</f>
        <v>2213088.5</v>
      </c>
      <c r="P9" s="86">
        <v>571305.21000000008</v>
      </c>
    </row>
    <row r="10" spans="1:16" ht="12.75" customHeight="1" x14ac:dyDescent="0.3">
      <c r="A10" s="75"/>
      <c r="B10" s="75" t="s">
        <v>87</v>
      </c>
      <c r="C10" s="75"/>
      <c r="D10" s="75"/>
      <c r="E10" s="75"/>
      <c r="F10" s="88">
        <v>270795.77</v>
      </c>
      <c r="G10" s="88">
        <v>281260.56000000006</v>
      </c>
      <c r="H10" s="88">
        <v>294461.23000000004</v>
      </c>
      <c r="I10" s="88">
        <v>366770.25000000006</v>
      </c>
      <c r="J10" s="89">
        <f t="shared" si="0"/>
        <v>1213287.81</v>
      </c>
      <c r="K10" s="88">
        <v>299929.35000000003</v>
      </c>
      <c r="L10" s="88">
        <v>328352.85000000003</v>
      </c>
      <c r="M10" s="88">
        <v>335206.55000000005</v>
      </c>
      <c r="N10" s="88">
        <v>378291.20000000001</v>
      </c>
      <c r="O10" s="89">
        <f t="shared" si="1"/>
        <v>1341779.9500000002</v>
      </c>
      <c r="P10" s="88">
        <v>336253.75000000006</v>
      </c>
    </row>
    <row r="11" spans="1:16" ht="12.75" customHeight="1" x14ac:dyDescent="0.3">
      <c r="A11" s="75"/>
      <c r="B11" s="75" t="s">
        <v>88</v>
      </c>
      <c r="C11" s="75"/>
      <c r="D11" s="75"/>
      <c r="E11" s="90"/>
      <c r="F11" s="88">
        <v>35875.840000000004</v>
      </c>
      <c r="G11" s="88">
        <v>42278.11</v>
      </c>
      <c r="H11" s="88">
        <v>44516.360000000008</v>
      </c>
      <c r="I11" s="88">
        <v>55489.91</v>
      </c>
      <c r="J11" s="89">
        <f t="shared" si="0"/>
        <v>178160.22000000003</v>
      </c>
      <c r="K11" s="88">
        <v>38918.460000000006</v>
      </c>
      <c r="L11" s="88">
        <v>40247.200000000004</v>
      </c>
      <c r="M11" s="88">
        <v>39756.780000000006</v>
      </c>
      <c r="N11" s="88">
        <v>58212.700000000004</v>
      </c>
      <c r="O11" s="89">
        <f>SUM(K11:N11)</f>
        <v>177135.14</v>
      </c>
      <c r="P11" s="88">
        <v>38875.340000000004</v>
      </c>
    </row>
    <row r="12" spans="1:16" ht="12.75" customHeight="1" x14ac:dyDescent="0.3">
      <c r="A12" s="75"/>
      <c r="B12" s="75" t="s">
        <v>89</v>
      </c>
      <c r="C12" s="75"/>
      <c r="D12" s="75"/>
      <c r="E12" s="90"/>
      <c r="F12" s="88">
        <v>36764.490000000005</v>
      </c>
      <c r="G12" s="88">
        <v>37612.47</v>
      </c>
      <c r="H12" s="88">
        <v>39472.090000000004</v>
      </c>
      <c r="I12" s="88">
        <v>45322.9</v>
      </c>
      <c r="J12" s="89">
        <f t="shared" si="0"/>
        <v>159171.95000000001</v>
      </c>
      <c r="K12" s="88">
        <v>46027.100000000006</v>
      </c>
      <c r="L12" s="88">
        <v>50179.22</v>
      </c>
      <c r="M12" s="88">
        <v>46391.73</v>
      </c>
      <c r="N12" s="88">
        <v>47174.820000000007</v>
      </c>
      <c r="O12" s="89">
        <f>SUM(K12:N12)</f>
        <v>189772.87000000002</v>
      </c>
      <c r="P12" s="88">
        <v>48109.250000000007</v>
      </c>
    </row>
    <row r="13" spans="1:16" ht="12.75" customHeight="1" x14ac:dyDescent="0.3">
      <c r="A13" s="75"/>
      <c r="B13" s="75" t="s">
        <v>90</v>
      </c>
      <c r="C13" s="75"/>
      <c r="D13" s="75"/>
      <c r="E13" s="90"/>
      <c r="F13" s="91">
        <v>20803.72</v>
      </c>
      <c r="G13" s="91">
        <v>23439.15</v>
      </c>
      <c r="H13" s="91">
        <v>22525.300000000003</v>
      </c>
      <c r="I13" s="88">
        <v>27845.300000000003</v>
      </c>
      <c r="J13" s="89">
        <f t="shared" si="0"/>
        <v>94613.470000000016</v>
      </c>
      <c r="K13" s="91">
        <v>27854.960000000003</v>
      </c>
      <c r="L13" s="91">
        <v>28650.790000000005</v>
      </c>
      <c r="M13" s="91">
        <v>26124.910000000003</v>
      </c>
      <c r="N13" s="88">
        <v>27471.710000000003</v>
      </c>
      <c r="O13" s="89">
        <f t="shared" si="1"/>
        <v>110102.37000000001</v>
      </c>
      <c r="P13" s="88">
        <v>28064.680000000004</v>
      </c>
    </row>
    <row r="14" spans="1:16" ht="12.75" customHeight="1" x14ac:dyDescent="0.3">
      <c r="A14" s="75" t="s">
        <v>91</v>
      </c>
      <c r="B14" s="75"/>
      <c r="C14" s="75"/>
      <c r="D14" s="75"/>
      <c r="E14" s="90"/>
      <c r="F14" s="92">
        <f t="shared" ref="F14:I14" si="2">F9-SUM(F10:F13)</f>
        <v>137189.91999999998</v>
      </c>
      <c r="G14" s="92">
        <f t="shared" si="2"/>
        <v>129334.10000000003</v>
      </c>
      <c r="H14" s="92">
        <f t="shared" si="2"/>
        <v>122867.71000000002</v>
      </c>
      <c r="I14" s="92">
        <f t="shared" si="2"/>
        <v>44223.899999999965</v>
      </c>
      <c r="J14" s="93">
        <f t="shared" si="0"/>
        <v>433615.63</v>
      </c>
      <c r="K14" s="92">
        <f t="shared" ref="K14:P14" si="3">K9-SUM(K10:K13)</f>
        <v>138013.82</v>
      </c>
      <c r="L14" s="92">
        <f t="shared" si="3"/>
        <v>110479.81</v>
      </c>
      <c r="M14" s="92">
        <f t="shared" si="3"/>
        <v>107311.26000000001</v>
      </c>
      <c r="N14" s="92">
        <f t="shared" si="3"/>
        <v>38493.280000000028</v>
      </c>
      <c r="O14" s="93">
        <f t="shared" si="1"/>
        <v>394298.17000000004</v>
      </c>
      <c r="P14" s="92">
        <f t="shared" si="3"/>
        <v>120002.19</v>
      </c>
    </row>
    <row r="15" spans="1:16" ht="12.75" customHeight="1" x14ac:dyDescent="0.3">
      <c r="A15" s="75" t="s">
        <v>92</v>
      </c>
      <c r="B15" s="75"/>
      <c r="C15" s="75"/>
      <c r="D15" s="75"/>
      <c r="E15" s="75"/>
      <c r="F15" s="90"/>
      <c r="G15" s="90"/>
      <c r="H15" s="90"/>
      <c r="I15" s="90"/>
      <c r="J15" s="89"/>
      <c r="K15" s="90"/>
      <c r="L15" s="90"/>
      <c r="M15" s="90"/>
      <c r="N15" s="90"/>
      <c r="O15" s="89"/>
      <c r="P15" s="90"/>
    </row>
    <row r="16" spans="1:16" ht="12.75" customHeight="1" x14ac:dyDescent="0.3">
      <c r="A16" s="75"/>
      <c r="B16" s="75" t="s">
        <v>93</v>
      </c>
      <c r="C16" s="75"/>
      <c r="D16" s="75"/>
      <c r="E16" s="75"/>
      <c r="F16" s="94">
        <v>-13610.800000000001</v>
      </c>
      <c r="G16" s="94">
        <v>-13392.54</v>
      </c>
      <c r="H16" s="94">
        <v>-13330.03</v>
      </c>
      <c r="I16" s="94">
        <v>-13260.03</v>
      </c>
      <c r="J16" s="89">
        <f t="shared" ref="J16:J20" si="4">SUM(F16:I16)</f>
        <v>-53593.4</v>
      </c>
      <c r="K16" s="94">
        <v>-13130.53</v>
      </c>
      <c r="L16" s="94">
        <v>-12281.85</v>
      </c>
      <c r="M16" s="94">
        <v>-12080.250000000002</v>
      </c>
      <c r="N16" s="94">
        <v>-11942.210000000001</v>
      </c>
      <c r="O16" s="89">
        <f t="shared" ref="O16:O17" si="5">SUM(K16:N16)</f>
        <v>-49434.840000000004</v>
      </c>
      <c r="P16" s="94">
        <v>-12196.730000000001</v>
      </c>
    </row>
    <row r="17" spans="1:16" ht="12.75" customHeight="1" x14ac:dyDescent="0.3">
      <c r="A17" s="75"/>
      <c r="B17" s="75" t="s">
        <v>94</v>
      </c>
      <c r="C17" s="75"/>
      <c r="D17" s="75"/>
      <c r="E17" s="90"/>
      <c r="F17" s="94">
        <v>18836.02</v>
      </c>
      <c r="G17" s="94">
        <v>-4376.3300000000008</v>
      </c>
      <c r="H17" s="94">
        <v>6729.4500000000007</v>
      </c>
      <c r="I17" s="94">
        <v>7595.8400000000011</v>
      </c>
      <c r="J17" s="89">
        <f t="shared" si="4"/>
        <v>28784.98</v>
      </c>
      <c r="K17" s="94">
        <v>13695.150000000001</v>
      </c>
      <c r="L17" s="94">
        <v>15415.820000000002</v>
      </c>
      <c r="M17" s="94">
        <v>18298.280000000002</v>
      </c>
      <c r="N17" s="94">
        <v>-23797.550000000003</v>
      </c>
      <c r="O17" s="89">
        <f t="shared" si="5"/>
        <v>23611.699999999997</v>
      </c>
      <c r="P17" s="94">
        <v>-4984.2800000000007</v>
      </c>
    </row>
    <row r="18" spans="1:16" ht="12.75" customHeight="1" x14ac:dyDescent="0.3">
      <c r="A18" s="75" t="s">
        <v>95</v>
      </c>
      <c r="B18" s="75"/>
      <c r="C18" s="75"/>
      <c r="D18" s="75"/>
      <c r="E18" s="90"/>
      <c r="F18" s="92">
        <f t="shared" ref="F18:I18" si="6">SUM(F14:F17)</f>
        <v>142415.13999999998</v>
      </c>
      <c r="G18" s="92">
        <f t="shared" si="6"/>
        <v>111565.23000000003</v>
      </c>
      <c r="H18" s="92">
        <f t="shared" si="6"/>
        <v>116267.13000000002</v>
      </c>
      <c r="I18" s="92">
        <f t="shared" si="6"/>
        <v>38559.70999999997</v>
      </c>
      <c r="J18" s="93">
        <f t="shared" si="4"/>
        <v>408807.20999999996</v>
      </c>
      <c r="K18" s="92">
        <f t="shared" ref="K18:P18" si="7">SUM(K14:K17)</f>
        <v>138578.44</v>
      </c>
      <c r="L18" s="92">
        <f t="shared" si="7"/>
        <v>113613.78</v>
      </c>
      <c r="M18" s="92">
        <f t="shared" si="7"/>
        <v>113529.29000000001</v>
      </c>
      <c r="N18" s="92">
        <f t="shared" si="7"/>
        <v>2753.5200000000259</v>
      </c>
      <c r="O18" s="93">
        <f>SUM(K18:N18)</f>
        <v>368475.03</v>
      </c>
      <c r="P18" s="92">
        <f t="shared" si="7"/>
        <v>102821.18000000001</v>
      </c>
    </row>
    <row r="19" spans="1:16" ht="12.75" customHeight="1" x14ac:dyDescent="0.3">
      <c r="A19" s="75" t="s">
        <v>96</v>
      </c>
      <c r="B19" s="75"/>
      <c r="C19" s="75"/>
      <c r="D19" s="75"/>
      <c r="E19" s="90"/>
      <c r="F19" s="95">
        <v>-22945.090000000004</v>
      </c>
      <c r="G19" s="95">
        <v>-16854.320000000003</v>
      </c>
      <c r="H19" s="95">
        <v>-14832.160000000002</v>
      </c>
      <c r="I19" s="94">
        <v>3960.32</v>
      </c>
      <c r="J19" s="89">
        <f t="shared" si="4"/>
        <v>-50671.250000000007</v>
      </c>
      <c r="K19" s="95">
        <v>-26757.15</v>
      </c>
      <c r="L19" s="95">
        <v>-12747.210000000001</v>
      </c>
      <c r="M19" s="95">
        <v>-15652.350000000002</v>
      </c>
      <c r="N19" s="94">
        <v>1116.3600000000001</v>
      </c>
      <c r="O19" s="89">
        <f>SUM(K19:N19)</f>
        <v>-54040.350000000006</v>
      </c>
      <c r="P19" s="94">
        <v>-802.39460000000008</v>
      </c>
    </row>
    <row r="20" spans="1:16" ht="12.75" customHeight="1" x14ac:dyDescent="0.3">
      <c r="A20" s="75" t="s">
        <v>97</v>
      </c>
      <c r="B20" s="75"/>
      <c r="C20" s="75"/>
      <c r="D20" s="75"/>
      <c r="E20" s="85"/>
      <c r="F20" s="96">
        <f t="shared" ref="F20:I20" si="8">F18+F19</f>
        <v>119470.04999999999</v>
      </c>
      <c r="G20" s="96">
        <f t="shared" si="8"/>
        <v>94710.910000000018</v>
      </c>
      <c r="H20" s="96">
        <f t="shared" si="8"/>
        <v>101434.97000000002</v>
      </c>
      <c r="I20" s="96">
        <f t="shared" si="8"/>
        <v>42520.02999999997</v>
      </c>
      <c r="J20" s="97">
        <f t="shared" si="4"/>
        <v>358135.96</v>
      </c>
      <c r="K20" s="96">
        <f t="shared" ref="K20:P20" si="9">K18+K19</f>
        <v>111821.29000000001</v>
      </c>
      <c r="L20" s="96">
        <f t="shared" si="9"/>
        <v>100866.56999999999</v>
      </c>
      <c r="M20" s="96">
        <f t="shared" si="9"/>
        <v>97876.94</v>
      </c>
      <c r="N20" s="96">
        <f t="shared" si="9"/>
        <v>3869.880000000026</v>
      </c>
      <c r="O20" s="97">
        <f t="shared" ref="O20" si="10">SUM(K20:N20)</f>
        <v>314434.68</v>
      </c>
      <c r="P20" s="96">
        <f t="shared" si="9"/>
        <v>102018.78540000001</v>
      </c>
    </row>
    <row r="21" spans="1:16" ht="12.75" customHeight="1" x14ac:dyDescent="0.3">
      <c r="A21" s="75" t="s">
        <v>98</v>
      </c>
      <c r="B21" s="75"/>
      <c r="C21" s="75"/>
      <c r="D21" s="75"/>
      <c r="E21" s="75"/>
      <c r="F21" s="98"/>
      <c r="G21" s="98"/>
      <c r="H21" s="98"/>
      <c r="I21" s="98"/>
      <c r="J21" s="99"/>
      <c r="K21" s="98"/>
      <c r="L21" s="98"/>
      <c r="M21" s="98"/>
      <c r="N21" s="98"/>
      <c r="O21" s="99"/>
      <c r="P21" s="98"/>
    </row>
    <row r="22" spans="1:16" ht="12.75" customHeight="1" x14ac:dyDescent="0.3">
      <c r="A22" s="75"/>
      <c r="B22" s="75" t="s">
        <v>99</v>
      </c>
      <c r="C22" s="75"/>
      <c r="D22" s="100"/>
      <c r="E22" s="101"/>
      <c r="F22" s="100">
        <f t="shared" ref="F22:I22" si="11">F20/F25</f>
        <v>3.850682724762196</v>
      </c>
      <c r="G22" s="100">
        <f t="shared" si="11"/>
        <v>3.053109606258702</v>
      </c>
      <c r="H22" s="100">
        <f t="shared" si="11"/>
        <v>3.2726806661577585</v>
      </c>
      <c r="I22" s="100">
        <f t="shared" si="11"/>
        <v>1.3697430670497122</v>
      </c>
      <c r="J22" s="102">
        <f t="shared" ref="J22:J23" si="12">SUM(F22:I22)</f>
        <v>11.546216064228368</v>
      </c>
      <c r="K22" s="100">
        <f t="shared" ref="K22:N22" si="13">K20/K25</f>
        <v>3.5966709145190996</v>
      </c>
      <c r="L22" s="100">
        <f t="shared" si="13"/>
        <v>3.241318885992122</v>
      </c>
      <c r="M22" s="100">
        <f t="shared" si="13"/>
        <v>3.1429785244493993</v>
      </c>
      <c r="N22" s="100">
        <f t="shared" si="13"/>
        <v>0.12417789757412481</v>
      </c>
      <c r="O22" s="102">
        <f t="shared" ref="O22:O23" si="14">SUM(K22:N22)</f>
        <v>10.105146222534746</v>
      </c>
      <c r="P22" s="100">
        <f>P20/P25</f>
        <v>3.2732866024022784</v>
      </c>
    </row>
    <row r="23" spans="1:16" ht="12.75" customHeight="1" x14ac:dyDescent="0.3">
      <c r="A23" s="75"/>
      <c r="B23" s="75" t="s">
        <v>100</v>
      </c>
      <c r="C23" s="75"/>
      <c r="D23" s="75"/>
      <c r="E23" s="101"/>
      <c r="F23" s="100">
        <f t="shared" ref="F23:I23" si="15">F20/F26</f>
        <v>3.745745005388013</v>
      </c>
      <c r="G23" s="100">
        <f t="shared" si="15"/>
        <v>2.9728121038211146</v>
      </c>
      <c r="H23" s="100">
        <f t="shared" si="15"/>
        <v>3.1852964774413368</v>
      </c>
      <c r="I23" s="100">
        <f t="shared" si="15"/>
        <v>1.3326802619598712</v>
      </c>
      <c r="J23" s="102">
        <f t="shared" si="12"/>
        <v>11.236533848610335</v>
      </c>
      <c r="K23" s="100">
        <f t="shared" ref="K23:N23" si="16">K20/K26</f>
        <v>3.5264976246401636</v>
      </c>
      <c r="L23" s="100">
        <f t="shared" si="16"/>
        <v>3.2009112133443214</v>
      </c>
      <c r="M23" s="100">
        <f t="shared" si="16"/>
        <v>3.104830973655694</v>
      </c>
      <c r="N23" s="100">
        <f t="shared" si="16"/>
        <v>0.12240478778874826</v>
      </c>
      <c r="O23" s="102">
        <f t="shared" si="14"/>
        <v>9.9546445994289261</v>
      </c>
      <c r="P23" s="100">
        <f>P20/P26</f>
        <v>3.2213891608847591</v>
      </c>
    </row>
    <row r="24" spans="1:16" ht="12.75" customHeight="1" x14ac:dyDescent="0.3">
      <c r="A24" s="75" t="s">
        <v>101</v>
      </c>
      <c r="B24" s="75"/>
      <c r="C24" s="75"/>
      <c r="D24" s="75"/>
      <c r="E24" s="75"/>
      <c r="F24" s="103"/>
      <c r="G24" s="103"/>
      <c r="H24" s="103"/>
      <c r="I24" s="103"/>
      <c r="J24" s="84"/>
      <c r="K24" s="103"/>
      <c r="L24" s="103"/>
      <c r="M24" s="103"/>
      <c r="N24" s="103"/>
      <c r="O24" s="84"/>
      <c r="P24" s="103"/>
    </row>
    <row r="25" spans="1:16" ht="12.75" customHeight="1" x14ac:dyDescent="0.3">
      <c r="A25" s="75"/>
      <c r="B25" s="75" t="s">
        <v>99</v>
      </c>
      <c r="C25" s="75"/>
      <c r="D25" s="75"/>
      <c r="E25" s="103"/>
      <c r="F25" s="104">
        <v>31025.680000000004</v>
      </c>
      <c r="G25" s="104">
        <v>31021.130000000005</v>
      </c>
      <c r="H25" s="104">
        <v>30994.460000000003</v>
      </c>
      <c r="I25" s="104">
        <v>31042.340000000004</v>
      </c>
      <c r="J25" s="105">
        <f t="shared" ref="J25:J26" si="17">I25</f>
        <v>31042.340000000004</v>
      </c>
      <c r="K25" s="104">
        <v>31090.22</v>
      </c>
      <c r="L25" s="104">
        <v>31118.99</v>
      </c>
      <c r="M25" s="104">
        <v>31141.460000000003</v>
      </c>
      <c r="N25" s="104">
        <v>31164.000000000004</v>
      </c>
      <c r="O25" s="105">
        <f t="shared" ref="O25:O26" si="18">N25</f>
        <v>31164.000000000004</v>
      </c>
      <c r="P25" s="104">
        <v>31167.08</v>
      </c>
    </row>
    <row r="26" spans="1:16" ht="12.75" customHeight="1" x14ac:dyDescent="0.3">
      <c r="A26" s="75"/>
      <c r="B26" s="75" t="s">
        <v>100</v>
      </c>
      <c r="C26" s="75"/>
      <c r="D26" s="75"/>
      <c r="E26" s="103"/>
      <c r="F26" s="104">
        <v>31894.870000000003</v>
      </c>
      <c r="G26" s="104">
        <v>31859.030000000002</v>
      </c>
      <c r="H26" s="104">
        <v>31844.750000000004</v>
      </c>
      <c r="I26" s="104">
        <v>31905.65</v>
      </c>
      <c r="J26" s="105">
        <f t="shared" si="17"/>
        <v>31905.65</v>
      </c>
      <c r="K26" s="104">
        <v>31708.880000000005</v>
      </c>
      <c r="L26" s="104">
        <v>31511.83</v>
      </c>
      <c r="M26" s="104">
        <v>31524.080000000002</v>
      </c>
      <c r="N26" s="104">
        <v>31615.430000000004</v>
      </c>
      <c r="O26" s="105">
        <f t="shared" si="18"/>
        <v>31615.430000000004</v>
      </c>
      <c r="P26" s="104">
        <v>31669.190000000002</v>
      </c>
    </row>
  </sheetData>
  <mergeCells count="2">
    <mergeCell ref="F5:I5"/>
    <mergeCell ref="K5:N5"/>
  </mergeCells>
  <pageMargins left="0.7" right="0.7" top="0.75" bottom="0.75" header="0" footer="0"/>
  <pageSetup orientation="landscape"/>
  <ignoredErrors>
    <ignoredError sqref="J18 J20 J22:J23 O22:O2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R36"/>
  <sheetViews>
    <sheetView topLeftCell="A6" workbookViewId="0"/>
  </sheetViews>
  <sheetFormatPr defaultColWidth="14.44140625" defaultRowHeight="15" customHeight="1" x14ac:dyDescent="0.3"/>
  <cols>
    <col min="1" max="1" width="4.6640625" customWidth="1"/>
    <col min="2" max="5" width="1.44140625" customWidth="1"/>
    <col min="6" max="6" width="38.88671875" customWidth="1"/>
    <col min="7" max="9" width="14" customWidth="1"/>
    <col min="10" max="10" width="14.109375" customWidth="1"/>
    <col min="11" max="13" width="14" customWidth="1"/>
    <col min="14" max="14" width="14.109375" customWidth="1"/>
    <col min="15" max="15" width="14" customWidth="1"/>
    <col min="16" max="18" width="14" hidden="1" customWidth="1"/>
    <col min="19" max="26" width="9.109375" customWidth="1"/>
  </cols>
  <sheetData>
    <row r="1" spans="1:18" ht="12.75" customHeight="1" x14ac:dyDescent="0.3">
      <c r="A1" s="2" t="s">
        <v>1</v>
      </c>
      <c r="B1" s="2"/>
      <c r="C1" s="106"/>
      <c r="D1" s="106"/>
      <c r="E1" s="106"/>
      <c r="F1" s="106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</row>
    <row r="2" spans="1:18" ht="12.75" customHeight="1" x14ac:dyDescent="0.3">
      <c r="A2" s="2" t="s">
        <v>102</v>
      </c>
      <c r="B2" s="2"/>
      <c r="C2" s="106"/>
      <c r="D2" s="106"/>
      <c r="E2" s="106"/>
      <c r="F2" s="106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</row>
    <row r="3" spans="1:18" ht="12.75" customHeight="1" x14ac:dyDescent="0.3">
      <c r="A3" s="75" t="s">
        <v>79</v>
      </c>
      <c r="B3" s="75"/>
      <c r="C3" s="75"/>
      <c r="D3" s="75"/>
      <c r="E3" s="75"/>
      <c r="F3" s="75"/>
      <c r="G3" s="107"/>
      <c r="H3" s="107"/>
      <c r="I3" s="107"/>
      <c r="J3" s="75"/>
      <c r="K3" s="107"/>
      <c r="L3" s="107"/>
      <c r="M3" s="107"/>
      <c r="N3" s="75"/>
      <c r="O3" s="107"/>
      <c r="P3" s="107"/>
      <c r="Q3" s="107"/>
      <c r="R3" s="107"/>
    </row>
    <row r="4" spans="1:18" ht="12.75" customHeight="1" x14ac:dyDescent="0.3">
      <c r="A4" s="75" t="s">
        <v>103</v>
      </c>
      <c r="B4" s="75"/>
      <c r="C4" s="75"/>
      <c r="D4" s="75"/>
      <c r="E4" s="75"/>
      <c r="F4" s="75"/>
      <c r="G4" s="107"/>
      <c r="H4" s="107"/>
      <c r="I4" s="107"/>
      <c r="J4" s="75"/>
      <c r="K4" s="107"/>
      <c r="L4" s="107"/>
      <c r="M4" s="107"/>
      <c r="N4" s="75"/>
      <c r="O4" s="107"/>
      <c r="P4" s="107"/>
      <c r="Q4" s="107"/>
      <c r="R4" s="107"/>
    </row>
    <row r="5" spans="1:18" ht="12.75" customHeight="1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</row>
    <row r="6" spans="1:18" ht="12.75" customHeight="1" x14ac:dyDescent="0.3">
      <c r="A6" s="75"/>
      <c r="B6" s="75"/>
      <c r="C6" s="75"/>
      <c r="D6" s="75"/>
      <c r="E6" s="75"/>
      <c r="F6" s="75"/>
      <c r="G6" s="79" t="s">
        <v>83</v>
      </c>
      <c r="H6" s="79" t="s">
        <v>84</v>
      </c>
      <c r="I6" s="79" t="s">
        <v>85</v>
      </c>
      <c r="J6" s="108" t="s">
        <v>86</v>
      </c>
      <c r="K6" s="79" t="s">
        <v>83</v>
      </c>
      <c r="L6" s="79" t="s">
        <v>84</v>
      </c>
      <c r="M6" s="79" t="s">
        <v>85</v>
      </c>
      <c r="N6" s="108" t="s">
        <v>86</v>
      </c>
      <c r="O6" s="79" t="s">
        <v>83</v>
      </c>
      <c r="P6" s="79" t="s">
        <v>84</v>
      </c>
      <c r="Q6" s="79" t="s">
        <v>85</v>
      </c>
      <c r="R6" s="109" t="s">
        <v>86</v>
      </c>
    </row>
    <row r="7" spans="1:18" ht="12.75" customHeight="1" x14ac:dyDescent="0.3">
      <c r="A7" s="75"/>
      <c r="B7" s="75"/>
      <c r="C7" s="75"/>
      <c r="D7" s="75"/>
      <c r="E7" s="75"/>
      <c r="F7" s="75"/>
      <c r="G7" s="81">
        <v>2021</v>
      </c>
      <c r="H7" s="81">
        <v>2021</v>
      </c>
      <c r="I7" s="81">
        <v>2021</v>
      </c>
      <c r="J7" s="110">
        <v>2021</v>
      </c>
      <c r="K7" s="81">
        <v>2022</v>
      </c>
      <c r="L7" s="81">
        <v>2022</v>
      </c>
      <c r="M7" s="81">
        <v>2022</v>
      </c>
      <c r="N7" s="110">
        <v>2022</v>
      </c>
      <c r="O7" s="81">
        <v>2023</v>
      </c>
      <c r="P7" s="81">
        <v>2022</v>
      </c>
      <c r="Q7" s="81">
        <v>2022</v>
      </c>
      <c r="R7" s="82">
        <v>2022</v>
      </c>
    </row>
    <row r="8" spans="1:18" ht="12.75" customHeight="1" x14ac:dyDescent="0.3">
      <c r="A8" s="106" t="s">
        <v>104</v>
      </c>
      <c r="B8" s="106"/>
      <c r="C8" s="75"/>
      <c r="D8" s="75"/>
      <c r="E8" s="75"/>
      <c r="F8" s="75"/>
      <c r="G8" s="75"/>
      <c r="H8" s="75"/>
      <c r="I8" s="75"/>
      <c r="J8" s="111"/>
      <c r="K8" s="75"/>
      <c r="L8" s="75"/>
      <c r="M8" s="75"/>
      <c r="N8" s="111"/>
      <c r="O8" s="75"/>
      <c r="P8" s="75"/>
      <c r="Q8" s="75"/>
      <c r="R8" s="84"/>
    </row>
    <row r="9" spans="1:18" ht="12.75" customHeight="1" x14ac:dyDescent="0.3">
      <c r="A9" s="75" t="s">
        <v>105</v>
      </c>
      <c r="B9" s="75"/>
      <c r="C9" s="75"/>
      <c r="D9" s="75"/>
      <c r="E9" s="75"/>
      <c r="F9" s="75"/>
      <c r="G9" s="75"/>
      <c r="H9" s="75"/>
      <c r="I9" s="75"/>
      <c r="J9" s="111"/>
      <c r="K9" s="75"/>
      <c r="L9" s="75"/>
      <c r="M9" s="75"/>
      <c r="N9" s="111"/>
      <c r="O9" s="75"/>
      <c r="P9" s="75"/>
      <c r="Q9" s="75"/>
      <c r="R9" s="84"/>
    </row>
    <row r="10" spans="1:18" ht="12.75" customHeight="1" x14ac:dyDescent="0.3">
      <c r="A10" s="75"/>
      <c r="B10" s="75"/>
      <c r="C10" s="75" t="s">
        <v>106</v>
      </c>
      <c r="D10" s="75"/>
      <c r="E10" s="75"/>
      <c r="F10" s="75"/>
      <c r="G10" s="112">
        <v>588259.35000000009</v>
      </c>
      <c r="H10" s="112">
        <v>544427.10000000009</v>
      </c>
      <c r="I10" s="112">
        <v>526867.67000000004</v>
      </c>
      <c r="J10" s="113">
        <v>421946.28</v>
      </c>
      <c r="K10" s="112">
        <v>420626.22000000003</v>
      </c>
      <c r="L10" s="112">
        <v>407361.43000000005</v>
      </c>
      <c r="M10" s="112">
        <v>427961.31000000006</v>
      </c>
      <c r="N10" s="113">
        <v>360302.32</v>
      </c>
      <c r="O10" s="112">
        <v>470021.58</v>
      </c>
      <c r="P10" s="114">
        <v>5819449</v>
      </c>
      <c r="Q10" s="114">
        <v>6113733</v>
      </c>
      <c r="R10" s="115">
        <v>5147176</v>
      </c>
    </row>
    <row r="11" spans="1:18" ht="12.75" customHeight="1" x14ac:dyDescent="0.3">
      <c r="A11" s="75"/>
      <c r="B11" s="75"/>
      <c r="C11" s="75" t="s">
        <v>107</v>
      </c>
      <c r="D11" s="75"/>
      <c r="E11" s="75"/>
      <c r="F11" s="75"/>
      <c r="G11" s="116">
        <v>0</v>
      </c>
      <c r="H11" s="116">
        <v>0</v>
      </c>
      <c r="I11" s="116">
        <v>0</v>
      </c>
      <c r="J11" s="117">
        <v>0</v>
      </c>
      <c r="K11" s="116">
        <v>0</v>
      </c>
      <c r="L11" s="116">
        <v>0</v>
      </c>
      <c r="M11" s="116">
        <v>0</v>
      </c>
      <c r="N11" s="117">
        <v>63789.320000000007</v>
      </c>
      <c r="O11" s="116">
        <v>77903.700000000012</v>
      </c>
      <c r="P11" s="90">
        <v>0</v>
      </c>
      <c r="Q11" s="90">
        <v>0</v>
      </c>
      <c r="R11" s="118">
        <v>911276</v>
      </c>
    </row>
    <row r="12" spans="1:18" ht="12.75" customHeight="1" x14ac:dyDescent="0.3">
      <c r="A12" s="75"/>
      <c r="B12" s="75"/>
      <c r="C12" s="75" t="s">
        <v>108</v>
      </c>
      <c r="D12" s="75"/>
      <c r="E12" s="75"/>
      <c r="F12" s="75"/>
      <c r="G12" s="119">
        <v>119266.21</v>
      </c>
      <c r="H12" s="119">
        <v>127872.22000000002</v>
      </c>
      <c r="I12" s="119">
        <v>132237.42000000001</v>
      </c>
      <c r="J12" s="120">
        <v>142941.47</v>
      </c>
      <c r="K12" s="119">
        <v>146234.83000000002</v>
      </c>
      <c r="L12" s="119">
        <v>141493.03000000003</v>
      </c>
      <c r="M12" s="119">
        <v>189221.90000000002</v>
      </c>
      <c r="N12" s="120">
        <v>224561.47000000003</v>
      </c>
      <c r="O12" s="119">
        <v>185858.33000000002</v>
      </c>
      <c r="P12" s="90">
        <v>2021329</v>
      </c>
      <c r="Q12" s="90">
        <v>2703170</v>
      </c>
      <c r="R12" s="118">
        <v>3208021</v>
      </c>
    </row>
    <row r="13" spans="1:18" ht="12.75" customHeight="1" x14ac:dyDescent="0.3">
      <c r="A13" s="75"/>
      <c r="B13" s="75"/>
      <c r="C13" s="75"/>
      <c r="D13" s="75"/>
      <c r="E13" s="75"/>
      <c r="F13" s="106" t="s">
        <v>109</v>
      </c>
      <c r="G13" s="121">
        <f t="shared" ref="G13:R13" si="0">SUM(G10:G12)</f>
        <v>707525.56</v>
      </c>
      <c r="H13" s="121">
        <f t="shared" si="0"/>
        <v>672299.32000000007</v>
      </c>
      <c r="I13" s="121">
        <f t="shared" si="0"/>
        <v>659105.09000000008</v>
      </c>
      <c r="J13" s="122">
        <f t="shared" si="0"/>
        <v>564887.75</v>
      </c>
      <c r="K13" s="121">
        <f t="shared" si="0"/>
        <v>566861.05000000005</v>
      </c>
      <c r="L13" s="121">
        <f t="shared" si="0"/>
        <v>548854.46000000008</v>
      </c>
      <c r="M13" s="121">
        <f t="shared" si="0"/>
        <v>617183.21000000008</v>
      </c>
      <c r="N13" s="122">
        <f t="shared" si="0"/>
        <v>648653.1100000001</v>
      </c>
      <c r="O13" s="121">
        <f t="shared" si="0"/>
        <v>733783.6100000001</v>
      </c>
      <c r="P13" s="123">
        <f t="shared" si="0"/>
        <v>7840778</v>
      </c>
      <c r="Q13" s="123">
        <f t="shared" si="0"/>
        <v>8816903</v>
      </c>
      <c r="R13" s="124">
        <f t="shared" si="0"/>
        <v>9266473</v>
      </c>
    </row>
    <row r="14" spans="1:18" ht="12.75" customHeight="1" x14ac:dyDescent="0.3">
      <c r="A14" s="125" t="s">
        <v>110</v>
      </c>
      <c r="B14" s="75"/>
      <c r="C14" s="75"/>
      <c r="D14" s="75"/>
      <c r="E14" s="75"/>
      <c r="F14" s="75"/>
      <c r="G14" s="116">
        <v>1823079.37</v>
      </c>
      <c r="H14" s="116">
        <v>1910414.8000000003</v>
      </c>
      <c r="I14" s="116">
        <v>2028183.1500000001</v>
      </c>
      <c r="J14" s="117">
        <v>2164367.73</v>
      </c>
      <c r="K14" s="116">
        <v>2183434.4000000004</v>
      </c>
      <c r="L14" s="116">
        <v>2277323.9300000002</v>
      </c>
      <c r="M14" s="116">
        <v>2294413.8000000003</v>
      </c>
      <c r="N14" s="117">
        <v>2291569.91</v>
      </c>
      <c r="O14" s="116">
        <v>2264442.8800000004</v>
      </c>
      <c r="P14" s="90">
        <v>32533199</v>
      </c>
      <c r="Q14" s="90">
        <v>32777340</v>
      </c>
      <c r="R14" s="118">
        <v>32736713</v>
      </c>
    </row>
    <row r="15" spans="1:18" ht="12.75" customHeight="1" x14ac:dyDescent="0.3">
      <c r="A15" s="75" t="s">
        <v>111</v>
      </c>
      <c r="B15" s="75"/>
      <c r="C15" s="75"/>
      <c r="D15" s="75"/>
      <c r="E15" s="75"/>
      <c r="F15" s="75"/>
      <c r="G15" s="116">
        <v>71079.33</v>
      </c>
      <c r="H15" s="116">
        <v>77520.590000000011</v>
      </c>
      <c r="I15" s="116">
        <v>85407.98000000001</v>
      </c>
      <c r="J15" s="117">
        <v>92641.71</v>
      </c>
      <c r="K15" s="116">
        <v>96863.41</v>
      </c>
      <c r="L15" s="116">
        <v>95334.400000000009</v>
      </c>
      <c r="M15" s="116">
        <v>96092.780000000013</v>
      </c>
      <c r="N15" s="117">
        <v>97877.99</v>
      </c>
      <c r="O15" s="116">
        <v>98916.580000000016</v>
      </c>
      <c r="P15" s="90">
        <v>1361920</v>
      </c>
      <c r="Q15" s="90">
        <v>1372754</v>
      </c>
      <c r="R15" s="118">
        <v>1398257</v>
      </c>
    </row>
    <row r="16" spans="1:18" ht="12.75" customHeight="1" x14ac:dyDescent="0.3">
      <c r="A16" s="75" t="s">
        <v>112</v>
      </c>
      <c r="B16" s="75"/>
      <c r="C16" s="75"/>
      <c r="D16" s="75"/>
      <c r="E16" s="75"/>
      <c r="F16" s="75"/>
      <c r="G16" s="119">
        <v>206926.72000000003</v>
      </c>
      <c r="H16" s="119">
        <v>207733.12000000002</v>
      </c>
      <c r="I16" s="119">
        <v>219093.77000000002</v>
      </c>
      <c r="J16" s="120">
        <v>299029.22000000003</v>
      </c>
      <c r="K16" s="119">
        <v>326004.42000000004</v>
      </c>
      <c r="L16" s="119">
        <v>323052.66000000003</v>
      </c>
      <c r="M16" s="119">
        <v>321663.30000000005</v>
      </c>
      <c r="N16" s="120">
        <v>363532.75000000006</v>
      </c>
      <c r="O16" s="119">
        <v>367181.08</v>
      </c>
      <c r="P16" s="126">
        <v>4615038</v>
      </c>
      <c r="Q16" s="126">
        <v>4595190</v>
      </c>
      <c r="R16" s="118">
        <v>5193325</v>
      </c>
    </row>
    <row r="17" spans="1:18" ht="12.75" customHeight="1" x14ac:dyDescent="0.3">
      <c r="A17" s="106"/>
      <c r="B17" s="106"/>
      <c r="C17" s="106"/>
      <c r="D17" s="106"/>
      <c r="E17" s="106"/>
      <c r="F17" s="106" t="s">
        <v>113</v>
      </c>
      <c r="G17" s="127">
        <f t="shared" ref="G17:R17" si="1">SUM(G13:G16)</f>
        <v>2808610.9800000004</v>
      </c>
      <c r="H17" s="127">
        <f t="shared" si="1"/>
        <v>2867967.83</v>
      </c>
      <c r="I17" s="127">
        <f t="shared" si="1"/>
        <v>2991789.99</v>
      </c>
      <c r="J17" s="128">
        <f t="shared" si="1"/>
        <v>3120926.41</v>
      </c>
      <c r="K17" s="127">
        <f t="shared" si="1"/>
        <v>3173163.2800000003</v>
      </c>
      <c r="L17" s="127">
        <f t="shared" si="1"/>
        <v>3244565.45</v>
      </c>
      <c r="M17" s="127">
        <f t="shared" si="1"/>
        <v>3329353.09</v>
      </c>
      <c r="N17" s="128">
        <f t="shared" si="1"/>
        <v>3401633.7600000007</v>
      </c>
      <c r="O17" s="127">
        <f t="shared" si="1"/>
        <v>3464324.1500000004</v>
      </c>
      <c r="P17" s="127">
        <f t="shared" si="1"/>
        <v>46350935</v>
      </c>
      <c r="Q17" s="127">
        <f t="shared" si="1"/>
        <v>47562187</v>
      </c>
      <c r="R17" s="129">
        <f t="shared" si="1"/>
        <v>48594768</v>
      </c>
    </row>
    <row r="18" spans="1:18" ht="12.75" customHeight="1" x14ac:dyDescent="0.3">
      <c r="A18" s="106" t="s">
        <v>114</v>
      </c>
      <c r="B18" s="106"/>
      <c r="C18" s="75"/>
      <c r="D18" s="75"/>
      <c r="E18" s="75"/>
      <c r="F18" s="75"/>
      <c r="G18" s="130"/>
      <c r="H18" s="130"/>
      <c r="I18" s="130"/>
      <c r="J18" s="131"/>
      <c r="K18" s="130"/>
      <c r="L18" s="130"/>
      <c r="M18" s="130"/>
      <c r="N18" s="131"/>
      <c r="O18" s="130"/>
      <c r="P18" s="130"/>
      <c r="Q18" s="130"/>
      <c r="R18" s="132"/>
    </row>
    <row r="19" spans="1:18" ht="12.75" customHeight="1" x14ac:dyDescent="0.3">
      <c r="A19" s="75" t="s">
        <v>115</v>
      </c>
      <c r="B19" s="75"/>
      <c r="C19" s="75"/>
      <c r="D19" s="75"/>
      <c r="E19" s="75"/>
      <c r="F19" s="75"/>
      <c r="G19" s="133"/>
      <c r="H19" s="133"/>
      <c r="I19" s="133"/>
      <c r="J19" s="122"/>
      <c r="K19" s="133"/>
      <c r="L19" s="133"/>
      <c r="M19" s="133"/>
      <c r="N19" s="122"/>
      <c r="O19" s="133"/>
      <c r="P19" s="133"/>
      <c r="Q19" s="133"/>
      <c r="R19" s="118"/>
    </row>
    <row r="20" spans="1:18" ht="12.75" customHeight="1" x14ac:dyDescent="0.3">
      <c r="A20" s="75"/>
      <c r="B20" s="75"/>
      <c r="C20" s="75" t="s">
        <v>116</v>
      </c>
      <c r="D20" s="75"/>
      <c r="E20" s="75"/>
      <c r="F20" s="75"/>
      <c r="G20" s="112">
        <v>300856.99000000005</v>
      </c>
      <c r="H20" s="112">
        <v>293851.18000000005</v>
      </c>
      <c r="I20" s="112">
        <v>287767.34000000003</v>
      </c>
      <c r="J20" s="113">
        <v>300507.69</v>
      </c>
      <c r="K20" s="112">
        <v>284640.23000000004</v>
      </c>
      <c r="L20" s="112">
        <v>292247.62000000005</v>
      </c>
      <c r="M20" s="112">
        <v>295812.30000000005</v>
      </c>
      <c r="N20" s="113">
        <v>313610.50000000006</v>
      </c>
      <c r="O20" s="112">
        <v>304120.60000000003</v>
      </c>
      <c r="P20" s="134">
        <v>4174966</v>
      </c>
      <c r="Q20" s="134">
        <v>4225890</v>
      </c>
      <c r="R20" s="115">
        <v>4480150</v>
      </c>
    </row>
    <row r="21" spans="1:18" ht="12.75" customHeight="1" x14ac:dyDescent="0.3">
      <c r="A21" s="75"/>
      <c r="B21" s="75"/>
      <c r="C21" s="75" t="s">
        <v>117</v>
      </c>
      <c r="D21" s="75"/>
      <c r="E21" s="75"/>
      <c r="F21" s="75"/>
      <c r="G21" s="116">
        <v>37305.94</v>
      </c>
      <c r="H21" s="116">
        <v>43605.170000000006</v>
      </c>
      <c r="I21" s="116">
        <v>45014.130000000005</v>
      </c>
      <c r="J21" s="117">
        <v>58623.810000000005</v>
      </c>
      <c r="K21" s="116">
        <v>43204.140000000007</v>
      </c>
      <c r="L21" s="116">
        <v>35299.460000000006</v>
      </c>
      <c r="M21" s="116">
        <v>39210.920000000006</v>
      </c>
      <c r="N21" s="117">
        <v>47005.91</v>
      </c>
      <c r="O21" s="116">
        <v>41439.090000000004</v>
      </c>
      <c r="P21" s="90">
        <v>504278</v>
      </c>
      <c r="Q21" s="90">
        <v>560156</v>
      </c>
      <c r="R21" s="118">
        <v>671513</v>
      </c>
    </row>
    <row r="22" spans="1:18" ht="12.75" customHeight="1" x14ac:dyDescent="0.3">
      <c r="A22" s="75"/>
      <c r="B22" s="75"/>
      <c r="C22" s="75" t="s">
        <v>118</v>
      </c>
      <c r="D22" s="75"/>
      <c r="E22" s="75"/>
      <c r="F22" s="75"/>
      <c r="G22" s="116">
        <v>90426.840000000011</v>
      </c>
      <c r="H22" s="116">
        <v>78791.37000000001</v>
      </c>
      <c r="I22" s="116">
        <v>98918.400000000009</v>
      </c>
      <c r="J22" s="117">
        <v>101454.57</v>
      </c>
      <c r="K22" s="116">
        <v>127198.19000000002</v>
      </c>
      <c r="L22" s="116">
        <v>111722.45000000001</v>
      </c>
      <c r="M22" s="116">
        <v>126248.85</v>
      </c>
      <c r="N22" s="117">
        <v>106025.50000000001</v>
      </c>
      <c r="O22" s="116">
        <v>120264.83000000002</v>
      </c>
      <c r="P22" s="90">
        <v>1596035</v>
      </c>
      <c r="Q22" s="90">
        <v>1803555</v>
      </c>
      <c r="R22" s="118">
        <v>1514650</v>
      </c>
    </row>
    <row r="23" spans="1:18" ht="12.75" customHeight="1" x14ac:dyDescent="0.3">
      <c r="A23" s="75"/>
      <c r="B23" s="75"/>
      <c r="C23" s="75" t="s">
        <v>119</v>
      </c>
      <c r="D23" s="75"/>
      <c r="E23" s="75"/>
      <c r="F23" s="75"/>
      <c r="G23" s="116">
        <v>79818.97</v>
      </c>
      <c r="H23" s="116">
        <v>83115.48000000001</v>
      </c>
      <c r="I23" s="116">
        <v>82784.240000000005</v>
      </c>
      <c r="J23" s="117">
        <v>84653.94</v>
      </c>
      <c r="K23" s="116">
        <v>86733.360000000015</v>
      </c>
      <c r="L23" s="116">
        <v>85732.010000000009</v>
      </c>
      <c r="M23" s="116">
        <v>82342.61</v>
      </c>
      <c r="N23" s="117">
        <v>88526.27</v>
      </c>
      <c r="O23" s="116">
        <v>88358.97</v>
      </c>
      <c r="P23" s="90">
        <v>1224743</v>
      </c>
      <c r="Q23" s="90">
        <v>1176323</v>
      </c>
      <c r="R23" s="118">
        <v>1264661</v>
      </c>
    </row>
    <row r="24" spans="1:18" ht="12.75" customHeight="1" x14ac:dyDescent="0.3">
      <c r="A24" s="75"/>
      <c r="B24" s="75"/>
      <c r="C24" s="75" t="s">
        <v>120</v>
      </c>
      <c r="D24" s="75"/>
      <c r="E24" s="75"/>
      <c r="F24" s="75"/>
      <c r="G24" s="119">
        <v>48915.16</v>
      </c>
      <c r="H24" s="119">
        <v>48938.960000000006</v>
      </c>
      <c r="I24" s="119">
        <v>48963.110000000008</v>
      </c>
      <c r="J24" s="120">
        <v>48987.610000000008</v>
      </c>
      <c r="K24" s="119">
        <v>0</v>
      </c>
      <c r="L24" s="119">
        <v>0</v>
      </c>
      <c r="M24" s="119">
        <v>0</v>
      </c>
      <c r="N24" s="120">
        <v>0</v>
      </c>
      <c r="O24" s="119">
        <v>27941.410000000003</v>
      </c>
      <c r="P24" s="126">
        <v>0</v>
      </c>
      <c r="Q24" s="126">
        <v>0</v>
      </c>
      <c r="R24" s="135">
        <v>0</v>
      </c>
    </row>
    <row r="25" spans="1:18" ht="12.75" customHeight="1" x14ac:dyDescent="0.3">
      <c r="A25" s="75"/>
      <c r="B25" s="75"/>
      <c r="C25" s="75"/>
      <c r="D25" s="75"/>
      <c r="E25" s="75"/>
      <c r="F25" s="75" t="s">
        <v>121</v>
      </c>
      <c r="G25" s="136">
        <f t="shared" ref="G25:R25" si="2">SUM(G20:G24)</f>
        <v>557323.90000000014</v>
      </c>
      <c r="H25" s="136">
        <f t="shared" si="2"/>
        <v>548302.16</v>
      </c>
      <c r="I25" s="136">
        <f t="shared" si="2"/>
        <v>563447.22000000009</v>
      </c>
      <c r="J25" s="137">
        <f t="shared" si="2"/>
        <v>594227.62</v>
      </c>
      <c r="K25" s="136">
        <f t="shared" si="2"/>
        <v>541775.92000000004</v>
      </c>
      <c r="L25" s="136">
        <f t="shared" si="2"/>
        <v>525001.54</v>
      </c>
      <c r="M25" s="136">
        <f t="shared" si="2"/>
        <v>543614.68000000005</v>
      </c>
      <c r="N25" s="137">
        <f t="shared" si="2"/>
        <v>555168.18000000005</v>
      </c>
      <c r="O25" s="136">
        <f t="shared" si="2"/>
        <v>582124.90000000014</v>
      </c>
      <c r="P25" s="133">
        <f t="shared" si="2"/>
        <v>7500022</v>
      </c>
      <c r="Q25" s="133">
        <f t="shared" si="2"/>
        <v>7765924</v>
      </c>
      <c r="R25" s="118">
        <f t="shared" si="2"/>
        <v>7930974</v>
      </c>
    </row>
    <row r="26" spans="1:18" ht="12.75" customHeight="1" x14ac:dyDescent="0.3">
      <c r="A26" s="125" t="s">
        <v>122</v>
      </c>
      <c r="B26" s="75"/>
      <c r="C26" s="75"/>
      <c r="D26" s="75"/>
      <c r="E26" s="75"/>
      <c r="F26" s="75"/>
      <c r="G26" s="112">
        <v>172593.82</v>
      </c>
      <c r="H26" s="112">
        <v>158570.02000000002</v>
      </c>
      <c r="I26" s="112">
        <v>161071.82</v>
      </c>
      <c r="J26" s="113">
        <v>216594.91000000003</v>
      </c>
      <c r="K26" s="116">
        <v>206165.47000000003</v>
      </c>
      <c r="L26" s="116">
        <v>209297.27000000002</v>
      </c>
      <c r="M26" s="116">
        <v>206875.76</v>
      </c>
      <c r="N26" s="113">
        <v>215689.39</v>
      </c>
      <c r="O26" s="116">
        <v>203562.03000000003</v>
      </c>
      <c r="P26" s="133">
        <v>2989961</v>
      </c>
      <c r="Q26" s="133">
        <v>2955368</v>
      </c>
      <c r="R26" s="118">
        <v>3081277</v>
      </c>
    </row>
    <row r="27" spans="1:18" ht="12.75" customHeight="1" x14ac:dyDescent="0.3">
      <c r="A27" s="75" t="s">
        <v>123</v>
      </c>
      <c r="B27" s="75"/>
      <c r="C27" s="75"/>
      <c r="D27" s="75"/>
      <c r="E27" s="75"/>
      <c r="F27" s="75"/>
      <c r="G27" s="116">
        <v>1040238.6400000001</v>
      </c>
      <c r="H27" s="116">
        <v>1044882.2300000001</v>
      </c>
      <c r="I27" s="116">
        <v>1035558.3700000001</v>
      </c>
      <c r="J27" s="117">
        <v>1028515.0400000002</v>
      </c>
      <c r="K27" s="116">
        <v>1017419.2700000001</v>
      </c>
      <c r="L27" s="116">
        <v>996331.21000000008</v>
      </c>
      <c r="M27" s="116">
        <v>972168.19000000006</v>
      </c>
      <c r="N27" s="117">
        <v>1004715.3200000001</v>
      </c>
      <c r="O27" s="116">
        <v>982657.55</v>
      </c>
      <c r="P27" s="133">
        <v>14233303</v>
      </c>
      <c r="Q27" s="133">
        <v>13888117</v>
      </c>
      <c r="R27" s="118">
        <v>14353076</v>
      </c>
    </row>
    <row r="28" spans="1:18" ht="12.75" customHeight="1" x14ac:dyDescent="0.3">
      <c r="A28" s="75" t="s">
        <v>124</v>
      </c>
      <c r="B28" s="75"/>
      <c r="C28" s="75"/>
      <c r="D28" s="75"/>
      <c r="E28" s="75"/>
      <c r="F28" s="75"/>
      <c r="G28" s="119">
        <v>136569.02000000002</v>
      </c>
      <c r="H28" s="119">
        <v>145742.45000000001</v>
      </c>
      <c r="I28" s="119">
        <v>159689.39000000001</v>
      </c>
      <c r="J28" s="120">
        <v>172141.48</v>
      </c>
      <c r="K28" s="119">
        <v>179719.89</v>
      </c>
      <c r="L28" s="119">
        <v>178617.25000000003</v>
      </c>
      <c r="M28" s="119">
        <v>169724.59000000003</v>
      </c>
      <c r="N28" s="120">
        <v>171642.80000000002</v>
      </c>
      <c r="O28" s="119">
        <v>168005.95</v>
      </c>
      <c r="P28" s="138">
        <v>2551675</v>
      </c>
      <c r="Q28" s="138">
        <v>2424637</v>
      </c>
      <c r="R28" s="135">
        <v>2452040</v>
      </c>
    </row>
    <row r="29" spans="1:18" ht="12.75" customHeight="1" x14ac:dyDescent="0.3">
      <c r="A29" s="75"/>
      <c r="B29" s="75"/>
      <c r="C29" s="75"/>
      <c r="D29" s="75"/>
      <c r="E29" s="75"/>
      <c r="F29" s="75" t="s">
        <v>125</v>
      </c>
      <c r="G29" s="121">
        <f t="shared" ref="G29:O29" si="3">SUM(G25:G28)</f>
        <v>1906725.3800000004</v>
      </c>
      <c r="H29" s="121">
        <f t="shared" si="3"/>
        <v>1897496.86</v>
      </c>
      <c r="I29" s="121">
        <f t="shared" si="3"/>
        <v>1919766.8000000003</v>
      </c>
      <c r="J29" s="122">
        <f t="shared" si="3"/>
        <v>2011479.0500000003</v>
      </c>
      <c r="K29" s="121">
        <f t="shared" si="3"/>
        <v>1945080.5500000003</v>
      </c>
      <c r="L29" s="121">
        <f t="shared" si="3"/>
        <v>1909247.27</v>
      </c>
      <c r="M29" s="121">
        <f t="shared" si="3"/>
        <v>1892383.2200000002</v>
      </c>
      <c r="N29" s="122">
        <f t="shared" si="3"/>
        <v>1947215.6900000002</v>
      </c>
      <c r="O29" s="121">
        <f t="shared" si="3"/>
        <v>1936350.4300000002</v>
      </c>
      <c r="P29" s="133">
        <v>27274961</v>
      </c>
      <c r="Q29" s="133">
        <v>27034046</v>
      </c>
      <c r="R29" s="118">
        <f>SUM(R25:R28)</f>
        <v>27817367</v>
      </c>
    </row>
    <row r="30" spans="1:18" ht="12.75" customHeight="1" x14ac:dyDescent="0.3">
      <c r="A30" s="75" t="s">
        <v>126</v>
      </c>
      <c r="B30" s="75"/>
      <c r="C30" s="75"/>
      <c r="D30" s="75"/>
      <c r="E30" s="75"/>
      <c r="F30" s="75"/>
      <c r="G30" s="133"/>
      <c r="H30" s="133"/>
      <c r="I30" s="133"/>
      <c r="J30" s="139"/>
      <c r="K30" s="133"/>
      <c r="L30" s="133"/>
      <c r="M30" s="133"/>
      <c r="N30" s="139"/>
      <c r="O30" s="133"/>
      <c r="P30" s="133"/>
      <c r="Q30" s="133"/>
      <c r="R30" s="118"/>
    </row>
    <row r="31" spans="1:18" ht="12.75" customHeight="1" x14ac:dyDescent="0.3">
      <c r="A31" s="75"/>
      <c r="B31" s="75" t="s">
        <v>127</v>
      </c>
      <c r="C31" s="140"/>
      <c r="D31" s="140"/>
      <c r="E31" s="140"/>
      <c r="F31" s="140"/>
      <c r="G31" s="112">
        <v>252005.88000000003</v>
      </c>
      <c r="H31" s="112">
        <v>260487.22000000003</v>
      </c>
      <c r="I31" s="112">
        <v>269677.17000000004</v>
      </c>
      <c r="J31" s="113">
        <v>281719.27</v>
      </c>
      <c r="K31" s="112">
        <v>290890.60000000003</v>
      </c>
      <c r="L31" s="112">
        <v>302180.90000000002</v>
      </c>
      <c r="M31" s="112">
        <v>313177.34000000003</v>
      </c>
      <c r="N31" s="113">
        <v>324632.07</v>
      </c>
      <c r="O31" s="112">
        <v>333367.65000000002</v>
      </c>
      <c r="P31" s="133">
        <v>4316870</v>
      </c>
      <c r="Q31" s="133">
        <v>4473962</v>
      </c>
      <c r="R31" s="118">
        <v>4637601</v>
      </c>
    </row>
    <row r="32" spans="1:18" ht="12.75" customHeight="1" x14ac:dyDescent="0.3">
      <c r="A32" s="75"/>
      <c r="B32" s="75" t="s">
        <v>128</v>
      </c>
      <c r="C32" s="140"/>
      <c r="D32" s="140"/>
      <c r="E32" s="140"/>
      <c r="F32" s="140"/>
      <c r="G32" s="116">
        <v>0</v>
      </c>
      <c r="H32" s="116">
        <v>-35001.54</v>
      </c>
      <c r="I32" s="116">
        <v>-42001.54</v>
      </c>
      <c r="J32" s="117">
        <v>-57693.3</v>
      </c>
      <c r="K32" s="116">
        <v>-57693.3</v>
      </c>
      <c r="L32" s="116">
        <v>-57693.3</v>
      </c>
      <c r="M32" s="116">
        <v>-57693.3</v>
      </c>
      <c r="N32" s="117">
        <v>-57693.3</v>
      </c>
      <c r="O32" s="116">
        <v>-86024.400000000009</v>
      </c>
      <c r="P32" s="133">
        <v>-824190</v>
      </c>
      <c r="Q32" s="133">
        <v>-824190</v>
      </c>
      <c r="R32" s="118">
        <v>-824190</v>
      </c>
    </row>
    <row r="33" spans="1:18" ht="12.75" customHeight="1" x14ac:dyDescent="0.3">
      <c r="A33" s="75"/>
      <c r="B33" s="75" t="s">
        <v>129</v>
      </c>
      <c r="C33" s="75"/>
      <c r="D33" s="75"/>
      <c r="E33" s="75"/>
      <c r="F33" s="75"/>
      <c r="G33" s="116">
        <v>289.59000000000003</v>
      </c>
      <c r="H33" s="116">
        <v>684.25000000000011</v>
      </c>
      <c r="I33" s="116">
        <v>-1388.45</v>
      </c>
      <c r="J33" s="117">
        <v>-2834.65</v>
      </c>
      <c r="K33" s="116">
        <v>-5191.9000000000005</v>
      </c>
      <c r="L33" s="116">
        <v>-10113.320000000002</v>
      </c>
      <c r="M33" s="116">
        <v>-17335.010000000002</v>
      </c>
      <c r="N33" s="117">
        <v>-15211.420000000002</v>
      </c>
      <c r="O33" s="116">
        <v>-13418.650000000001</v>
      </c>
      <c r="P33" s="133">
        <v>-144476</v>
      </c>
      <c r="Q33" s="133">
        <v>-247643</v>
      </c>
      <c r="R33" s="118">
        <v>-217306</v>
      </c>
    </row>
    <row r="34" spans="1:18" ht="12.75" customHeight="1" x14ac:dyDescent="0.3">
      <c r="A34" s="75"/>
      <c r="B34" s="75" t="s">
        <v>130</v>
      </c>
      <c r="C34" s="75"/>
      <c r="D34" s="75"/>
      <c r="E34" s="75"/>
      <c r="F34" s="75"/>
      <c r="G34" s="116">
        <v>649590.13</v>
      </c>
      <c r="H34" s="116">
        <v>744301.04</v>
      </c>
      <c r="I34" s="116">
        <v>845736.01000000013</v>
      </c>
      <c r="J34" s="117">
        <v>888256.04</v>
      </c>
      <c r="K34" s="116">
        <v>1000077.3300000001</v>
      </c>
      <c r="L34" s="116">
        <v>1100943.9000000001</v>
      </c>
      <c r="M34" s="116">
        <v>1198820.8400000001</v>
      </c>
      <c r="N34" s="117">
        <v>1202690.7200000002</v>
      </c>
      <c r="O34" s="116">
        <v>1294049.1200000001</v>
      </c>
      <c r="P34" s="138">
        <v>15727770</v>
      </c>
      <c r="Q34" s="138">
        <v>17126012</v>
      </c>
      <c r="R34" s="135">
        <v>17181296</v>
      </c>
    </row>
    <row r="35" spans="1:18" ht="13.5" customHeight="1" x14ac:dyDescent="0.3">
      <c r="A35" s="75"/>
      <c r="B35" s="75"/>
      <c r="C35" s="75"/>
      <c r="D35" s="75"/>
      <c r="E35" s="75"/>
      <c r="F35" s="75" t="s">
        <v>131</v>
      </c>
      <c r="G35" s="126">
        <f t="shared" ref="G35:R35" si="4">SUM(G31:G34)</f>
        <v>901885.60000000009</v>
      </c>
      <c r="H35" s="126">
        <f t="shared" si="4"/>
        <v>970470.97000000009</v>
      </c>
      <c r="I35" s="126">
        <f t="shared" si="4"/>
        <v>1072023.1900000002</v>
      </c>
      <c r="J35" s="141">
        <f t="shared" si="4"/>
        <v>1109447.3600000001</v>
      </c>
      <c r="K35" s="126">
        <f t="shared" si="4"/>
        <v>1228082.7300000002</v>
      </c>
      <c r="L35" s="126">
        <f t="shared" si="4"/>
        <v>1335318.1800000002</v>
      </c>
      <c r="M35" s="126">
        <f t="shared" si="4"/>
        <v>1436969.87</v>
      </c>
      <c r="N35" s="141">
        <f t="shared" si="4"/>
        <v>1454418.0700000003</v>
      </c>
      <c r="O35" s="126">
        <f t="shared" si="4"/>
        <v>1527973.7200000002</v>
      </c>
      <c r="P35" s="133">
        <f t="shared" si="4"/>
        <v>19075974</v>
      </c>
      <c r="Q35" s="133">
        <f t="shared" si="4"/>
        <v>20528141</v>
      </c>
      <c r="R35" s="118">
        <f t="shared" si="4"/>
        <v>20777401</v>
      </c>
    </row>
    <row r="36" spans="1:18" ht="12.75" customHeight="1" x14ac:dyDescent="0.3">
      <c r="A36" s="106"/>
      <c r="B36" s="106"/>
      <c r="C36" s="106"/>
      <c r="D36" s="106"/>
      <c r="E36" s="106"/>
      <c r="F36" s="106" t="s">
        <v>132</v>
      </c>
      <c r="G36" s="127">
        <f t="shared" ref="G36:R36" si="5">G29+G35</f>
        <v>2808610.9800000004</v>
      </c>
      <c r="H36" s="127">
        <f t="shared" si="5"/>
        <v>2867967.83</v>
      </c>
      <c r="I36" s="127">
        <f t="shared" si="5"/>
        <v>2991789.99</v>
      </c>
      <c r="J36" s="128">
        <f t="shared" si="5"/>
        <v>3120926.41</v>
      </c>
      <c r="K36" s="127">
        <f t="shared" si="5"/>
        <v>3173163.2800000003</v>
      </c>
      <c r="L36" s="127">
        <f t="shared" si="5"/>
        <v>3244565.45</v>
      </c>
      <c r="M36" s="127">
        <f t="shared" si="5"/>
        <v>3329353.0900000003</v>
      </c>
      <c r="N36" s="128">
        <f t="shared" si="5"/>
        <v>3401633.7600000007</v>
      </c>
      <c r="O36" s="127">
        <f t="shared" si="5"/>
        <v>3464324.1500000004</v>
      </c>
      <c r="P36" s="127">
        <f t="shared" si="5"/>
        <v>46350935</v>
      </c>
      <c r="Q36" s="127">
        <f t="shared" si="5"/>
        <v>47562187</v>
      </c>
      <c r="R36" s="129">
        <f t="shared" si="5"/>
        <v>48594768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R51"/>
  <sheetViews>
    <sheetView zoomScale="70" zoomScaleNormal="70" workbookViewId="0">
      <selection activeCell="V25" sqref="V25"/>
    </sheetView>
  </sheetViews>
  <sheetFormatPr defaultColWidth="14.44140625" defaultRowHeight="15" customHeight="1" x14ac:dyDescent="0.3"/>
  <cols>
    <col min="1" max="5" width="1.44140625" customWidth="1"/>
    <col min="6" max="6" width="1.33203125" customWidth="1"/>
    <col min="7" max="7" width="54.109375" customWidth="1"/>
    <col min="8" max="11" width="17.44140625" customWidth="1"/>
    <col min="12" max="12" width="18.88671875" customWidth="1"/>
    <col min="13" max="16" width="17.44140625" customWidth="1"/>
    <col min="17" max="18" width="18.88671875" customWidth="1"/>
    <col min="19" max="26" width="1.44140625" customWidth="1"/>
  </cols>
  <sheetData>
    <row r="1" spans="1:18" ht="12.75" customHeight="1" x14ac:dyDescent="0.3">
      <c r="A1" s="2" t="s">
        <v>1</v>
      </c>
      <c r="B1" s="106"/>
      <c r="C1" s="106"/>
      <c r="D1" s="106"/>
      <c r="E1" s="106"/>
      <c r="F1" s="106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</row>
    <row r="2" spans="1:18" ht="12.75" customHeight="1" x14ac:dyDescent="0.3">
      <c r="A2" s="2" t="s">
        <v>133</v>
      </c>
      <c r="B2" s="106"/>
      <c r="C2" s="106"/>
      <c r="D2" s="106"/>
      <c r="E2" s="106"/>
      <c r="F2" s="106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</row>
    <row r="3" spans="1:18" ht="12.75" customHeight="1" x14ac:dyDescent="0.3">
      <c r="A3" s="90" t="s">
        <v>79</v>
      </c>
      <c r="B3" s="106"/>
      <c r="C3" s="106"/>
      <c r="D3" s="106"/>
      <c r="E3" s="106"/>
      <c r="F3" s="106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</row>
    <row r="4" spans="1:18" ht="12.75" customHeight="1" x14ac:dyDescent="0.3">
      <c r="A4" s="90" t="s">
        <v>103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</row>
    <row r="5" spans="1:18" ht="12.75" customHeight="1" x14ac:dyDescent="0.3">
      <c r="A5" s="90"/>
      <c r="B5" s="75"/>
      <c r="C5" s="75"/>
      <c r="D5" s="75"/>
      <c r="E5" s="75"/>
      <c r="F5" s="75"/>
      <c r="G5" s="75"/>
      <c r="H5" s="167" t="s">
        <v>81</v>
      </c>
      <c r="I5" s="166"/>
      <c r="J5" s="166"/>
      <c r="K5" s="166"/>
      <c r="L5" s="143" t="s">
        <v>82</v>
      </c>
      <c r="M5" s="168" t="s">
        <v>81</v>
      </c>
      <c r="N5" s="166"/>
      <c r="O5" s="166"/>
      <c r="P5" s="166"/>
      <c r="Q5" s="143" t="s">
        <v>82</v>
      </c>
      <c r="R5" s="81" t="s">
        <v>81</v>
      </c>
    </row>
    <row r="6" spans="1:18" ht="12.75" customHeight="1" x14ac:dyDescent="0.3">
      <c r="A6" s="144"/>
      <c r="B6" s="75"/>
      <c r="C6" s="75"/>
      <c r="D6" s="75"/>
      <c r="E6" s="75"/>
      <c r="F6" s="75"/>
      <c r="G6" s="75"/>
      <c r="H6" s="79" t="s">
        <v>83</v>
      </c>
      <c r="I6" s="79" t="s">
        <v>84</v>
      </c>
      <c r="J6" s="79" t="s">
        <v>85</v>
      </c>
      <c r="K6" s="79" t="s">
        <v>86</v>
      </c>
      <c r="L6" s="80" t="s">
        <v>86</v>
      </c>
      <c r="M6" s="79" t="s">
        <v>83</v>
      </c>
      <c r="N6" s="79" t="s">
        <v>84</v>
      </c>
      <c r="O6" s="79" t="s">
        <v>85</v>
      </c>
      <c r="P6" s="79" t="s">
        <v>86</v>
      </c>
      <c r="Q6" s="80" t="s">
        <v>86</v>
      </c>
      <c r="R6" s="79" t="s">
        <v>83</v>
      </c>
    </row>
    <row r="7" spans="1:18" ht="12.75" customHeight="1" x14ac:dyDescent="0.3">
      <c r="A7" s="144"/>
      <c r="B7" s="75"/>
      <c r="C7" s="75"/>
      <c r="D7" s="75"/>
      <c r="E7" s="75"/>
      <c r="F7" s="75"/>
      <c r="G7" s="75"/>
      <c r="H7" s="81">
        <v>2021</v>
      </c>
      <c r="I7" s="81">
        <v>2021</v>
      </c>
      <c r="J7" s="81">
        <v>2021</v>
      </c>
      <c r="K7" s="81">
        <v>2021</v>
      </c>
      <c r="L7" s="145">
        <v>2021</v>
      </c>
      <c r="M7" s="81">
        <v>2022</v>
      </c>
      <c r="N7" s="81">
        <v>2022</v>
      </c>
      <c r="O7" s="81">
        <v>2022</v>
      </c>
      <c r="P7" s="81">
        <v>2022</v>
      </c>
      <c r="Q7" s="145">
        <v>2022</v>
      </c>
      <c r="R7" s="81">
        <v>2023</v>
      </c>
    </row>
    <row r="8" spans="1:18" ht="12.75" customHeight="1" x14ac:dyDescent="0.3">
      <c r="A8" s="142" t="s">
        <v>134</v>
      </c>
      <c r="B8" s="106"/>
      <c r="C8" s="106"/>
      <c r="D8" s="106"/>
      <c r="E8" s="75"/>
      <c r="F8" s="75"/>
      <c r="G8" s="75"/>
      <c r="H8" s="75"/>
      <c r="I8" s="75"/>
      <c r="J8" s="75"/>
      <c r="K8" s="75"/>
      <c r="L8" s="84"/>
      <c r="M8" s="75"/>
      <c r="N8" s="75"/>
      <c r="O8" s="75"/>
      <c r="P8" s="75"/>
      <c r="Q8" s="84"/>
      <c r="R8" s="75"/>
    </row>
    <row r="9" spans="1:18" ht="12.75" customHeight="1" x14ac:dyDescent="0.3">
      <c r="A9" s="133"/>
      <c r="B9" s="75" t="s">
        <v>97</v>
      </c>
      <c r="C9" s="75"/>
      <c r="D9" s="75"/>
      <c r="E9" s="75"/>
      <c r="F9" s="75"/>
      <c r="G9" s="75"/>
      <c r="H9" s="146">
        <v>119470.05000000002</v>
      </c>
      <c r="I9" s="146">
        <v>94710.91</v>
      </c>
      <c r="J9" s="146">
        <v>101434.97000000002</v>
      </c>
      <c r="K9" s="146">
        <v>42520.030000000006</v>
      </c>
      <c r="L9" s="147">
        <f>SUM(H9:K9)</f>
        <v>358135.96000000008</v>
      </c>
      <c r="M9" s="146">
        <v>111821.29000000001</v>
      </c>
      <c r="N9" s="146">
        <v>100866.57</v>
      </c>
      <c r="O9" s="146">
        <v>97876.94</v>
      </c>
      <c r="P9" s="146">
        <v>3869.8800000000006</v>
      </c>
      <c r="Q9" s="147">
        <f>SUM(M9:P9)</f>
        <v>314434.68000000005</v>
      </c>
      <c r="R9" s="146">
        <f>'[1]Income Statement'!P20</f>
        <v>0</v>
      </c>
    </row>
    <row r="10" spans="1:18" ht="12.75" customHeight="1" x14ac:dyDescent="0.3">
      <c r="A10" s="144"/>
      <c r="B10" s="75" t="s">
        <v>135</v>
      </c>
      <c r="C10" s="75"/>
      <c r="D10" s="75"/>
      <c r="E10" s="75"/>
      <c r="F10" s="75"/>
      <c r="G10" s="75"/>
      <c r="H10" s="94">
        <v>0</v>
      </c>
      <c r="I10" s="94">
        <v>0</v>
      </c>
      <c r="J10" s="94">
        <v>0</v>
      </c>
      <c r="K10" s="94">
        <v>0</v>
      </c>
      <c r="L10" s="89"/>
      <c r="M10" s="94">
        <v>0</v>
      </c>
      <c r="N10" s="94">
        <v>0</v>
      </c>
      <c r="O10" s="94">
        <v>0</v>
      </c>
      <c r="P10" s="94">
        <v>0</v>
      </c>
      <c r="Q10" s="89"/>
      <c r="R10" s="94">
        <v>0</v>
      </c>
    </row>
    <row r="11" spans="1:18" ht="12.75" customHeight="1" x14ac:dyDescent="0.3">
      <c r="A11" s="144"/>
      <c r="B11" s="75"/>
      <c r="C11" s="75" t="s">
        <v>136</v>
      </c>
      <c r="D11" s="75"/>
      <c r="E11" s="75"/>
      <c r="F11" s="75"/>
      <c r="G11" s="75"/>
      <c r="H11" s="94">
        <v>0</v>
      </c>
      <c r="I11" s="94">
        <v>0</v>
      </c>
      <c r="J11" s="94">
        <v>0</v>
      </c>
      <c r="K11" s="94">
        <v>0</v>
      </c>
      <c r="L11" s="89"/>
      <c r="M11" s="94">
        <v>0</v>
      </c>
      <c r="N11" s="94">
        <v>0</v>
      </c>
      <c r="O11" s="94">
        <v>0</v>
      </c>
      <c r="P11" s="94">
        <v>0</v>
      </c>
      <c r="Q11" s="89"/>
      <c r="R11" s="94">
        <v>0</v>
      </c>
    </row>
    <row r="12" spans="1:18" ht="12.75" customHeight="1" x14ac:dyDescent="0.3">
      <c r="A12" s="144"/>
      <c r="B12" s="75"/>
      <c r="C12" s="75"/>
      <c r="D12" s="75" t="s">
        <v>137</v>
      </c>
      <c r="E12" s="75"/>
      <c r="F12" s="75"/>
      <c r="G12" s="75"/>
      <c r="H12" s="94">
        <v>-229920.32000000004</v>
      </c>
      <c r="I12" s="94">
        <v>-286772.5</v>
      </c>
      <c r="J12" s="94">
        <v>-326636.59000000003</v>
      </c>
      <c r="K12" s="94">
        <v>-395824.73000000004</v>
      </c>
      <c r="L12" s="89">
        <f t="shared" ref="L12:L19" si="0">SUM(H12:K12)</f>
        <v>-1239154.1400000001</v>
      </c>
      <c r="M12" s="94">
        <v>-250891.48</v>
      </c>
      <c r="N12" s="94">
        <v>-328090.77</v>
      </c>
      <c r="O12" s="94">
        <v>-320786.97000000003</v>
      </c>
      <c r="P12" s="94">
        <v>-278963.44</v>
      </c>
      <c r="Q12" s="89">
        <f t="shared" ref="Q12:Q19" si="1">SUM(M12:P12)</f>
        <v>-1178732.6599999999</v>
      </c>
      <c r="R12" s="94">
        <v>-172106.62000000002</v>
      </c>
    </row>
    <row r="13" spans="1:18" ht="12.75" customHeight="1" x14ac:dyDescent="0.3">
      <c r="A13" s="144"/>
      <c r="B13" s="75"/>
      <c r="C13" s="75"/>
      <c r="D13" s="75" t="s">
        <v>138</v>
      </c>
      <c r="E13" s="75"/>
      <c r="F13" s="75"/>
      <c r="G13" s="75"/>
      <c r="H13" s="94">
        <v>-18622.800000000003</v>
      </c>
      <c r="I13" s="94">
        <v>-21854.560000000001</v>
      </c>
      <c r="J13" s="94">
        <v>-2047.2200000000003</v>
      </c>
      <c r="K13" s="94">
        <v>58827.44</v>
      </c>
      <c r="L13" s="89">
        <f t="shared" si="0"/>
        <v>16302.86</v>
      </c>
      <c r="M13" s="94">
        <v>-24300.430000000004</v>
      </c>
      <c r="N13" s="94">
        <v>13385.960000000001</v>
      </c>
      <c r="O13" s="94">
        <v>4260.6900000000005</v>
      </c>
      <c r="P13" s="94">
        <v>19205.480000000003</v>
      </c>
      <c r="Q13" s="89">
        <f t="shared" si="1"/>
        <v>12551.7</v>
      </c>
      <c r="R13" s="94">
        <v>-24835.370000000003</v>
      </c>
    </row>
    <row r="14" spans="1:18" ht="12.75" customHeight="1" x14ac:dyDescent="0.3">
      <c r="A14" s="144"/>
      <c r="B14" s="75"/>
      <c r="C14" s="75"/>
      <c r="D14" s="75" t="s">
        <v>139</v>
      </c>
      <c r="E14" s="75"/>
      <c r="F14" s="75"/>
      <c r="G14" s="75"/>
      <c r="H14" s="94">
        <v>190343.72000000003</v>
      </c>
      <c r="I14" s="94">
        <v>196476.21000000002</v>
      </c>
      <c r="J14" s="94">
        <v>207413.57</v>
      </c>
      <c r="K14" s="94">
        <v>261892.19000000003</v>
      </c>
      <c r="L14" s="89">
        <f t="shared" si="0"/>
        <v>856125.69000000006</v>
      </c>
      <c r="M14" s="94">
        <v>221645.55000000002</v>
      </c>
      <c r="N14" s="94">
        <v>228294.36000000002</v>
      </c>
      <c r="O14" s="94">
        <v>255751.44000000003</v>
      </c>
      <c r="P14" s="94">
        <v>276137.89</v>
      </c>
      <c r="Q14" s="89">
        <f t="shared" si="1"/>
        <v>981829.24000000011</v>
      </c>
      <c r="R14" s="94">
        <v>242198.88000000003</v>
      </c>
    </row>
    <row r="15" spans="1:18" ht="12.75" customHeight="1" x14ac:dyDescent="0.3">
      <c r="A15" s="144"/>
      <c r="B15" s="75"/>
      <c r="C15" s="75"/>
      <c r="D15" s="75" t="s">
        <v>140</v>
      </c>
      <c r="E15" s="75"/>
      <c r="F15" s="75"/>
      <c r="G15" s="75"/>
      <c r="H15" s="94">
        <v>2501.8700000000003</v>
      </c>
      <c r="I15" s="94">
        <v>2690.38</v>
      </c>
      <c r="J15" s="94">
        <v>4917.71</v>
      </c>
      <c r="K15" s="94">
        <v>4478.88</v>
      </c>
      <c r="L15" s="89">
        <f t="shared" si="0"/>
        <v>14588.84</v>
      </c>
      <c r="M15" s="94">
        <v>5222.1400000000003</v>
      </c>
      <c r="N15" s="94">
        <v>5845.35</v>
      </c>
      <c r="O15" s="94">
        <v>5963.1600000000008</v>
      </c>
      <c r="P15" s="94">
        <v>6537.0900000000011</v>
      </c>
      <c r="Q15" s="89">
        <f t="shared" si="1"/>
        <v>23567.74</v>
      </c>
      <c r="R15" s="94">
        <v>6323.4500000000007</v>
      </c>
    </row>
    <row r="16" spans="1:18" ht="12.75" customHeight="1" x14ac:dyDescent="0.3">
      <c r="A16" s="90"/>
      <c r="B16" s="75"/>
      <c r="C16" s="75"/>
      <c r="D16" s="75" t="s">
        <v>141</v>
      </c>
      <c r="E16" s="75"/>
      <c r="F16" s="75"/>
      <c r="G16" s="75"/>
      <c r="H16" s="94">
        <v>7506.1</v>
      </c>
      <c r="I16" s="94">
        <v>7110.81</v>
      </c>
      <c r="J16" s="94">
        <v>6655.4600000000009</v>
      </c>
      <c r="K16" s="94">
        <v>6953.0300000000007</v>
      </c>
      <c r="L16" s="89">
        <f t="shared" si="0"/>
        <v>28225.4</v>
      </c>
      <c r="M16" s="94">
        <v>8344.630000000001</v>
      </c>
      <c r="N16" s="94">
        <v>10527.44</v>
      </c>
      <c r="O16" s="94">
        <v>10644.34</v>
      </c>
      <c r="P16" s="94">
        <v>10765.230000000001</v>
      </c>
      <c r="Q16" s="89">
        <f t="shared" si="1"/>
        <v>40281.64</v>
      </c>
      <c r="R16" s="94">
        <v>6936.93</v>
      </c>
    </row>
    <row r="17" spans="1:18" ht="12.75" customHeight="1" x14ac:dyDescent="0.3">
      <c r="A17" s="133"/>
      <c r="B17" s="75"/>
      <c r="C17" s="75"/>
      <c r="D17" s="75" t="s">
        <v>142</v>
      </c>
      <c r="E17" s="75"/>
      <c r="F17" s="75"/>
      <c r="G17" s="75"/>
      <c r="H17" s="94">
        <v>-17733.100000000002</v>
      </c>
      <c r="I17" s="94">
        <v>4415.18</v>
      </c>
      <c r="J17" s="94">
        <v>-9554.1600000000017</v>
      </c>
      <c r="K17" s="94">
        <v>-7274.1900000000005</v>
      </c>
      <c r="L17" s="89">
        <f t="shared" si="0"/>
        <v>-30146.270000000004</v>
      </c>
      <c r="M17" s="94">
        <v>-11327.470000000001</v>
      </c>
      <c r="N17" s="94">
        <v>-21315.910000000003</v>
      </c>
      <c r="O17" s="94">
        <v>-24392.06</v>
      </c>
      <c r="P17" s="94">
        <v>32317.670000000002</v>
      </c>
      <c r="Q17" s="89">
        <f t="shared" si="1"/>
        <v>-24717.77</v>
      </c>
      <c r="R17" s="94">
        <v>5645.5700000000006</v>
      </c>
    </row>
    <row r="18" spans="1:18" ht="12.75" customHeight="1" x14ac:dyDescent="0.3">
      <c r="A18" s="133"/>
      <c r="B18" s="75"/>
      <c r="C18" s="75"/>
      <c r="D18" s="75" t="s">
        <v>143</v>
      </c>
      <c r="E18" s="75"/>
      <c r="F18" s="75"/>
      <c r="G18" s="75"/>
      <c r="H18" s="94">
        <v>5085.9900000000007</v>
      </c>
      <c r="I18" s="94">
        <v>7567.2100000000009</v>
      </c>
      <c r="J18" s="94">
        <v>7154.77</v>
      </c>
      <c r="K18" s="94">
        <v>6566.420000000001</v>
      </c>
      <c r="L18" s="89">
        <f t="shared" si="0"/>
        <v>26374.390000000003</v>
      </c>
      <c r="M18" s="94">
        <v>7137.7600000000011</v>
      </c>
      <c r="N18" s="94">
        <v>14376.180000000002</v>
      </c>
      <c r="O18" s="94">
        <v>7175.9100000000008</v>
      </c>
      <c r="P18" s="94">
        <v>8658.1600000000017</v>
      </c>
      <c r="Q18" s="89">
        <f t="shared" si="1"/>
        <v>37348.01</v>
      </c>
      <c r="R18" s="94">
        <v>8400.5600000000013</v>
      </c>
    </row>
    <row r="19" spans="1:18" ht="12.75" customHeight="1" x14ac:dyDescent="0.3">
      <c r="A19" s="133"/>
      <c r="B19" s="75"/>
      <c r="C19" s="75"/>
      <c r="D19" s="75" t="s">
        <v>144</v>
      </c>
      <c r="E19" s="75"/>
      <c r="F19" s="75"/>
      <c r="G19" s="75"/>
      <c r="H19" s="94">
        <v>11181.310000000001</v>
      </c>
      <c r="I19" s="94">
        <v>3578.8900000000003</v>
      </c>
      <c r="J19" s="94">
        <v>3567.6900000000005</v>
      </c>
      <c r="K19" s="94">
        <v>-4359.5300000000007</v>
      </c>
      <c r="L19" s="89">
        <f t="shared" si="0"/>
        <v>13968.359999999999</v>
      </c>
      <c r="M19" s="94">
        <v>-4823.42</v>
      </c>
      <c r="N19" s="94">
        <v>-8107.4000000000005</v>
      </c>
      <c r="O19" s="94">
        <v>-4045.7900000000004</v>
      </c>
      <c r="P19" s="94">
        <v>5318.1100000000006</v>
      </c>
      <c r="Q19" s="89">
        <f t="shared" si="1"/>
        <v>-11658.5</v>
      </c>
      <c r="R19" s="94">
        <v>-6914.7400000000007</v>
      </c>
    </row>
    <row r="20" spans="1:18" ht="12.75" customHeight="1" x14ac:dyDescent="0.3">
      <c r="A20" s="90"/>
      <c r="B20" s="75"/>
      <c r="C20" s="75"/>
      <c r="D20" s="75" t="s">
        <v>145</v>
      </c>
      <c r="E20" s="75"/>
      <c r="F20" s="75"/>
      <c r="G20" s="75"/>
      <c r="H20" s="94">
        <v>0</v>
      </c>
      <c r="I20" s="94">
        <v>0</v>
      </c>
      <c r="J20" s="94">
        <v>0</v>
      </c>
      <c r="K20" s="94">
        <v>0</v>
      </c>
      <c r="L20" s="89"/>
      <c r="M20" s="94">
        <v>0</v>
      </c>
      <c r="N20" s="94">
        <v>0</v>
      </c>
      <c r="O20" s="94">
        <v>0</v>
      </c>
      <c r="P20" s="94">
        <v>0</v>
      </c>
      <c r="Q20" s="89"/>
      <c r="R20" s="94">
        <v>0</v>
      </c>
    </row>
    <row r="21" spans="1:18" ht="12.75" customHeight="1" x14ac:dyDescent="0.3">
      <c r="A21" s="144"/>
      <c r="B21" s="75"/>
      <c r="C21" s="75"/>
      <c r="D21" s="75"/>
      <c r="E21" s="75" t="s">
        <v>108</v>
      </c>
      <c r="F21" s="75"/>
      <c r="G21" s="75"/>
      <c r="H21" s="94">
        <v>-15508.850000000002</v>
      </c>
      <c r="I21" s="94">
        <v>-3666.11</v>
      </c>
      <c r="J21" s="94">
        <v>-6660.1500000000005</v>
      </c>
      <c r="K21" s="94">
        <v>-42.56</v>
      </c>
      <c r="L21" s="89">
        <f t="shared" ref="L21:L25" si="2">SUM(H21:K21)</f>
        <v>-25877.670000000006</v>
      </c>
      <c r="M21" s="94">
        <v>2880.9900000000002</v>
      </c>
      <c r="N21" s="94">
        <v>8637.93</v>
      </c>
      <c r="O21" s="94">
        <v>-8404.9700000000012</v>
      </c>
      <c r="P21" s="94">
        <v>-27882.33</v>
      </c>
      <c r="Q21" s="89">
        <f t="shared" ref="Q21:Q25" si="3">SUM(M21:P21)</f>
        <v>-24768.380000000005</v>
      </c>
      <c r="R21" s="94">
        <v>-6196.5400000000009</v>
      </c>
    </row>
    <row r="22" spans="1:18" ht="12.75" customHeight="1" x14ac:dyDescent="0.3">
      <c r="A22" s="90"/>
      <c r="B22" s="75"/>
      <c r="C22" s="75"/>
      <c r="D22" s="75"/>
      <c r="E22" s="75" t="s">
        <v>117</v>
      </c>
      <c r="F22" s="75"/>
      <c r="G22" s="75"/>
      <c r="H22" s="94">
        <v>-9611.9100000000017</v>
      </c>
      <c r="I22" s="94">
        <v>5061.9100000000008</v>
      </c>
      <c r="J22" s="94">
        <v>1738.5200000000002</v>
      </c>
      <c r="K22" s="94">
        <v>12969.53</v>
      </c>
      <c r="L22" s="89">
        <f t="shared" si="2"/>
        <v>10158.049999999999</v>
      </c>
      <c r="M22" s="94">
        <v>-15081.080000000002</v>
      </c>
      <c r="N22" s="94">
        <v>-8543.36</v>
      </c>
      <c r="O22" s="94">
        <v>3771.2500000000005</v>
      </c>
      <c r="P22" s="94">
        <v>8755.18</v>
      </c>
      <c r="Q22" s="89">
        <f t="shared" si="3"/>
        <v>-11098.010000000002</v>
      </c>
      <c r="R22" s="94">
        <v>-6276.76</v>
      </c>
    </row>
    <row r="23" spans="1:18" ht="12.75" customHeight="1" x14ac:dyDescent="0.3">
      <c r="A23" s="90"/>
      <c r="B23" s="75"/>
      <c r="C23" s="75"/>
      <c r="D23" s="75"/>
      <c r="E23" s="75" t="s">
        <v>118</v>
      </c>
      <c r="F23" s="75"/>
      <c r="G23" s="75"/>
      <c r="H23" s="94">
        <v>12452.79</v>
      </c>
      <c r="I23" s="94">
        <v>-12000.1</v>
      </c>
      <c r="J23" s="94">
        <v>18884.18</v>
      </c>
      <c r="K23" s="94">
        <v>-6713.2100000000009</v>
      </c>
      <c r="L23" s="89">
        <f t="shared" si="2"/>
        <v>12623.660000000002</v>
      </c>
      <c r="M23" s="94">
        <v>24553.410000000003</v>
      </c>
      <c r="N23" s="94">
        <v>-16710.330000000002</v>
      </c>
      <c r="O23" s="94">
        <v>14845.04</v>
      </c>
      <c r="P23" s="94">
        <v>-26574.030000000002</v>
      </c>
      <c r="Q23" s="89">
        <f t="shared" si="3"/>
        <v>-3885.91</v>
      </c>
      <c r="R23" s="94">
        <v>12970.930000000002</v>
      </c>
    </row>
    <row r="24" spans="1:18" ht="12.75" customHeight="1" x14ac:dyDescent="0.3">
      <c r="A24" s="144"/>
      <c r="B24" s="75"/>
      <c r="C24" s="75"/>
      <c r="D24" s="75"/>
      <c r="E24" s="75" t="s">
        <v>119</v>
      </c>
      <c r="F24" s="75"/>
      <c r="G24" s="75"/>
      <c r="H24" s="94">
        <v>1559.5300000000002</v>
      </c>
      <c r="I24" s="94">
        <v>3296.51</v>
      </c>
      <c r="J24" s="94">
        <v>-331.24</v>
      </c>
      <c r="K24" s="94">
        <v>1869.7000000000003</v>
      </c>
      <c r="L24" s="89">
        <f t="shared" si="2"/>
        <v>6394.5000000000018</v>
      </c>
      <c r="M24" s="94">
        <v>1172.0100000000002</v>
      </c>
      <c r="N24" s="94">
        <v>-726.32</v>
      </c>
      <c r="O24" s="94">
        <v>-3389.4000000000005</v>
      </c>
      <c r="P24" s="94">
        <v>4858.63</v>
      </c>
      <c r="Q24" s="89">
        <f t="shared" si="3"/>
        <v>1914.9199999999996</v>
      </c>
      <c r="R24" s="94">
        <v>-167.3</v>
      </c>
    </row>
    <row r="25" spans="1:18" ht="12.75" customHeight="1" x14ac:dyDescent="0.3">
      <c r="A25" s="90"/>
      <c r="B25" s="75"/>
      <c r="C25" s="75"/>
      <c r="D25" s="75"/>
      <c r="E25" s="75" t="s">
        <v>146</v>
      </c>
      <c r="F25" s="75"/>
      <c r="G25" s="75"/>
      <c r="H25" s="95">
        <v>-4295.76</v>
      </c>
      <c r="I25" s="95">
        <v>-5078.01</v>
      </c>
      <c r="J25" s="95">
        <v>-770.98</v>
      </c>
      <c r="K25" s="95">
        <v>-10092.18</v>
      </c>
      <c r="L25" s="89">
        <f t="shared" si="2"/>
        <v>-20236.93</v>
      </c>
      <c r="M25" s="95">
        <v>-11755.170000000002</v>
      </c>
      <c r="N25" s="95">
        <v>8752.8000000000011</v>
      </c>
      <c r="O25" s="95">
        <v>-292.88000000000005</v>
      </c>
      <c r="P25" s="95">
        <v>-11933.460000000001</v>
      </c>
      <c r="Q25" s="89">
        <f t="shared" si="3"/>
        <v>-15228.710000000003</v>
      </c>
      <c r="R25" s="95">
        <v>-4825.59</v>
      </c>
    </row>
    <row r="26" spans="1:18" ht="12.75" customHeight="1" x14ac:dyDescent="0.3">
      <c r="A26" s="133"/>
      <c r="B26" s="75"/>
      <c r="C26" s="75"/>
      <c r="D26" s="75"/>
      <c r="E26" s="75"/>
      <c r="F26" s="75"/>
      <c r="G26" s="75" t="s">
        <v>147</v>
      </c>
      <c r="H26" s="148">
        <f t="shared" ref="H26:R26" si="4">SUM(H9:H25)</f>
        <v>54408.619999999995</v>
      </c>
      <c r="I26" s="148">
        <f t="shared" si="4"/>
        <v>-4463.2699999999695</v>
      </c>
      <c r="J26" s="148">
        <f t="shared" si="4"/>
        <v>5766.5300000000116</v>
      </c>
      <c r="K26" s="148">
        <f t="shared" si="4"/>
        <v>-28229.179999999978</v>
      </c>
      <c r="L26" s="149">
        <f t="shared" si="4"/>
        <v>27482.69999999999</v>
      </c>
      <c r="M26" s="148">
        <f t="shared" si="4"/>
        <v>64598.730000000025</v>
      </c>
      <c r="N26" s="148">
        <f t="shared" si="4"/>
        <v>7192.4999999999909</v>
      </c>
      <c r="O26" s="148">
        <f t="shared" si="4"/>
        <v>38976.700000000004</v>
      </c>
      <c r="P26" s="148">
        <f t="shared" si="4"/>
        <v>31070.060000000027</v>
      </c>
      <c r="Q26" s="149">
        <f t="shared" si="4"/>
        <v>141837.99000000022</v>
      </c>
      <c r="R26" s="148">
        <f t="shared" si="4"/>
        <v>61153.400000000009</v>
      </c>
    </row>
    <row r="27" spans="1:18" ht="12.75" customHeight="1" x14ac:dyDescent="0.3">
      <c r="A27" s="121" t="s">
        <v>148</v>
      </c>
      <c r="B27" s="106"/>
      <c r="C27" s="75"/>
      <c r="D27" s="75"/>
      <c r="E27" s="75"/>
      <c r="F27" s="75"/>
      <c r="G27" s="75"/>
      <c r="H27" s="75"/>
      <c r="I27" s="75"/>
      <c r="J27" s="75"/>
      <c r="K27" s="75"/>
      <c r="L27" s="89"/>
      <c r="M27" s="75"/>
      <c r="N27" s="75"/>
      <c r="O27" s="75"/>
      <c r="P27" s="75"/>
      <c r="Q27" s="89"/>
      <c r="R27" s="75"/>
    </row>
    <row r="28" spans="1:18" ht="12.75" customHeight="1" x14ac:dyDescent="0.3">
      <c r="A28" s="144"/>
      <c r="B28" s="75" t="s">
        <v>149</v>
      </c>
      <c r="C28" s="75"/>
      <c r="D28" s="75"/>
      <c r="E28" s="75"/>
      <c r="F28" s="75"/>
      <c r="G28" s="75"/>
      <c r="H28" s="94">
        <v>-5670.0700000000006</v>
      </c>
      <c r="I28" s="94">
        <v>-7719.4600000000009</v>
      </c>
      <c r="J28" s="94">
        <v>-11712.890000000001</v>
      </c>
      <c r="K28" s="94">
        <v>-11618.53</v>
      </c>
      <c r="L28" s="89">
        <f t="shared" ref="L28:L30" si="5">SUM(H28:K28)</f>
        <v>-36720.950000000004</v>
      </c>
      <c r="M28" s="94">
        <v>-8481.0600000000013</v>
      </c>
      <c r="N28" s="94">
        <v>-6301.26</v>
      </c>
      <c r="O28" s="94">
        <v>-5947.2000000000007</v>
      </c>
      <c r="P28" s="94">
        <v>-7811.5100000000011</v>
      </c>
      <c r="Q28" s="89">
        <f t="shared" ref="Q28:Q31" si="6">SUM(M28:P28)</f>
        <v>-28541.030000000006</v>
      </c>
      <c r="R28" s="94">
        <v>-4341.3300000000008</v>
      </c>
    </row>
    <row r="29" spans="1:18" ht="12.75" customHeight="1" x14ac:dyDescent="0.3">
      <c r="A29" s="144"/>
      <c r="B29" s="75" t="s">
        <v>150</v>
      </c>
      <c r="C29" s="75"/>
      <c r="D29" s="75"/>
      <c r="E29" s="75"/>
      <c r="F29" s="75"/>
      <c r="G29" s="75"/>
      <c r="H29" s="94">
        <v>-323.05</v>
      </c>
      <c r="I29" s="94">
        <v>-70</v>
      </c>
      <c r="J29" s="94">
        <v>-1491.2800000000002</v>
      </c>
      <c r="K29" s="94">
        <v>0</v>
      </c>
      <c r="L29" s="89">
        <f t="shared" si="5"/>
        <v>-1884.3300000000002</v>
      </c>
      <c r="M29" s="94">
        <v>0</v>
      </c>
      <c r="N29" s="94">
        <v>0</v>
      </c>
      <c r="O29" s="94">
        <v>0</v>
      </c>
      <c r="P29" s="94">
        <v>0</v>
      </c>
      <c r="Q29" s="89">
        <f t="shared" si="6"/>
        <v>0</v>
      </c>
      <c r="R29" s="94">
        <v>0</v>
      </c>
    </row>
    <row r="30" spans="1:18" ht="12.75" customHeight="1" x14ac:dyDescent="0.3">
      <c r="A30" s="144"/>
      <c r="B30" s="75" t="s">
        <v>151</v>
      </c>
      <c r="C30" s="75"/>
      <c r="D30" s="75"/>
      <c r="E30" s="75"/>
      <c r="F30" s="75"/>
      <c r="G30" s="75"/>
      <c r="H30" s="94">
        <v>0</v>
      </c>
      <c r="I30" s="94">
        <v>0</v>
      </c>
      <c r="J30" s="94">
        <v>0</v>
      </c>
      <c r="K30" s="94">
        <v>-55184.430000000008</v>
      </c>
      <c r="L30" s="89">
        <f t="shared" si="5"/>
        <v>-55184.430000000008</v>
      </c>
      <c r="M30" s="94">
        <v>-8716.4700000000012</v>
      </c>
      <c r="N30" s="94">
        <v>-4821.3200000000006</v>
      </c>
      <c r="O30" s="94">
        <v>0</v>
      </c>
      <c r="P30" s="94">
        <v>-39479.300000000003</v>
      </c>
      <c r="Q30" s="89">
        <f t="shared" si="6"/>
        <v>-53017.090000000004</v>
      </c>
      <c r="R30" s="94">
        <v>0</v>
      </c>
    </row>
    <row r="31" spans="1:18" ht="12.75" customHeight="1" x14ac:dyDescent="0.3">
      <c r="A31" s="144"/>
      <c r="B31" s="75" t="s">
        <v>152</v>
      </c>
      <c r="C31" s="75"/>
      <c r="D31" s="75"/>
      <c r="E31" s="75"/>
      <c r="F31" s="75"/>
      <c r="G31" s="75"/>
      <c r="H31" s="94">
        <v>0</v>
      </c>
      <c r="I31" s="94">
        <v>0</v>
      </c>
      <c r="J31" s="94">
        <v>0</v>
      </c>
      <c r="K31" s="94">
        <v>0</v>
      </c>
      <c r="L31" s="89">
        <v>0</v>
      </c>
      <c r="M31" s="94">
        <v>0</v>
      </c>
      <c r="N31" s="94">
        <v>0</v>
      </c>
      <c r="O31" s="94">
        <v>0</v>
      </c>
      <c r="P31" s="94">
        <v>-63789.320000000007</v>
      </c>
      <c r="Q31" s="89">
        <f t="shared" si="6"/>
        <v>-63789.320000000007</v>
      </c>
      <c r="R31" s="94">
        <v>-14114.380000000001</v>
      </c>
    </row>
    <row r="32" spans="1:18" ht="12.75" customHeight="1" x14ac:dyDescent="0.3">
      <c r="A32" s="90"/>
      <c r="B32" s="75"/>
      <c r="C32" s="75"/>
      <c r="D32" s="75"/>
      <c r="E32" s="75"/>
      <c r="F32" s="75"/>
      <c r="G32" s="75" t="s">
        <v>153</v>
      </c>
      <c r="H32" s="148">
        <f t="shared" ref="H32:R32" si="7">SUM(H28:H31)</f>
        <v>-5993.1200000000008</v>
      </c>
      <c r="I32" s="148">
        <f t="shared" si="7"/>
        <v>-7789.4600000000009</v>
      </c>
      <c r="J32" s="148">
        <f t="shared" si="7"/>
        <v>-13204.170000000002</v>
      </c>
      <c r="K32" s="148">
        <f t="shared" si="7"/>
        <v>-66802.960000000006</v>
      </c>
      <c r="L32" s="149">
        <f t="shared" si="7"/>
        <v>-93789.710000000021</v>
      </c>
      <c r="M32" s="148">
        <f t="shared" si="7"/>
        <v>-17197.530000000002</v>
      </c>
      <c r="N32" s="148">
        <f t="shared" si="7"/>
        <v>-11122.580000000002</v>
      </c>
      <c r="O32" s="148">
        <f t="shared" si="7"/>
        <v>-5947.2000000000007</v>
      </c>
      <c r="P32" s="148">
        <f t="shared" si="7"/>
        <v>-111080.13</v>
      </c>
      <c r="Q32" s="149">
        <f t="shared" si="7"/>
        <v>-145347.44</v>
      </c>
      <c r="R32" s="148">
        <f t="shared" si="7"/>
        <v>-18455.710000000003</v>
      </c>
    </row>
    <row r="33" spans="1:18" ht="12.75" customHeight="1" x14ac:dyDescent="0.3">
      <c r="A33" s="121" t="s">
        <v>154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89"/>
      <c r="M33" s="75"/>
      <c r="N33" s="75"/>
      <c r="O33" s="75"/>
      <c r="P33" s="75"/>
      <c r="Q33" s="89"/>
      <c r="R33" s="75"/>
    </row>
    <row r="34" spans="1:18" ht="12.75" hidden="1" customHeight="1" x14ac:dyDescent="0.3">
      <c r="A34" s="133"/>
      <c r="B34" s="75" t="s">
        <v>155</v>
      </c>
      <c r="C34" s="75"/>
      <c r="D34" s="75"/>
      <c r="E34" s="75"/>
      <c r="F34" s="75"/>
      <c r="G34" s="75"/>
      <c r="H34" s="90">
        <v>0</v>
      </c>
      <c r="I34" s="90">
        <v>0</v>
      </c>
      <c r="J34" s="90">
        <v>0</v>
      </c>
      <c r="K34" s="90">
        <v>0</v>
      </c>
      <c r="L34" s="89">
        <f t="shared" ref="L34:L39" si="8">SUM(H34:K34)</f>
        <v>0</v>
      </c>
      <c r="M34" s="90">
        <v>0</v>
      </c>
      <c r="N34" s="90">
        <v>0</v>
      </c>
      <c r="O34" s="90">
        <v>0</v>
      </c>
      <c r="P34" s="90">
        <v>0</v>
      </c>
      <c r="Q34" s="89">
        <f t="shared" ref="Q34:Q39" si="9">SUM(M34:P34)</f>
        <v>0</v>
      </c>
      <c r="R34" s="90">
        <v>0</v>
      </c>
    </row>
    <row r="35" spans="1:18" ht="12.75" hidden="1" customHeight="1" x14ac:dyDescent="0.3">
      <c r="A35" s="133"/>
      <c r="B35" s="75" t="s">
        <v>156</v>
      </c>
      <c r="C35" s="75"/>
      <c r="D35" s="75"/>
      <c r="E35" s="75"/>
      <c r="F35" s="75"/>
      <c r="G35" s="75"/>
      <c r="H35" s="90">
        <v>0</v>
      </c>
      <c r="I35" s="90">
        <v>0</v>
      </c>
      <c r="J35" s="90">
        <v>0</v>
      </c>
      <c r="K35" s="90">
        <v>0</v>
      </c>
      <c r="L35" s="89">
        <f t="shared" si="8"/>
        <v>0</v>
      </c>
      <c r="M35" s="90">
        <v>0</v>
      </c>
      <c r="N35" s="90">
        <v>0</v>
      </c>
      <c r="O35" s="90">
        <v>0</v>
      </c>
      <c r="P35" s="90">
        <v>0</v>
      </c>
      <c r="Q35" s="89">
        <f t="shared" si="9"/>
        <v>0</v>
      </c>
      <c r="R35" s="90">
        <v>0</v>
      </c>
    </row>
    <row r="36" spans="1:18" ht="12.75" customHeight="1" x14ac:dyDescent="0.3">
      <c r="A36" s="133"/>
      <c r="B36" s="75" t="s">
        <v>157</v>
      </c>
      <c r="C36" s="75"/>
      <c r="D36" s="75"/>
      <c r="E36" s="75"/>
      <c r="F36" s="75"/>
      <c r="G36" s="75"/>
      <c r="H36" s="94">
        <v>-500000</v>
      </c>
      <c r="I36" s="94">
        <v>0</v>
      </c>
      <c r="J36" s="94">
        <v>0</v>
      </c>
      <c r="K36" s="94">
        <v>0</v>
      </c>
      <c r="L36" s="89">
        <f t="shared" si="8"/>
        <v>-500000</v>
      </c>
      <c r="M36" s="94">
        <v>-700000</v>
      </c>
      <c r="N36" s="94">
        <v>0</v>
      </c>
      <c r="O36" s="94">
        <v>0</v>
      </c>
      <c r="P36" s="94">
        <v>0</v>
      </c>
      <c r="Q36" s="89">
        <f t="shared" si="9"/>
        <v>-700000</v>
      </c>
      <c r="R36" s="94">
        <v>0</v>
      </c>
    </row>
    <row r="37" spans="1:18" ht="12.75" customHeight="1" x14ac:dyDescent="0.3">
      <c r="A37" s="133"/>
      <c r="B37" s="75" t="s">
        <v>158</v>
      </c>
      <c r="C37" s="75"/>
      <c r="D37" s="75"/>
      <c r="E37" s="75"/>
      <c r="F37" s="75"/>
      <c r="G37" s="75"/>
      <c r="H37" s="94">
        <v>48071</v>
      </c>
      <c r="I37" s="94">
        <v>19749</v>
      </c>
      <c r="J37" s="94">
        <v>18445</v>
      </c>
      <c r="K37" s="94">
        <v>88149</v>
      </c>
      <c r="L37" s="89">
        <f t="shared" si="8"/>
        <v>174414</v>
      </c>
      <c r="M37" s="94">
        <v>13678</v>
      </c>
      <c r="N37" s="94">
        <v>11250</v>
      </c>
      <c r="O37" s="94">
        <v>4113</v>
      </c>
      <c r="P37" s="94">
        <v>6705</v>
      </c>
      <c r="Q37" s="89">
        <f t="shared" si="9"/>
        <v>35746</v>
      </c>
      <c r="R37" s="94">
        <v>26028</v>
      </c>
    </row>
    <row r="38" spans="1:18" ht="12.75" customHeight="1" x14ac:dyDescent="0.3">
      <c r="A38" s="133"/>
      <c r="B38" s="75" t="s">
        <v>159</v>
      </c>
      <c r="C38" s="75"/>
      <c r="D38" s="75"/>
      <c r="E38" s="75"/>
      <c r="F38" s="75"/>
      <c r="G38" s="75"/>
      <c r="H38" s="94">
        <v>0</v>
      </c>
      <c r="I38" s="94">
        <v>-500022</v>
      </c>
      <c r="J38" s="94">
        <v>-100000</v>
      </c>
      <c r="K38" s="94">
        <v>0</v>
      </c>
      <c r="L38" s="89">
        <f t="shared" si="8"/>
        <v>-600022</v>
      </c>
      <c r="M38" s="94">
        <v>0</v>
      </c>
      <c r="N38" s="94">
        <v>0</v>
      </c>
      <c r="O38" s="94">
        <v>0</v>
      </c>
      <c r="P38" s="94">
        <v>0</v>
      </c>
      <c r="Q38" s="89">
        <f t="shared" si="9"/>
        <v>0</v>
      </c>
      <c r="R38" s="94">
        <v>-400101</v>
      </c>
    </row>
    <row r="39" spans="1:18" ht="12.75" customHeight="1" x14ac:dyDescent="0.3">
      <c r="A39" s="133"/>
      <c r="B39" s="75" t="s">
        <v>160</v>
      </c>
      <c r="C39" s="75"/>
      <c r="D39" s="75"/>
      <c r="E39" s="75"/>
      <c r="F39" s="75"/>
      <c r="G39" s="75"/>
      <c r="H39" s="94">
        <v>0</v>
      </c>
      <c r="I39" s="94">
        <v>0</v>
      </c>
      <c r="J39" s="94">
        <v>0</v>
      </c>
      <c r="K39" s="94">
        <v>-224168</v>
      </c>
      <c r="L39" s="89">
        <f t="shared" si="8"/>
        <v>-224168</v>
      </c>
      <c r="M39" s="94">
        <v>0</v>
      </c>
      <c r="N39" s="94">
        <v>0</v>
      </c>
      <c r="O39" s="94">
        <v>0</v>
      </c>
      <c r="P39" s="94">
        <v>0</v>
      </c>
      <c r="Q39" s="89">
        <f t="shared" si="9"/>
        <v>0</v>
      </c>
      <c r="R39" s="94">
        <v>0</v>
      </c>
    </row>
    <row r="40" spans="1:18" ht="12.75" customHeight="1" x14ac:dyDescent="0.3">
      <c r="A40" s="133"/>
      <c r="B40" s="75"/>
      <c r="C40" s="75"/>
      <c r="D40" s="75"/>
      <c r="E40" s="75"/>
      <c r="F40" s="75"/>
      <c r="G40" s="75" t="s">
        <v>161</v>
      </c>
      <c r="H40" s="148">
        <f t="shared" ref="H40:R40" si="10">SUM(H34:H39)</f>
        <v>-451929</v>
      </c>
      <c r="I40" s="148">
        <f t="shared" si="10"/>
        <v>-480273</v>
      </c>
      <c r="J40" s="148">
        <f t="shared" si="10"/>
        <v>-81555</v>
      </c>
      <c r="K40" s="148">
        <f t="shared" si="10"/>
        <v>-136019</v>
      </c>
      <c r="L40" s="149">
        <f t="shared" si="10"/>
        <v>-1149776</v>
      </c>
      <c r="M40" s="148">
        <f t="shared" si="10"/>
        <v>-686322</v>
      </c>
      <c r="N40" s="148">
        <f t="shared" si="10"/>
        <v>11250</v>
      </c>
      <c r="O40" s="148">
        <f t="shared" si="10"/>
        <v>4113</v>
      </c>
      <c r="P40" s="148">
        <f t="shared" si="10"/>
        <v>6705</v>
      </c>
      <c r="Q40" s="149">
        <f t="shared" si="10"/>
        <v>-664254</v>
      </c>
      <c r="R40" s="148">
        <f t="shared" si="10"/>
        <v>-374073</v>
      </c>
    </row>
    <row r="41" spans="1:18" ht="12.75" customHeight="1" x14ac:dyDescent="0.3">
      <c r="A41" s="133"/>
      <c r="B41" s="75"/>
      <c r="C41" s="75"/>
      <c r="D41" s="75"/>
      <c r="E41" s="75"/>
      <c r="F41" s="75"/>
      <c r="G41" s="75"/>
      <c r="H41" s="90"/>
      <c r="I41" s="90"/>
      <c r="J41" s="90"/>
      <c r="K41" s="90"/>
      <c r="L41" s="89"/>
      <c r="M41" s="90"/>
      <c r="N41" s="90"/>
      <c r="O41" s="90"/>
      <c r="P41" s="90"/>
      <c r="Q41" s="89"/>
      <c r="R41" s="90"/>
    </row>
    <row r="42" spans="1:18" ht="12.75" customHeight="1" x14ac:dyDescent="0.3">
      <c r="A42" s="133" t="s">
        <v>162</v>
      </c>
      <c r="B42" s="75"/>
      <c r="C42" s="75"/>
      <c r="D42" s="75"/>
      <c r="E42" s="75"/>
      <c r="F42" s="75"/>
      <c r="G42" s="75"/>
      <c r="H42" s="94">
        <v>-2949.6600000000003</v>
      </c>
      <c r="I42" s="94">
        <v>1643.39</v>
      </c>
      <c r="J42" s="94">
        <v>-4469.01</v>
      </c>
      <c r="K42" s="94">
        <v>-296.52000000000004</v>
      </c>
      <c r="L42" s="89">
        <f t="shared" ref="L42:L43" si="11">SUM(H42:K42)</f>
        <v>-6071.8000000000011</v>
      </c>
      <c r="M42" s="94">
        <v>-801.36000000000013</v>
      </c>
      <c r="N42" s="94">
        <v>-10163.86</v>
      </c>
      <c r="O42" s="94">
        <v>-12604.060000000001</v>
      </c>
      <c r="P42" s="94">
        <v>11659.480000000001</v>
      </c>
      <c r="Q42" s="89">
        <f t="shared" ref="Q42:Q43" si="12">SUM(M42:P42)</f>
        <v>-11909.800000000001</v>
      </c>
      <c r="R42" s="94">
        <v>1849.6100000000001</v>
      </c>
    </row>
    <row r="43" spans="1:18" ht="12.75" customHeight="1" x14ac:dyDescent="0.3">
      <c r="A43" s="133" t="s">
        <v>163</v>
      </c>
      <c r="B43" s="75"/>
      <c r="C43" s="75"/>
      <c r="D43" s="75"/>
      <c r="E43" s="75"/>
      <c r="F43" s="75"/>
      <c r="G43" s="75"/>
      <c r="H43" s="94">
        <v>13830.810000000001</v>
      </c>
      <c r="I43" s="94">
        <v>-44228.450000000004</v>
      </c>
      <c r="J43" s="94">
        <v>-17615.5</v>
      </c>
      <c r="K43" s="94">
        <v>-104849.99</v>
      </c>
      <c r="L43" s="89">
        <f t="shared" si="11"/>
        <v>-152863.13</v>
      </c>
      <c r="M43" s="94">
        <v>-1442.7</v>
      </c>
      <c r="N43" s="94">
        <v>-13306.44</v>
      </c>
      <c r="O43" s="94">
        <v>20713.350000000002</v>
      </c>
      <c r="P43" s="94">
        <v>-67881.240000000005</v>
      </c>
      <c r="Q43" s="89">
        <f t="shared" si="12"/>
        <v>-61917.030000000006</v>
      </c>
      <c r="R43" s="94">
        <v>109720.59000000001</v>
      </c>
    </row>
    <row r="44" spans="1:18" ht="12.75" customHeight="1" x14ac:dyDescent="0.3">
      <c r="A44" s="133" t="s">
        <v>164</v>
      </c>
      <c r="B44" s="75"/>
      <c r="C44" s="75"/>
      <c r="D44" s="75"/>
      <c r="E44" s="75"/>
      <c r="F44" s="75"/>
      <c r="G44" s="75"/>
      <c r="H44" s="94">
        <v>576720.9</v>
      </c>
      <c r="I44" s="94">
        <v>590551.71000000008</v>
      </c>
      <c r="J44" s="94">
        <v>546323.26</v>
      </c>
      <c r="K44" s="94">
        <v>528707.76</v>
      </c>
      <c r="L44" s="89">
        <v>8238870</v>
      </c>
      <c r="M44" s="94">
        <v>423857.77</v>
      </c>
      <c r="N44" s="94">
        <v>422415.07000000007</v>
      </c>
      <c r="O44" s="94">
        <v>409108.63000000006</v>
      </c>
      <c r="P44" s="94">
        <v>429821.98000000004</v>
      </c>
      <c r="Q44" s="89">
        <v>6055111</v>
      </c>
      <c r="R44" s="94">
        <v>361940.74000000005</v>
      </c>
    </row>
    <row r="45" spans="1:18" ht="12.75" customHeight="1" x14ac:dyDescent="0.3">
      <c r="A45" s="85" t="s">
        <v>165</v>
      </c>
      <c r="B45" s="75"/>
      <c r="C45" s="75"/>
      <c r="D45" s="75"/>
      <c r="E45" s="75"/>
      <c r="F45" s="75"/>
      <c r="G45" s="75"/>
      <c r="H45" s="150">
        <f t="shared" ref="H45:R45" si="13">SUM(H43:H44)</f>
        <v>590551.71000000008</v>
      </c>
      <c r="I45" s="150">
        <f t="shared" si="13"/>
        <v>546323.26000000013</v>
      </c>
      <c r="J45" s="150">
        <f t="shared" si="13"/>
        <v>528707.76</v>
      </c>
      <c r="K45" s="150">
        <f t="shared" si="13"/>
        <v>423857.77</v>
      </c>
      <c r="L45" s="151">
        <f t="shared" si="13"/>
        <v>8086006.8700000001</v>
      </c>
      <c r="M45" s="150">
        <f t="shared" si="13"/>
        <v>422415.07</v>
      </c>
      <c r="N45" s="150">
        <f t="shared" si="13"/>
        <v>409108.63000000006</v>
      </c>
      <c r="O45" s="150">
        <f t="shared" si="13"/>
        <v>429821.98000000004</v>
      </c>
      <c r="P45" s="150">
        <f t="shared" si="13"/>
        <v>361940.74000000005</v>
      </c>
      <c r="Q45" s="151">
        <f t="shared" si="13"/>
        <v>5993193.9699999997</v>
      </c>
      <c r="R45" s="150">
        <f t="shared" si="13"/>
        <v>471661.33000000007</v>
      </c>
    </row>
    <row r="46" spans="1:18" ht="12.75" customHeight="1" x14ac:dyDescent="0.3">
      <c r="A46" s="152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89"/>
      <c r="M46" s="75"/>
      <c r="N46" s="75"/>
      <c r="O46" s="75"/>
      <c r="P46" s="75"/>
      <c r="Q46" s="89"/>
      <c r="R46" s="75"/>
    </row>
    <row r="47" spans="1:18" ht="12.75" customHeight="1" x14ac:dyDescent="0.3">
      <c r="A47" s="153" t="s">
        <v>166</v>
      </c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84"/>
      <c r="M47" s="75"/>
      <c r="N47" s="75"/>
      <c r="O47" s="75"/>
      <c r="P47" s="75"/>
      <c r="Q47" s="84"/>
      <c r="R47" s="75"/>
    </row>
    <row r="48" spans="1:18" ht="12.75" customHeight="1" x14ac:dyDescent="0.3">
      <c r="A48" s="154"/>
      <c r="B48" s="75" t="s">
        <v>147</v>
      </c>
      <c r="C48" s="75"/>
      <c r="D48" s="75"/>
      <c r="E48" s="75"/>
      <c r="F48" s="75"/>
      <c r="G48" s="75"/>
      <c r="H48" s="146">
        <f t="shared" ref="H48:R48" si="14">H26</f>
        <v>54408.619999999995</v>
      </c>
      <c r="I48" s="146">
        <f t="shared" si="14"/>
        <v>-4463.2699999999695</v>
      </c>
      <c r="J48" s="146">
        <f t="shared" si="14"/>
        <v>5766.5300000000116</v>
      </c>
      <c r="K48" s="146">
        <f t="shared" si="14"/>
        <v>-28229.179999999978</v>
      </c>
      <c r="L48" s="147">
        <f t="shared" si="14"/>
        <v>27482.69999999999</v>
      </c>
      <c r="M48" s="146">
        <f t="shared" si="14"/>
        <v>64598.730000000025</v>
      </c>
      <c r="N48" s="146">
        <f t="shared" si="14"/>
        <v>7192.4999999999909</v>
      </c>
      <c r="O48" s="146">
        <f t="shared" si="14"/>
        <v>38976.700000000004</v>
      </c>
      <c r="P48" s="146">
        <f t="shared" si="14"/>
        <v>31070.060000000027</v>
      </c>
      <c r="Q48" s="147">
        <f t="shared" si="14"/>
        <v>141837.99000000022</v>
      </c>
      <c r="R48" s="146">
        <f t="shared" si="14"/>
        <v>61153.400000000009</v>
      </c>
    </row>
    <row r="49" spans="1:18" ht="12.75" customHeight="1" x14ac:dyDescent="0.3">
      <c r="A49" s="144"/>
      <c r="B49" s="75" t="s">
        <v>149</v>
      </c>
      <c r="C49" s="75"/>
      <c r="D49" s="75"/>
      <c r="E49" s="75"/>
      <c r="F49" s="75"/>
      <c r="G49" s="75"/>
      <c r="H49" s="94">
        <f t="shared" ref="H49:R49" si="15">H28</f>
        <v>-5670.0700000000006</v>
      </c>
      <c r="I49" s="94">
        <f t="shared" si="15"/>
        <v>-7719.4600000000009</v>
      </c>
      <c r="J49" s="94">
        <f t="shared" si="15"/>
        <v>-11712.890000000001</v>
      </c>
      <c r="K49" s="94">
        <f t="shared" si="15"/>
        <v>-11618.53</v>
      </c>
      <c r="L49" s="89">
        <f t="shared" si="15"/>
        <v>-36720.950000000004</v>
      </c>
      <c r="M49" s="94">
        <f t="shared" si="15"/>
        <v>-8481.0600000000013</v>
      </c>
      <c r="N49" s="94">
        <f t="shared" si="15"/>
        <v>-6301.26</v>
      </c>
      <c r="O49" s="94">
        <f t="shared" si="15"/>
        <v>-5947.2000000000007</v>
      </c>
      <c r="P49" s="94">
        <f t="shared" si="15"/>
        <v>-7811.5100000000011</v>
      </c>
      <c r="Q49" s="89">
        <f t="shared" si="15"/>
        <v>-28541.030000000006</v>
      </c>
      <c r="R49" s="94">
        <f t="shared" si="15"/>
        <v>-4341.3300000000008</v>
      </c>
    </row>
    <row r="50" spans="1:18" ht="12.75" customHeight="1" x14ac:dyDescent="0.3">
      <c r="A50" s="144"/>
      <c r="B50" s="75" t="s">
        <v>150</v>
      </c>
      <c r="C50" s="75"/>
      <c r="D50" s="75"/>
      <c r="E50" s="75"/>
      <c r="F50" s="75"/>
      <c r="G50" s="75"/>
      <c r="H50" s="94">
        <f t="shared" ref="H50:R50" si="16">H29</f>
        <v>-323.05</v>
      </c>
      <c r="I50" s="94">
        <f t="shared" si="16"/>
        <v>-70</v>
      </c>
      <c r="J50" s="94">
        <f t="shared" si="16"/>
        <v>-1491.2800000000002</v>
      </c>
      <c r="K50" s="94">
        <f t="shared" si="16"/>
        <v>0</v>
      </c>
      <c r="L50" s="89">
        <f t="shared" si="16"/>
        <v>-1884.3300000000002</v>
      </c>
      <c r="M50" s="94">
        <f t="shared" si="16"/>
        <v>0</v>
      </c>
      <c r="N50" s="94">
        <f t="shared" si="16"/>
        <v>0</v>
      </c>
      <c r="O50" s="94">
        <f t="shared" si="16"/>
        <v>0</v>
      </c>
      <c r="P50" s="94">
        <f t="shared" si="16"/>
        <v>0</v>
      </c>
      <c r="Q50" s="89">
        <f t="shared" si="16"/>
        <v>0</v>
      </c>
      <c r="R50" s="94">
        <f t="shared" si="16"/>
        <v>0</v>
      </c>
    </row>
    <row r="51" spans="1:18" ht="12.75" customHeight="1" x14ac:dyDescent="0.3">
      <c r="A51" s="155"/>
      <c r="B51" s="106" t="s">
        <v>167</v>
      </c>
      <c r="C51" s="106"/>
      <c r="D51" s="106"/>
      <c r="E51" s="106"/>
      <c r="F51" s="106"/>
      <c r="G51" s="75"/>
      <c r="H51" s="150">
        <f t="shared" ref="H51:R51" si="17">SUM(H48:H50)</f>
        <v>48415.499999999993</v>
      </c>
      <c r="I51" s="150">
        <f t="shared" si="17"/>
        <v>-12252.72999999997</v>
      </c>
      <c r="J51" s="150">
        <f t="shared" si="17"/>
        <v>-7437.6399999999903</v>
      </c>
      <c r="K51" s="150">
        <f t="shared" si="17"/>
        <v>-39847.709999999977</v>
      </c>
      <c r="L51" s="151">
        <f t="shared" si="17"/>
        <v>-11122.580000000014</v>
      </c>
      <c r="M51" s="150">
        <f t="shared" si="17"/>
        <v>56117.670000000027</v>
      </c>
      <c r="N51" s="150">
        <f t="shared" si="17"/>
        <v>891.23999999999069</v>
      </c>
      <c r="O51" s="150">
        <f t="shared" si="17"/>
        <v>33029.5</v>
      </c>
      <c r="P51" s="150">
        <f t="shared" si="17"/>
        <v>23258.550000000025</v>
      </c>
      <c r="Q51" s="151">
        <f t="shared" si="17"/>
        <v>113296.96000000022</v>
      </c>
      <c r="R51" s="150">
        <f t="shared" si="17"/>
        <v>56812.070000000007</v>
      </c>
    </row>
  </sheetData>
  <mergeCells count="2">
    <mergeCell ref="H5:K5"/>
    <mergeCell ref="M5:P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K13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6.109375" customWidth="1"/>
    <col min="3" max="11" width="14.88671875" customWidth="1"/>
    <col min="12" max="26" width="8.6640625" customWidth="1"/>
  </cols>
  <sheetData>
    <row r="1" spans="1:11" ht="15.6" x14ac:dyDescent="0.3">
      <c r="A1" s="2" t="s">
        <v>1</v>
      </c>
    </row>
    <row r="3" spans="1:11" ht="27.6" x14ac:dyDescent="0.3">
      <c r="C3" s="165" t="s">
        <v>81</v>
      </c>
      <c r="D3" s="166"/>
      <c r="E3" s="166"/>
      <c r="F3" s="166"/>
      <c r="G3" s="165" t="s">
        <v>81</v>
      </c>
      <c r="H3" s="166"/>
      <c r="I3" s="166"/>
      <c r="J3" s="166"/>
      <c r="K3" s="77" t="s">
        <v>81</v>
      </c>
    </row>
    <row r="4" spans="1:11" ht="14.4" x14ac:dyDescent="0.3">
      <c r="C4" s="79" t="s">
        <v>83</v>
      </c>
      <c r="D4" s="79" t="s">
        <v>84</v>
      </c>
      <c r="E4" s="79" t="s">
        <v>85</v>
      </c>
      <c r="F4" s="79" t="s">
        <v>86</v>
      </c>
      <c r="G4" s="79" t="s">
        <v>83</v>
      </c>
      <c r="H4" s="79" t="s">
        <v>84</v>
      </c>
      <c r="I4" s="79" t="s">
        <v>85</v>
      </c>
      <c r="J4" s="79" t="s">
        <v>86</v>
      </c>
      <c r="K4" s="79" t="s">
        <v>83</v>
      </c>
    </row>
    <row r="5" spans="1:11" ht="14.4" x14ac:dyDescent="0.3">
      <c r="C5" s="81">
        <v>2021</v>
      </c>
      <c r="D5" s="81">
        <v>2021</v>
      </c>
      <c r="E5" s="81">
        <v>2021</v>
      </c>
      <c r="F5" s="81">
        <v>2021</v>
      </c>
      <c r="G5" s="81">
        <v>2022</v>
      </c>
      <c r="H5" s="81">
        <v>2022</v>
      </c>
      <c r="I5" s="81">
        <v>2022</v>
      </c>
      <c r="J5" s="81">
        <v>2022</v>
      </c>
      <c r="K5" s="81">
        <v>2023</v>
      </c>
    </row>
    <row r="6" spans="1:11" ht="14.4" x14ac:dyDescent="0.3">
      <c r="B6" s="156" t="s">
        <v>168</v>
      </c>
      <c r="C6" s="157">
        <f>'Income Statement'!F9</f>
        <v>501429.74000000005</v>
      </c>
      <c r="D6" s="157">
        <f>'Income Statement'!G9</f>
        <v>513924.39000000007</v>
      </c>
      <c r="E6" s="157">
        <f>'Income Statement'!H9</f>
        <v>523842.69000000006</v>
      </c>
      <c r="F6" s="157">
        <f>'Income Statement'!I9</f>
        <v>539652.26</v>
      </c>
      <c r="G6" s="157">
        <f>'Income Statement'!K9</f>
        <v>550743.69000000006</v>
      </c>
      <c r="H6" s="157">
        <f>'Income Statement'!L9</f>
        <v>557909.87</v>
      </c>
      <c r="I6" s="157">
        <f>'Income Statement'!M9</f>
        <v>554791.2300000001</v>
      </c>
      <c r="J6" s="157">
        <f>'Income Statement'!N9</f>
        <v>549643.71000000008</v>
      </c>
      <c r="K6" s="157">
        <f>'Income Statement'!P9</f>
        <v>571305.21000000008</v>
      </c>
    </row>
    <row r="7" spans="1:11" ht="14.4" x14ac:dyDescent="0.3">
      <c r="B7" s="156" t="s">
        <v>169</v>
      </c>
      <c r="C7" s="158">
        <v>33</v>
      </c>
      <c r="D7" s="158">
        <v>33</v>
      </c>
      <c r="E7" s="158">
        <v>33</v>
      </c>
      <c r="F7" s="158">
        <v>33</v>
      </c>
      <c r="G7" s="158">
        <v>34</v>
      </c>
      <c r="H7" s="158">
        <v>34</v>
      </c>
      <c r="I7" s="158">
        <v>34</v>
      </c>
      <c r="J7" s="158">
        <v>34</v>
      </c>
      <c r="K7" s="158">
        <v>34</v>
      </c>
    </row>
    <row r="8" spans="1:11" ht="14.4" x14ac:dyDescent="0.3">
      <c r="C8" s="158"/>
      <c r="D8" s="158"/>
      <c r="E8" s="158"/>
      <c r="F8" s="158"/>
      <c r="G8" s="158"/>
      <c r="H8" s="158"/>
      <c r="I8" s="158"/>
      <c r="J8" s="158"/>
      <c r="K8" s="158"/>
    </row>
    <row r="9" spans="1:11" ht="14.4" x14ac:dyDescent="0.3">
      <c r="B9" s="74" t="s">
        <v>170</v>
      </c>
      <c r="C9" s="159">
        <f t="shared" ref="C9:K9" si="0">C6/C7</f>
        <v>15194.840606060607</v>
      </c>
      <c r="D9" s="159">
        <f t="shared" si="0"/>
        <v>15573.466363636366</v>
      </c>
      <c r="E9" s="159">
        <f t="shared" si="0"/>
        <v>15874.02090909091</v>
      </c>
      <c r="F9" s="159">
        <f t="shared" si="0"/>
        <v>16353.098787878787</v>
      </c>
      <c r="G9" s="159">
        <f t="shared" si="0"/>
        <v>16198.343823529414</v>
      </c>
      <c r="H9" s="159">
        <f t="shared" si="0"/>
        <v>16409.113823529413</v>
      </c>
      <c r="I9" s="159">
        <f t="shared" si="0"/>
        <v>16317.389117647062</v>
      </c>
      <c r="J9" s="159">
        <f t="shared" si="0"/>
        <v>16165.991470588238</v>
      </c>
      <c r="K9" s="159">
        <f t="shared" si="0"/>
        <v>16803.094411764709</v>
      </c>
    </row>
    <row r="10" spans="1:11" ht="14.4" x14ac:dyDescent="0.3">
      <c r="B10" s="156" t="s">
        <v>171</v>
      </c>
      <c r="C10" s="42">
        <v>89</v>
      </c>
      <c r="D10" s="42">
        <v>200</v>
      </c>
      <c r="E10" s="42">
        <v>204</v>
      </c>
      <c r="F10" s="42">
        <v>444</v>
      </c>
      <c r="G10" s="42">
        <v>2446</v>
      </c>
      <c r="H10" s="42">
        <v>5000</v>
      </c>
      <c r="I10" s="42">
        <v>1655</v>
      </c>
      <c r="J10" s="42">
        <v>1244</v>
      </c>
      <c r="K10" s="42">
        <v>322</v>
      </c>
    </row>
    <row r="11" spans="1:11" ht="14.4" x14ac:dyDescent="0.3">
      <c r="B11" s="74" t="s">
        <v>172</v>
      </c>
      <c r="C11" s="159">
        <f t="shared" ref="C11:J11" si="1">D9</f>
        <v>15573.466363636366</v>
      </c>
      <c r="D11" s="159">
        <f t="shared" si="1"/>
        <v>15874.02090909091</v>
      </c>
      <c r="E11" s="159">
        <f t="shared" si="1"/>
        <v>16353.098787878787</v>
      </c>
      <c r="F11" s="159">
        <f t="shared" si="1"/>
        <v>16198.343823529414</v>
      </c>
      <c r="G11" s="159">
        <f t="shared" si="1"/>
        <v>16409.113823529413</v>
      </c>
      <c r="H11" s="159">
        <f t="shared" si="1"/>
        <v>16317.389117647062</v>
      </c>
      <c r="I11" s="159">
        <f t="shared" si="1"/>
        <v>16165.991470588238</v>
      </c>
      <c r="J11" s="159">
        <f t="shared" si="1"/>
        <v>16803.094411764709</v>
      </c>
      <c r="K11" s="159">
        <v>18446</v>
      </c>
    </row>
    <row r="13" spans="1:11" ht="14.4" x14ac:dyDescent="0.3">
      <c r="B13" s="156" t="s">
        <v>173</v>
      </c>
      <c r="D13" s="68"/>
      <c r="E13" s="68"/>
      <c r="F13" s="68"/>
      <c r="G13" s="68"/>
      <c r="H13" s="68"/>
      <c r="I13" s="68"/>
      <c r="J13" s="68"/>
      <c r="K13" s="68"/>
    </row>
  </sheetData>
  <mergeCells count="2">
    <mergeCell ref="C3:F3"/>
    <mergeCell ref="G3:J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Output 1</vt:lpstr>
      <vt:lpstr>Output 2</vt:lpstr>
      <vt:lpstr>Output 3</vt:lpstr>
      <vt:lpstr>Income Statement</vt:lpstr>
      <vt:lpstr>Balance Sheet</vt:lpstr>
      <vt:lpstr>Cash Flows</vt:lpstr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rodgers</dc:creator>
  <cp:lastModifiedBy>Shakthi Sree</cp:lastModifiedBy>
  <dcterms:created xsi:type="dcterms:W3CDTF">2023-05-19T16:46:02Z</dcterms:created>
  <dcterms:modified xsi:type="dcterms:W3CDTF">2025-03-21T12:34:54Z</dcterms:modified>
</cp:coreProperties>
</file>