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77D4F41-32A8-4126-9CCD-F40DE6A2CA45}" xr6:coauthVersionLast="47" xr6:coauthVersionMax="47" xr10:uidLastSave="{00000000-0000-0000-0000-000000000000}"/>
  <bookViews>
    <workbookView xWindow="-108" yWindow="-108" windowWidth="23256" windowHeight="12576" activeTab="9" xr2:uid="{7808E2C9-17BD-4852-8B60-4E7148F63491}"/>
  </bookViews>
  <sheets>
    <sheet name="Shrawon" sheetId="1" r:id="rId1"/>
    <sheet name="Bhadra" sheetId="2" r:id="rId2"/>
    <sheet name="Aswin" sheetId="3" r:id="rId3"/>
    <sheet name="Kartik" sheetId="4" r:id="rId4"/>
    <sheet name="Mangsir" sheetId="5" r:id="rId5"/>
    <sheet name="Poush" sheetId="6" r:id="rId6"/>
    <sheet name="Magh" sheetId="7" r:id="rId7"/>
    <sheet name="Falgun" sheetId="8" r:id="rId8"/>
    <sheet name="Chaitra" sheetId="9" r:id="rId9"/>
    <sheet name="Baisakh" sheetId="10" r:id="rId10"/>
    <sheet name="Jeastha" sheetId="11" r:id="rId11"/>
    <sheet name="Asar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0" l="1"/>
  <c r="I17" i="10"/>
  <c r="I7" i="9"/>
  <c r="I8" i="9"/>
  <c r="K22" i="8"/>
  <c r="I22" i="8"/>
  <c r="K20" i="7"/>
  <c r="I20" i="7"/>
  <c r="K22" i="5"/>
  <c r="I22" i="5"/>
  <c r="J22" i="5"/>
  <c r="I12" i="5"/>
  <c r="K12" i="5" s="1"/>
  <c r="I7" i="4"/>
  <c r="K28" i="2"/>
  <c r="J28" i="2"/>
  <c r="J10" i="2"/>
  <c r="I9" i="2"/>
  <c r="K9" i="2" s="1"/>
  <c r="I10" i="2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C9" i="12"/>
  <c r="C10" i="12" s="1"/>
  <c r="C11" i="12" s="1"/>
  <c r="C12" i="12" s="1"/>
  <c r="C13" i="12" s="1"/>
  <c r="C14" i="12" s="1"/>
  <c r="C15" i="12" s="1"/>
  <c r="C16" i="12" s="1"/>
  <c r="C17" i="12" s="1"/>
  <c r="S14" i="11"/>
  <c r="N14" i="11"/>
  <c r="M14" i="11"/>
  <c r="P14" i="11"/>
  <c r="R14" i="11" s="1"/>
  <c r="S14" i="10"/>
  <c r="M15" i="6"/>
  <c r="M25" i="6"/>
  <c r="R16" i="6"/>
  <c r="R17" i="6"/>
  <c r="W7" i="5"/>
  <c r="M16" i="12"/>
  <c r="M15" i="12"/>
  <c r="P15" i="12" s="1"/>
  <c r="R15" i="12" s="1"/>
  <c r="V18" i="12"/>
  <c r="U18" i="12"/>
  <c r="U1" i="12" s="1"/>
  <c r="T18" i="12"/>
  <c r="T1" i="12" s="1"/>
  <c r="S18" i="12"/>
  <c r="S1" i="12" s="1"/>
  <c r="O18" i="12"/>
  <c r="O1" i="12" s="1"/>
  <c r="N18" i="12"/>
  <c r="N1" i="12" s="1"/>
  <c r="L18" i="12"/>
  <c r="H18" i="12"/>
  <c r="H1" i="12" s="1"/>
  <c r="G18" i="12"/>
  <c r="G1" i="12" s="1"/>
  <c r="F18" i="12"/>
  <c r="F1" i="12" s="1"/>
  <c r="W17" i="12"/>
  <c r="P17" i="12"/>
  <c r="R17" i="12" s="1"/>
  <c r="I17" i="12"/>
  <c r="K17" i="12" s="1"/>
  <c r="W16" i="12"/>
  <c r="P16" i="12"/>
  <c r="R16" i="12" s="1"/>
  <c r="I16" i="12"/>
  <c r="K16" i="12" s="1"/>
  <c r="W15" i="12"/>
  <c r="I15" i="12"/>
  <c r="K15" i="12" s="1"/>
  <c r="W14" i="12"/>
  <c r="P14" i="12"/>
  <c r="R14" i="12" s="1"/>
  <c r="I14" i="12"/>
  <c r="K14" i="12" s="1"/>
  <c r="W13" i="12"/>
  <c r="P13" i="12"/>
  <c r="R13" i="12" s="1"/>
  <c r="I13" i="12"/>
  <c r="K13" i="12" s="1"/>
  <c r="W12" i="12"/>
  <c r="P12" i="12"/>
  <c r="R12" i="12" s="1"/>
  <c r="I12" i="12"/>
  <c r="K12" i="12" s="1"/>
  <c r="W11" i="12"/>
  <c r="P11" i="12"/>
  <c r="R11" i="12" s="1"/>
  <c r="I11" i="12"/>
  <c r="K11" i="12" s="1"/>
  <c r="W10" i="12"/>
  <c r="P10" i="12"/>
  <c r="R10" i="12" s="1"/>
  <c r="I10" i="12"/>
  <c r="K10" i="12" s="1"/>
  <c r="W9" i="12"/>
  <c r="P9" i="12"/>
  <c r="R9" i="12" s="1"/>
  <c r="K9" i="12"/>
  <c r="W8" i="12"/>
  <c r="R8" i="12"/>
  <c r="K8" i="12"/>
  <c r="W7" i="12"/>
  <c r="W18" i="12" s="1"/>
  <c r="W1" i="12" s="1"/>
  <c r="P7" i="12"/>
  <c r="R7" i="12" s="1"/>
  <c r="V1" i="12"/>
  <c r="L1" i="12"/>
  <c r="J1" i="12"/>
  <c r="I1" i="12"/>
  <c r="E1" i="12"/>
  <c r="A1" i="12"/>
  <c r="S21" i="11"/>
  <c r="T23" i="11"/>
  <c r="T1" i="11" s="1"/>
  <c r="O23" i="11"/>
  <c r="O1" i="11" s="1"/>
  <c r="N21" i="11"/>
  <c r="N23" i="11" s="1"/>
  <c r="N1" i="11" s="1"/>
  <c r="M21" i="11"/>
  <c r="M19" i="11"/>
  <c r="P19" i="11" s="1"/>
  <c r="R19" i="11" s="1"/>
  <c r="M10" i="11"/>
  <c r="P10" i="11" s="1"/>
  <c r="R10" i="11" s="1"/>
  <c r="V23" i="11"/>
  <c r="U23" i="11"/>
  <c r="U1" i="11" s="1"/>
  <c r="L23" i="11"/>
  <c r="H23" i="11"/>
  <c r="H1" i="11" s="1"/>
  <c r="G23" i="11"/>
  <c r="F23" i="11"/>
  <c r="W22" i="11"/>
  <c r="P22" i="11"/>
  <c r="R22" i="11" s="1"/>
  <c r="I22" i="11"/>
  <c r="K22" i="11" s="1"/>
  <c r="I21" i="11"/>
  <c r="K21" i="11" s="1"/>
  <c r="W20" i="11"/>
  <c r="P20" i="11"/>
  <c r="R20" i="11" s="1"/>
  <c r="I20" i="11"/>
  <c r="K20" i="11" s="1"/>
  <c r="W19" i="11"/>
  <c r="I19" i="11"/>
  <c r="K19" i="11" s="1"/>
  <c r="W18" i="11"/>
  <c r="P18" i="11"/>
  <c r="R18" i="11" s="1"/>
  <c r="I18" i="11"/>
  <c r="K18" i="11" s="1"/>
  <c r="W17" i="11"/>
  <c r="P17" i="11"/>
  <c r="R17" i="11" s="1"/>
  <c r="I17" i="11"/>
  <c r="K17" i="11" s="1"/>
  <c r="W16" i="11"/>
  <c r="P16" i="11"/>
  <c r="R16" i="11" s="1"/>
  <c r="I16" i="11"/>
  <c r="K16" i="11" s="1"/>
  <c r="W15" i="11"/>
  <c r="P15" i="11"/>
  <c r="R15" i="11" s="1"/>
  <c r="I15" i="11"/>
  <c r="K15" i="11" s="1"/>
  <c r="W14" i="11"/>
  <c r="I14" i="11"/>
  <c r="K14" i="11" s="1"/>
  <c r="W13" i="11"/>
  <c r="P13" i="11"/>
  <c r="R13" i="11" s="1"/>
  <c r="X13" i="11" s="1"/>
  <c r="Y13" i="11" s="1"/>
  <c r="I13" i="11"/>
  <c r="K13" i="11" s="1"/>
  <c r="W12" i="11"/>
  <c r="P12" i="11"/>
  <c r="R12" i="11" s="1"/>
  <c r="I12" i="11"/>
  <c r="K12" i="11" s="1"/>
  <c r="W11" i="11"/>
  <c r="P11" i="11"/>
  <c r="R11" i="11" s="1"/>
  <c r="I11" i="11"/>
  <c r="K11" i="11" s="1"/>
  <c r="W10" i="11"/>
  <c r="I10" i="11"/>
  <c r="K10" i="11" s="1"/>
  <c r="W9" i="11"/>
  <c r="P9" i="11"/>
  <c r="R9" i="11" s="1"/>
  <c r="K9" i="1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W8" i="11"/>
  <c r="P8" i="11"/>
  <c r="R8" i="11" s="1"/>
  <c r="I8" i="11"/>
  <c r="K8" i="11" s="1"/>
  <c r="W7" i="11"/>
  <c r="W23" i="11" s="1"/>
  <c r="W1" i="11" s="1"/>
  <c r="R7" i="11"/>
  <c r="X7" i="11" s="1"/>
  <c r="Y7" i="11" s="1"/>
  <c r="Y23" i="11" s="1"/>
  <c r="Y1" i="11" s="1"/>
  <c r="P7" i="11"/>
  <c r="V1" i="11"/>
  <c r="L1" i="11"/>
  <c r="J1" i="11"/>
  <c r="I1" i="11"/>
  <c r="G1" i="11"/>
  <c r="F1" i="11"/>
  <c r="E1" i="11"/>
  <c r="A1" i="11"/>
  <c r="K10" i="2" l="1"/>
  <c r="X16" i="11"/>
  <c r="Y16" i="11" s="1"/>
  <c r="X8" i="12"/>
  <c r="Y8" i="12" s="1"/>
  <c r="P21" i="11"/>
  <c r="R21" i="11" s="1"/>
  <c r="R23" i="11" s="1"/>
  <c r="X17" i="11"/>
  <c r="Y17" i="11" s="1"/>
  <c r="X14" i="12"/>
  <c r="Y14" i="12" s="1"/>
  <c r="X12" i="12"/>
  <c r="Y12" i="12" s="1"/>
  <c r="M18" i="12"/>
  <c r="M1" i="12" s="1"/>
  <c r="X13" i="12"/>
  <c r="Y13" i="12" s="1"/>
  <c r="X16" i="12"/>
  <c r="Y16" i="12" s="1"/>
  <c r="X17" i="12"/>
  <c r="Y17" i="12" s="1"/>
  <c r="X15" i="12"/>
  <c r="Y15" i="12" s="1"/>
  <c r="X11" i="12"/>
  <c r="Y11" i="12" s="1"/>
  <c r="X10" i="12"/>
  <c r="Y10" i="12" s="1"/>
  <c r="X9" i="12"/>
  <c r="Y9" i="12" s="1"/>
  <c r="R18" i="12"/>
  <c r="X7" i="12"/>
  <c r="Y7" i="12" s="1"/>
  <c r="Y18" i="12" s="1"/>
  <c r="Y1" i="12" s="1"/>
  <c r="C19" i="11"/>
  <c r="C20" i="11" s="1"/>
  <c r="C21" i="11" s="1"/>
  <c r="C22" i="11" s="1"/>
  <c r="X14" i="11"/>
  <c r="Y14" i="11" s="1"/>
  <c r="X22" i="11"/>
  <c r="Y22" i="11" s="1"/>
  <c r="W21" i="11"/>
  <c r="X19" i="11"/>
  <c r="Y19" i="11" s="1"/>
  <c r="X18" i="11"/>
  <c r="Y18" i="11" s="1"/>
  <c r="X15" i="11"/>
  <c r="Y15" i="11" s="1"/>
  <c r="X12" i="11"/>
  <c r="Y12" i="11" s="1"/>
  <c r="X11" i="11"/>
  <c r="Y11" i="11" s="1"/>
  <c r="X10" i="11"/>
  <c r="Y10" i="11" s="1"/>
  <c r="X9" i="11"/>
  <c r="Y9" i="11" s="1"/>
  <c r="X8" i="11"/>
  <c r="Y8" i="11" s="1"/>
  <c r="X20" i="11"/>
  <c r="M23" i="11"/>
  <c r="M1" i="11" s="1"/>
  <c r="S23" i="11"/>
  <c r="S1" i="11" s="1"/>
  <c r="W23" i="10"/>
  <c r="W24" i="10"/>
  <c r="P23" i="10"/>
  <c r="R23" i="10"/>
  <c r="P24" i="10"/>
  <c r="R24" i="10" s="1"/>
  <c r="I23" i="10"/>
  <c r="K23" i="10"/>
  <c r="I24" i="10"/>
  <c r="K24" i="10" s="1"/>
  <c r="S21" i="10"/>
  <c r="M20" i="10"/>
  <c r="S11" i="10"/>
  <c r="M10" i="10"/>
  <c r="V25" i="10"/>
  <c r="V1" i="10" s="1"/>
  <c r="U25" i="10"/>
  <c r="U1" i="10" s="1"/>
  <c r="T25" i="10"/>
  <c r="T1" i="10" s="1"/>
  <c r="O25" i="10"/>
  <c r="O1" i="10" s="1"/>
  <c r="N25" i="10"/>
  <c r="L25" i="10"/>
  <c r="H25" i="10"/>
  <c r="G25" i="10"/>
  <c r="G1" i="10" s="1"/>
  <c r="F25" i="10"/>
  <c r="F1" i="10" s="1"/>
  <c r="W22" i="10"/>
  <c r="P22" i="10"/>
  <c r="R22" i="10" s="1"/>
  <c r="X22" i="10" s="1"/>
  <c r="Y22" i="10" s="1"/>
  <c r="I22" i="10"/>
  <c r="K22" i="10" s="1"/>
  <c r="W21" i="10"/>
  <c r="P21" i="10"/>
  <c r="R21" i="10" s="1"/>
  <c r="I21" i="10"/>
  <c r="K21" i="10" s="1"/>
  <c r="W20" i="10"/>
  <c r="I20" i="10"/>
  <c r="K20" i="10" s="1"/>
  <c r="W19" i="10"/>
  <c r="P19" i="10"/>
  <c r="R19" i="10" s="1"/>
  <c r="X19" i="10" s="1"/>
  <c r="Y19" i="10" s="1"/>
  <c r="I19" i="10"/>
  <c r="K19" i="10" s="1"/>
  <c r="W18" i="10"/>
  <c r="P18" i="10"/>
  <c r="R18" i="10" s="1"/>
  <c r="I18" i="10"/>
  <c r="K18" i="10" s="1"/>
  <c r="W16" i="10"/>
  <c r="P16" i="10"/>
  <c r="R16" i="10" s="1"/>
  <c r="I16" i="10"/>
  <c r="K16" i="10" s="1"/>
  <c r="W15" i="10"/>
  <c r="P15" i="10"/>
  <c r="R15" i="10" s="1"/>
  <c r="I15" i="10"/>
  <c r="K15" i="10" s="1"/>
  <c r="W14" i="10"/>
  <c r="P14" i="10"/>
  <c r="R14" i="10" s="1"/>
  <c r="I14" i="10"/>
  <c r="K14" i="10" s="1"/>
  <c r="W13" i="10"/>
  <c r="P13" i="10"/>
  <c r="R13" i="10" s="1"/>
  <c r="I13" i="10"/>
  <c r="K13" i="10" s="1"/>
  <c r="I12" i="10"/>
  <c r="K12" i="10" s="1"/>
  <c r="W11" i="10"/>
  <c r="P11" i="10"/>
  <c r="R11" i="10" s="1"/>
  <c r="I11" i="10"/>
  <c r="K11" i="10" s="1"/>
  <c r="W10" i="10"/>
  <c r="P10" i="10"/>
  <c r="R10" i="10" s="1"/>
  <c r="I10" i="10"/>
  <c r="K10" i="10" s="1"/>
  <c r="W9" i="10"/>
  <c r="P9" i="10"/>
  <c r="R9" i="10" s="1"/>
  <c r="K9" i="10"/>
  <c r="C9" i="10"/>
  <c r="C10" i="10" s="1"/>
  <c r="C11" i="10" s="1"/>
  <c r="C12" i="10" s="1"/>
  <c r="C13" i="10" s="1"/>
  <c r="C14" i="10" s="1"/>
  <c r="C15" i="10" s="1"/>
  <c r="C16" i="10" s="1"/>
  <c r="C18" i="10" s="1"/>
  <c r="W8" i="10"/>
  <c r="P8" i="10"/>
  <c r="R8" i="10" s="1"/>
  <c r="X8" i="10" s="1"/>
  <c r="Y8" i="10" s="1"/>
  <c r="I8" i="10"/>
  <c r="K8" i="10" s="1"/>
  <c r="W7" i="10"/>
  <c r="W25" i="10" s="1"/>
  <c r="W1" i="10" s="1"/>
  <c r="P7" i="10"/>
  <c r="R7" i="10" s="1"/>
  <c r="L1" i="10"/>
  <c r="J1" i="10"/>
  <c r="I1" i="10"/>
  <c r="H1" i="10"/>
  <c r="E1" i="10"/>
  <c r="A1" i="10"/>
  <c r="M20" i="9"/>
  <c r="P20" i="9" s="1"/>
  <c r="M18" i="9"/>
  <c r="M17" i="9"/>
  <c r="P17" i="9" s="1"/>
  <c r="R17" i="9" s="1"/>
  <c r="V23" i="9"/>
  <c r="V1" i="9" s="1"/>
  <c r="U23" i="9"/>
  <c r="U1" i="9" s="1"/>
  <c r="T23" i="9"/>
  <c r="T1" i="9" s="1"/>
  <c r="S23" i="9"/>
  <c r="S1" i="9" s="1"/>
  <c r="O23" i="9"/>
  <c r="O1" i="9" s="1"/>
  <c r="N23" i="9"/>
  <c r="N1" i="9" s="1"/>
  <c r="L23" i="9"/>
  <c r="H23" i="9"/>
  <c r="H1" i="9" s="1"/>
  <c r="G23" i="9"/>
  <c r="G1" i="9" s="1"/>
  <c r="F23" i="9"/>
  <c r="F1" i="9" s="1"/>
  <c r="W22" i="9"/>
  <c r="P22" i="9"/>
  <c r="R22" i="9" s="1"/>
  <c r="I22" i="9"/>
  <c r="K22" i="9" s="1"/>
  <c r="W21" i="9"/>
  <c r="P21" i="9"/>
  <c r="R21" i="9" s="1"/>
  <c r="I21" i="9"/>
  <c r="K21" i="9" s="1"/>
  <c r="W20" i="9"/>
  <c r="I20" i="9"/>
  <c r="K20" i="9" s="1"/>
  <c r="W19" i="9"/>
  <c r="P19" i="9"/>
  <c r="R19" i="9" s="1"/>
  <c r="I19" i="9"/>
  <c r="K19" i="9" s="1"/>
  <c r="W18" i="9"/>
  <c r="P18" i="9"/>
  <c r="R18" i="9" s="1"/>
  <c r="I18" i="9"/>
  <c r="K18" i="9" s="1"/>
  <c r="W17" i="9"/>
  <c r="I17" i="9"/>
  <c r="K17" i="9" s="1"/>
  <c r="W16" i="9"/>
  <c r="P16" i="9"/>
  <c r="R16" i="9" s="1"/>
  <c r="I16" i="9"/>
  <c r="K16" i="9" s="1"/>
  <c r="W15" i="9"/>
  <c r="P15" i="9"/>
  <c r="R15" i="9" s="1"/>
  <c r="I15" i="9"/>
  <c r="K15" i="9" s="1"/>
  <c r="W14" i="9"/>
  <c r="P14" i="9"/>
  <c r="R14" i="9" s="1"/>
  <c r="X14" i="9" s="1"/>
  <c r="Y14" i="9" s="1"/>
  <c r="I14" i="9"/>
  <c r="K14" i="9" s="1"/>
  <c r="W13" i="9"/>
  <c r="P13" i="9"/>
  <c r="R13" i="9" s="1"/>
  <c r="I13" i="9"/>
  <c r="K13" i="9" s="1"/>
  <c r="W12" i="9"/>
  <c r="P12" i="9"/>
  <c r="R12" i="9" s="1"/>
  <c r="I12" i="9"/>
  <c r="K12" i="9" s="1"/>
  <c r="W11" i="9"/>
  <c r="P11" i="9"/>
  <c r="R11" i="9" s="1"/>
  <c r="I11" i="9"/>
  <c r="K11" i="9" s="1"/>
  <c r="W10" i="9"/>
  <c r="P10" i="9"/>
  <c r="R10" i="9" s="1"/>
  <c r="K10" i="9"/>
  <c r="C10" i="9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W9" i="9"/>
  <c r="P9" i="9"/>
  <c r="R9" i="9" s="1"/>
  <c r="I9" i="9"/>
  <c r="K9" i="9" s="1"/>
  <c r="W7" i="9"/>
  <c r="W23" i="9" s="1"/>
  <c r="W1" i="9" s="1"/>
  <c r="P7" i="9"/>
  <c r="R7" i="9" s="1"/>
  <c r="X7" i="9" s="1"/>
  <c r="L1" i="9"/>
  <c r="J1" i="9"/>
  <c r="I1" i="9"/>
  <c r="E1" i="9"/>
  <c r="A1" i="9"/>
  <c r="M28" i="8"/>
  <c r="I26" i="8"/>
  <c r="K26" i="8" s="1"/>
  <c r="P26" i="8"/>
  <c r="R26" i="8" s="1"/>
  <c r="W26" i="8"/>
  <c r="I27" i="8"/>
  <c r="K27" i="8" s="1"/>
  <c r="P27" i="8"/>
  <c r="R27" i="8" s="1"/>
  <c r="W27" i="8"/>
  <c r="I28" i="8"/>
  <c r="K28" i="8" s="1"/>
  <c r="P28" i="8"/>
  <c r="R28" i="8" s="1"/>
  <c r="W28" i="8"/>
  <c r="M20" i="8"/>
  <c r="S18" i="8"/>
  <c r="P18" i="8"/>
  <c r="S17" i="8"/>
  <c r="X13" i="10" l="1"/>
  <c r="Y13" i="10" s="1"/>
  <c r="S25" i="10"/>
  <c r="S1" i="10" s="1"/>
  <c r="X22" i="9"/>
  <c r="Y22" i="9" s="1"/>
  <c r="X21" i="9"/>
  <c r="Y21" i="9" s="1"/>
  <c r="P18" i="12"/>
  <c r="P1" i="12" s="1"/>
  <c r="C19" i="10"/>
  <c r="C20" i="10" s="1"/>
  <c r="C21" i="10" s="1"/>
  <c r="C22" i="10" s="1"/>
  <c r="C23" i="10" s="1"/>
  <c r="C24" i="10" s="1"/>
  <c r="X14" i="10"/>
  <c r="Y14" i="10" s="1"/>
  <c r="X21" i="11"/>
  <c r="Y21" i="11" s="1"/>
  <c r="M25" i="10"/>
  <c r="M1" i="10" s="1"/>
  <c r="X12" i="9"/>
  <c r="Y12" i="9" s="1"/>
  <c r="X16" i="10"/>
  <c r="Y16" i="10" s="1"/>
  <c r="X15" i="10"/>
  <c r="Y15" i="10" s="1"/>
  <c r="X18" i="12"/>
  <c r="X1" i="12" s="1"/>
  <c r="Q18" i="12"/>
  <c r="Q1" i="12" s="1"/>
  <c r="R1" i="12"/>
  <c r="Y20" i="11"/>
  <c r="X23" i="11"/>
  <c r="X1" i="11" s="1"/>
  <c r="R1" i="11"/>
  <c r="P23" i="11"/>
  <c r="P1" i="11" s="1"/>
  <c r="X24" i="10"/>
  <c r="X23" i="10"/>
  <c r="Y23" i="10" s="1"/>
  <c r="X21" i="10"/>
  <c r="Y21" i="10" s="1"/>
  <c r="P20" i="10"/>
  <c r="R20" i="10" s="1"/>
  <c r="X20" i="10" s="1"/>
  <c r="Y20" i="10" s="1"/>
  <c r="X18" i="10"/>
  <c r="Y18" i="10" s="1"/>
  <c r="X11" i="10"/>
  <c r="Y11" i="10" s="1"/>
  <c r="X10" i="10"/>
  <c r="Y10" i="10" s="1"/>
  <c r="X9" i="10"/>
  <c r="Y9" i="10" s="1"/>
  <c r="X7" i="10"/>
  <c r="N1" i="10"/>
  <c r="X11" i="9"/>
  <c r="Y11" i="9" s="1"/>
  <c r="X17" i="9"/>
  <c r="Y17" i="9" s="1"/>
  <c r="X10" i="9"/>
  <c r="Y10" i="9" s="1"/>
  <c r="R20" i="9"/>
  <c r="X20" i="9" s="1"/>
  <c r="Y20" i="9" s="1"/>
  <c r="X13" i="9"/>
  <c r="Y13" i="9" s="1"/>
  <c r="X19" i="9"/>
  <c r="Y19" i="9" s="1"/>
  <c r="X18" i="9"/>
  <c r="Y18" i="9" s="1"/>
  <c r="M23" i="9"/>
  <c r="M1" i="9" s="1"/>
  <c r="X16" i="9"/>
  <c r="Y16" i="9" s="1"/>
  <c r="X15" i="9"/>
  <c r="Y15" i="9" s="1"/>
  <c r="X9" i="9"/>
  <c r="R23" i="9"/>
  <c r="Y7" i="9"/>
  <c r="Y23" i="9" s="1"/>
  <c r="Y1" i="9" s="1"/>
  <c r="X28" i="8"/>
  <c r="Y28" i="8" s="1"/>
  <c r="X27" i="8"/>
  <c r="Y27" i="8" s="1"/>
  <c r="X26" i="8"/>
  <c r="Y26" i="8" s="1"/>
  <c r="M8" i="8"/>
  <c r="P8" i="8" s="1"/>
  <c r="R8" i="8" s="1"/>
  <c r="V29" i="8"/>
  <c r="V1" i="8" s="1"/>
  <c r="T29" i="8"/>
  <c r="T1" i="8" s="1"/>
  <c r="S29" i="8"/>
  <c r="S1" i="8" s="1"/>
  <c r="O29" i="8"/>
  <c r="O1" i="8" s="1"/>
  <c r="N29" i="8"/>
  <c r="L29" i="8"/>
  <c r="H29" i="8"/>
  <c r="H1" i="8" s="1"/>
  <c r="G29" i="8"/>
  <c r="G1" i="8" s="1"/>
  <c r="F29" i="8"/>
  <c r="F1" i="8" s="1"/>
  <c r="W25" i="8"/>
  <c r="P25" i="8"/>
  <c r="R25" i="8" s="1"/>
  <c r="I25" i="8"/>
  <c r="K25" i="8" s="1"/>
  <c r="W24" i="8"/>
  <c r="P24" i="8"/>
  <c r="R24" i="8" s="1"/>
  <c r="I24" i="8"/>
  <c r="K24" i="8" s="1"/>
  <c r="W23" i="8"/>
  <c r="P23" i="8"/>
  <c r="R23" i="8" s="1"/>
  <c r="I23" i="8"/>
  <c r="K23" i="8" s="1"/>
  <c r="U29" i="8"/>
  <c r="U1" i="8" s="1"/>
  <c r="P21" i="8"/>
  <c r="R21" i="8" s="1"/>
  <c r="I21" i="8"/>
  <c r="K21" i="8" s="1"/>
  <c r="W20" i="8"/>
  <c r="P20" i="8"/>
  <c r="R20" i="8" s="1"/>
  <c r="I20" i="8"/>
  <c r="K20" i="8" s="1"/>
  <c r="W19" i="8"/>
  <c r="P19" i="8"/>
  <c r="R19" i="8" s="1"/>
  <c r="I19" i="8"/>
  <c r="K19" i="8" s="1"/>
  <c r="W18" i="8"/>
  <c r="R18" i="8"/>
  <c r="I18" i="8"/>
  <c r="K18" i="8" s="1"/>
  <c r="W17" i="8"/>
  <c r="P17" i="8"/>
  <c r="R17" i="8" s="1"/>
  <c r="I17" i="8"/>
  <c r="K17" i="8" s="1"/>
  <c r="W16" i="8"/>
  <c r="P16" i="8"/>
  <c r="R16" i="8" s="1"/>
  <c r="I16" i="8"/>
  <c r="K16" i="8" s="1"/>
  <c r="W15" i="8"/>
  <c r="P15" i="8"/>
  <c r="R15" i="8" s="1"/>
  <c r="I15" i="8"/>
  <c r="K15" i="8" s="1"/>
  <c r="W14" i="8"/>
  <c r="P14" i="8"/>
  <c r="R14" i="8" s="1"/>
  <c r="I14" i="8"/>
  <c r="K14" i="8" s="1"/>
  <c r="W13" i="8"/>
  <c r="P13" i="8"/>
  <c r="R13" i="8" s="1"/>
  <c r="I13" i="8"/>
  <c r="K13" i="8" s="1"/>
  <c r="W12" i="8"/>
  <c r="P12" i="8"/>
  <c r="R12" i="8" s="1"/>
  <c r="I12" i="8"/>
  <c r="K12" i="8" s="1"/>
  <c r="W11" i="8"/>
  <c r="P11" i="8"/>
  <c r="R11" i="8" s="1"/>
  <c r="I11" i="8"/>
  <c r="K11" i="8" s="1"/>
  <c r="W10" i="8"/>
  <c r="P10" i="8"/>
  <c r="R10" i="8" s="1"/>
  <c r="I10" i="8"/>
  <c r="K10" i="8" s="1"/>
  <c r="W9" i="8"/>
  <c r="P9" i="8"/>
  <c r="R9" i="8" s="1"/>
  <c r="K9" i="8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3" i="8" s="1"/>
  <c r="C24" i="8" s="1"/>
  <c r="C25" i="8" s="1"/>
  <c r="C26" i="8" s="1"/>
  <c r="C27" i="8" s="1"/>
  <c r="C28" i="8" s="1"/>
  <c r="W8" i="8"/>
  <c r="I8" i="8"/>
  <c r="K8" i="8" s="1"/>
  <c r="W7" i="8"/>
  <c r="W29" i="8" s="1"/>
  <c r="W1" i="8" s="1"/>
  <c r="P7" i="8"/>
  <c r="R7" i="8" s="1"/>
  <c r="L1" i="8"/>
  <c r="J1" i="8"/>
  <c r="I1" i="8"/>
  <c r="E1" i="8"/>
  <c r="A1" i="8"/>
  <c r="U12" i="7"/>
  <c r="W12" i="7" s="1"/>
  <c r="M12" i="7"/>
  <c r="P12" i="7" s="1"/>
  <c r="R12" i="7" s="1"/>
  <c r="S9" i="5"/>
  <c r="M9" i="5"/>
  <c r="V25" i="7"/>
  <c r="V1" i="7" s="1"/>
  <c r="T25" i="7"/>
  <c r="T1" i="7" s="1"/>
  <c r="O25" i="7"/>
  <c r="O1" i="7" s="1"/>
  <c r="N25" i="7"/>
  <c r="N1" i="7" s="1"/>
  <c r="L25" i="7"/>
  <c r="H25" i="7"/>
  <c r="H1" i="7" s="1"/>
  <c r="G25" i="7"/>
  <c r="G1" i="7" s="1"/>
  <c r="F25" i="7"/>
  <c r="F1" i="7" s="1"/>
  <c r="W24" i="7"/>
  <c r="I24" i="7"/>
  <c r="K24" i="7" s="1"/>
  <c r="W23" i="7"/>
  <c r="P23" i="7"/>
  <c r="R23" i="7" s="1"/>
  <c r="I23" i="7"/>
  <c r="K23" i="7" s="1"/>
  <c r="W22" i="7"/>
  <c r="P22" i="7"/>
  <c r="R22" i="7" s="1"/>
  <c r="I22" i="7"/>
  <c r="K22" i="7" s="1"/>
  <c r="W21" i="7"/>
  <c r="P21" i="7"/>
  <c r="R21" i="7" s="1"/>
  <c r="I21" i="7"/>
  <c r="K21" i="7" s="1"/>
  <c r="W19" i="7"/>
  <c r="P19" i="7"/>
  <c r="R19" i="7" s="1"/>
  <c r="I19" i="7"/>
  <c r="K19" i="7" s="1"/>
  <c r="W18" i="7"/>
  <c r="P18" i="7"/>
  <c r="R18" i="7" s="1"/>
  <c r="I18" i="7"/>
  <c r="K18" i="7" s="1"/>
  <c r="W17" i="7"/>
  <c r="P17" i="7"/>
  <c r="R17" i="7" s="1"/>
  <c r="K17" i="7"/>
  <c r="I17" i="7"/>
  <c r="W16" i="7"/>
  <c r="P16" i="7"/>
  <c r="R16" i="7" s="1"/>
  <c r="I16" i="7"/>
  <c r="K16" i="7" s="1"/>
  <c r="W15" i="7"/>
  <c r="P15" i="7"/>
  <c r="R15" i="7" s="1"/>
  <c r="I15" i="7"/>
  <c r="K15" i="7" s="1"/>
  <c r="W14" i="7"/>
  <c r="P14" i="7"/>
  <c r="R14" i="7" s="1"/>
  <c r="I14" i="7"/>
  <c r="K14" i="7" s="1"/>
  <c r="W13" i="7"/>
  <c r="P13" i="7"/>
  <c r="R13" i="7" s="1"/>
  <c r="X13" i="7" s="1"/>
  <c r="Y13" i="7" s="1"/>
  <c r="I13" i="7"/>
  <c r="K13" i="7" s="1"/>
  <c r="I12" i="7"/>
  <c r="K12" i="7" s="1"/>
  <c r="W11" i="7"/>
  <c r="R11" i="7"/>
  <c r="I11" i="7"/>
  <c r="K11" i="7" s="1"/>
  <c r="W10" i="7"/>
  <c r="P10" i="7"/>
  <c r="R10" i="7" s="1"/>
  <c r="I10" i="7"/>
  <c r="K10" i="7" s="1"/>
  <c r="W9" i="7"/>
  <c r="P9" i="7"/>
  <c r="R9" i="7" s="1"/>
  <c r="K9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1" i="7" s="1"/>
  <c r="C22" i="7" s="1"/>
  <c r="C23" i="7" s="1"/>
  <c r="C24" i="7" s="1"/>
  <c r="W8" i="7"/>
  <c r="P8" i="7"/>
  <c r="R8" i="7" s="1"/>
  <c r="I8" i="7"/>
  <c r="K8" i="7" s="1"/>
  <c r="W7" i="7"/>
  <c r="W25" i="7" s="1"/>
  <c r="W1" i="7" s="1"/>
  <c r="R7" i="7"/>
  <c r="P7" i="7"/>
  <c r="L1" i="7"/>
  <c r="J1" i="7"/>
  <c r="I1" i="7"/>
  <c r="E1" i="7"/>
  <c r="X21" i="7" l="1"/>
  <c r="Y21" i="7" s="1"/>
  <c r="M25" i="7"/>
  <c r="M1" i="7" s="1"/>
  <c r="X19" i="7"/>
  <c r="Y19" i="7" s="1"/>
  <c r="X11" i="7"/>
  <c r="Y11" i="7" s="1"/>
  <c r="Y9" i="9"/>
  <c r="X23" i="9"/>
  <c r="X1" i="9" s="1"/>
  <c r="X14" i="7"/>
  <c r="Y14" i="7" s="1"/>
  <c r="X22" i="7"/>
  <c r="Y22" i="7" s="1"/>
  <c r="X23" i="7"/>
  <c r="Y23" i="7" s="1"/>
  <c r="X10" i="7"/>
  <c r="Y10" i="7" s="1"/>
  <c r="X16" i="7"/>
  <c r="Y16" i="7" s="1"/>
  <c r="P25" i="10"/>
  <c r="P1" i="10" s="1"/>
  <c r="Q23" i="11"/>
  <c r="Q1" i="11" s="1"/>
  <c r="Y24" i="10"/>
  <c r="X25" i="10"/>
  <c r="X1" i="10" s="1"/>
  <c r="R25" i="10"/>
  <c r="R1" i="10" s="1"/>
  <c r="Y7" i="10"/>
  <c r="Y25" i="10" s="1"/>
  <c r="Y1" i="10" s="1"/>
  <c r="P23" i="9"/>
  <c r="P1" i="9" s="1"/>
  <c r="R1" i="9"/>
  <c r="X24" i="8"/>
  <c r="Y24" i="8" s="1"/>
  <c r="X11" i="8"/>
  <c r="Y11" i="8" s="1"/>
  <c r="X15" i="8"/>
  <c r="Y15" i="8" s="1"/>
  <c r="X14" i="8"/>
  <c r="Y14" i="8" s="1"/>
  <c r="X9" i="8"/>
  <c r="Y9" i="8" s="1"/>
  <c r="X13" i="8"/>
  <c r="Y13" i="8" s="1"/>
  <c r="X12" i="8"/>
  <c r="Y12" i="8" s="1"/>
  <c r="X10" i="8"/>
  <c r="Y10" i="8" s="1"/>
  <c r="X18" i="8"/>
  <c r="Y18" i="8" s="1"/>
  <c r="X16" i="8"/>
  <c r="Y16" i="8" s="1"/>
  <c r="X25" i="8"/>
  <c r="Y25" i="8" s="1"/>
  <c r="X23" i="8"/>
  <c r="Y23" i="8" s="1"/>
  <c r="X20" i="8"/>
  <c r="Y20" i="8" s="1"/>
  <c r="X17" i="8"/>
  <c r="Y17" i="8" s="1"/>
  <c r="X19" i="8"/>
  <c r="Y19" i="8" s="1"/>
  <c r="X8" i="8"/>
  <c r="R29" i="8"/>
  <c r="X7" i="8"/>
  <c r="N1" i="8"/>
  <c r="M29" i="8"/>
  <c r="M1" i="8" s="1"/>
  <c r="W21" i="8"/>
  <c r="X21" i="8" s="1"/>
  <c r="Y21" i="8" s="1"/>
  <c r="X18" i="7"/>
  <c r="Y18" i="7" s="1"/>
  <c r="X17" i="7"/>
  <c r="Y17" i="7" s="1"/>
  <c r="X15" i="7"/>
  <c r="Y15" i="7" s="1"/>
  <c r="U25" i="7"/>
  <c r="U1" i="7" s="1"/>
  <c r="X12" i="7"/>
  <c r="Y12" i="7" s="1"/>
  <c r="X8" i="7"/>
  <c r="X9" i="7"/>
  <c r="Y9" i="7" s="1"/>
  <c r="P25" i="7"/>
  <c r="P1" i="7" s="1"/>
  <c r="X7" i="7"/>
  <c r="P24" i="7"/>
  <c r="R24" i="7" s="1"/>
  <c r="X24" i="7" s="1"/>
  <c r="Y24" i="7" s="1"/>
  <c r="S25" i="7"/>
  <c r="S1" i="7" s="1"/>
  <c r="S15" i="6"/>
  <c r="W15" i="6" s="1"/>
  <c r="P15" i="6"/>
  <c r="R15" i="6" s="1"/>
  <c r="V18" i="6"/>
  <c r="V1" i="6" s="1"/>
  <c r="U18" i="6"/>
  <c r="U1" i="6" s="1"/>
  <c r="T18" i="6"/>
  <c r="T1" i="6" s="1"/>
  <c r="O18" i="6"/>
  <c r="O1" i="6" s="1"/>
  <c r="N18" i="6"/>
  <c r="N1" i="6" s="1"/>
  <c r="L18" i="6"/>
  <c r="H18" i="6"/>
  <c r="H1" i="6" s="1"/>
  <c r="G18" i="6"/>
  <c r="G1" i="6" s="1"/>
  <c r="F18" i="6"/>
  <c r="F1" i="6" s="1"/>
  <c r="W17" i="6"/>
  <c r="P17" i="6"/>
  <c r="X17" i="6" s="1"/>
  <c r="Y17" i="6" s="1"/>
  <c r="I17" i="6"/>
  <c r="K17" i="6" s="1"/>
  <c r="W16" i="6"/>
  <c r="P16" i="6"/>
  <c r="I16" i="6"/>
  <c r="K16" i="6" s="1"/>
  <c r="I15" i="6"/>
  <c r="K15" i="6" s="1"/>
  <c r="W14" i="6"/>
  <c r="P14" i="6"/>
  <c r="R14" i="6" s="1"/>
  <c r="I14" i="6"/>
  <c r="K14" i="6" s="1"/>
  <c r="W13" i="6"/>
  <c r="P13" i="6"/>
  <c r="R13" i="6" s="1"/>
  <c r="I13" i="6"/>
  <c r="K13" i="6" s="1"/>
  <c r="W12" i="6"/>
  <c r="P12" i="6"/>
  <c r="R12" i="6" s="1"/>
  <c r="I12" i="6"/>
  <c r="K12" i="6" s="1"/>
  <c r="W11" i="6"/>
  <c r="P11" i="6"/>
  <c r="R11" i="6" s="1"/>
  <c r="I11" i="6"/>
  <c r="K11" i="6" s="1"/>
  <c r="W10" i="6"/>
  <c r="P10" i="6"/>
  <c r="R10" i="6" s="1"/>
  <c r="I10" i="6"/>
  <c r="K10" i="6" s="1"/>
  <c r="W9" i="6"/>
  <c r="P9" i="6"/>
  <c r="R9" i="6" s="1"/>
  <c r="K9" i="6"/>
  <c r="C9" i="6"/>
  <c r="C10" i="6" s="1"/>
  <c r="C11" i="6" s="1"/>
  <c r="C12" i="6" s="1"/>
  <c r="C13" i="6" s="1"/>
  <c r="C14" i="6" s="1"/>
  <c r="C15" i="6" s="1"/>
  <c r="C16" i="6" s="1"/>
  <c r="C17" i="6" s="1"/>
  <c r="W8" i="6"/>
  <c r="P8" i="6"/>
  <c r="R8" i="6" s="1"/>
  <c r="X8" i="6" s="1"/>
  <c r="I8" i="6"/>
  <c r="K8" i="6" s="1"/>
  <c r="W7" i="6"/>
  <c r="W18" i="6" s="1"/>
  <c r="W1" i="6" s="1"/>
  <c r="P7" i="6"/>
  <c r="R7" i="6" s="1"/>
  <c r="L1" i="6"/>
  <c r="J1" i="6"/>
  <c r="I1" i="6"/>
  <c r="E1" i="6"/>
  <c r="M17" i="5"/>
  <c r="S15" i="5"/>
  <c r="S10" i="5"/>
  <c r="Y8" i="6" l="1"/>
  <c r="X13" i="6"/>
  <c r="Y13" i="6" s="1"/>
  <c r="Y8" i="8"/>
  <c r="X29" i="8"/>
  <c r="X1" i="8" s="1"/>
  <c r="Y8" i="7"/>
  <c r="X25" i="7"/>
  <c r="X1" i="7" s="1"/>
  <c r="Q25" i="10"/>
  <c r="Q1" i="10" s="1"/>
  <c r="Q23" i="9"/>
  <c r="Q1" i="9" s="1"/>
  <c r="P29" i="8"/>
  <c r="P1" i="8" s="1"/>
  <c r="Y7" i="8"/>
  <c r="Y29" i="8" s="1"/>
  <c r="Y1" i="8" s="1"/>
  <c r="R1" i="8"/>
  <c r="X15" i="6"/>
  <c r="Y15" i="6" s="1"/>
  <c r="X9" i="6"/>
  <c r="Y9" i="6" s="1"/>
  <c r="X16" i="6"/>
  <c r="Y16" i="6" s="1"/>
  <c r="Y7" i="7"/>
  <c r="Y25" i="7" s="1"/>
  <c r="Y1" i="7" s="1"/>
  <c r="R25" i="7"/>
  <c r="X14" i="6"/>
  <c r="Y14" i="6" s="1"/>
  <c r="X12" i="6"/>
  <c r="Y12" i="6" s="1"/>
  <c r="X11" i="6"/>
  <c r="Y11" i="6" s="1"/>
  <c r="X10" i="6"/>
  <c r="X7" i="6"/>
  <c r="R18" i="6"/>
  <c r="S18" i="6"/>
  <c r="S1" i="6" s="1"/>
  <c r="M18" i="6"/>
  <c r="M1" i="6" s="1"/>
  <c r="S18" i="4"/>
  <c r="W18" i="4" s="1"/>
  <c r="N18" i="4"/>
  <c r="M18" i="4"/>
  <c r="S12" i="4"/>
  <c r="W12" i="4" s="1"/>
  <c r="N12" i="4"/>
  <c r="M12" i="4"/>
  <c r="W15" i="5"/>
  <c r="M15" i="5"/>
  <c r="P15" i="5" s="1"/>
  <c r="R15" i="5" s="1"/>
  <c r="T14" i="5"/>
  <c r="W14" i="5" s="1"/>
  <c r="M14" i="5"/>
  <c r="P14" i="5" s="1"/>
  <c r="R14" i="5" s="1"/>
  <c r="W10" i="5"/>
  <c r="M10" i="5"/>
  <c r="P10" i="5" s="1"/>
  <c r="R10" i="5" s="1"/>
  <c r="V24" i="5"/>
  <c r="V1" i="5" s="1"/>
  <c r="O24" i="5"/>
  <c r="O1" i="5" s="1"/>
  <c r="N24" i="5"/>
  <c r="L24" i="5"/>
  <c r="H24" i="5"/>
  <c r="H1" i="5" s="1"/>
  <c r="G24" i="5"/>
  <c r="G1" i="5" s="1"/>
  <c r="F24" i="5"/>
  <c r="F1" i="5" s="1"/>
  <c r="W23" i="5"/>
  <c r="U24" i="5"/>
  <c r="U1" i="5" s="1"/>
  <c r="P23" i="5"/>
  <c r="R23" i="5" s="1"/>
  <c r="I23" i="5"/>
  <c r="K23" i="5" s="1"/>
  <c r="W21" i="5"/>
  <c r="P21" i="5"/>
  <c r="R21" i="5" s="1"/>
  <c r="I21" i="5"/>
  <c r="K21" i="5" s="1"/>
  <c r="W20" i="5"/>
  <c r="P20" i="5"/>
  <c r="R20" i="5" s="1"/>
  <c r="I20" i="5"/>
  <c r="K20" i="5" s="1"/>
  <c r="W19" i="5"/>
  <c r="P19" i="5"/>
  <c r="R19" i="5" s="1"/>
  <c r="I19" i="5"/>
  <c r="K19" i="5" s="1"/>
  <c r="W18" i="5"/>
  <c r="P18" i="5"/>
  <c r="R18" i="5" s="1"/>
  <c r="X18" i="5" s="1"/>
  <c r="Y18" i="5" s="1"/>
  <c r="I18" i="5"/>
  <c r="K18" i="5" s="1"/>
  <c r="W17" i="5"/>
  <c r="P17" i="5"/>
  <c r="R17" i="5" s="1"/>
  <c r="I17" i="5"/>
  <c r="K17" i="5" s="1"/>
  <c r="W16" i="5"/>
  <c r="P16" i="5"/>
  <c r="R16" i="5" s="1"/>
  <c r="I16" i="5"/>
  <c r="K16" i="5" s="1"/>
  <c r="I15" i="5"/>
  <c r="K15" i="5" s="1"/>
  <c r="I14" i="5"/>
  <c r="K14" i="5" s="1"/>
  <c r="W13" i="5"/>
  <c r="P13" i="5"/>
  <c r="R13" i="5" s="1"/>
  <c r="I13" i="5"/>
  <c r="K13" i="5" s="1"/>
  <c r="W11" i="5"/>
  <c r="P11" i="5"/>
  <c r="R11" i="5" s="1"/>
  <c r="I11" i="5"/>
  <c r="K11" i="5" s="1"/>
  <c r="I10" i="5"/>
  <c r="K10" i="5" s="1"/>
  <c r="W9" i="5"/>
  <c r="P9" i="5"/>
  <c r="R9" i="5" s="1"/>
  <c r="K9" i="5"/>
  <c r="C9" i="5"/>
  <c r="C10" i="5" s="1"/>
  <c r="C11" i="5" s="1"/>
  <c r="C13" i="5" s="1"/>
  <c r="C14" i="5" s="1"/>
  <c r="C15" i="5" s="1"/>
  <c r="C16" i="5" s="1"/>
  <c r="C17" i="5" s="1"/>
  <c r="C18" i="5" s="1"/>
  <c r="C19" i="5" s="1"/>
  <c r="C20" i="5" s="1"/>
  <c r="C21" i="5" s="1"/>
  <c r="C23" i="5" s="1"/>
  <c r="W8" i="5"/>
  <c r="K8" i="5"/>
  <c r="W24" i="5"/>
  <c r="W1" i="5" s="1"/>
  <c r="P7" i="5"/>
  <c r="R7" i="5" s="1"/>
  <c r="X7" i="5" s="1"/>
  <c r="L1" i="5"/>
  <c r="J1" i="5"/>
  <c r="I1" i="5"/>
  <c r="E1" i="5"/>
  <c r="S15" i="4"/>
  <c r="W15" i="4" s="1"/>
  <c r="N15" i="4"/>
  <c r="M15" i="4"/>
  <c r="P14" i="4"/>
  <c r="R14" i="4" s="1"/>
  <c r="M11" i="4"/>
  <c r="P11" i="4" s="1"/>
  <c r="R11" i="4" s="1"/>
  <c r="V19" i="4"/>
  <c r="T19" i="4"/>
  <c r="T1" i="4" s="1"/>
  <c r="O19" i="4"/>
  <c r="O1" i="4" s="1"/>
  <c r="L19" i="4"/>
  <c r="H19" i="4"/>
  <c r="H1" i="4" s="1"/>
  <c r="G19" i="4"/>
  <c r="G1" i="4" s="1"/>
  <c r="F19" i="4"/>
  <c r="F1" i="4" s="1"/>
  <c r="U19" i="4"/>
  <c r="U1" i="4" s="1"/>
  <c r="I18" i="4"/>
  <c r="K18" i="4" s="1"/>
  <c r="W17" i="4"/>
  <c r="P17" i="4"/>
  <c r="R17" i="4" s="1"/>
  <c r="X17" i="4" s="1"/>
  <c r="Y17" i="4" s="1"/>
  <c r="I17" i="4"/>
  <c r="K17" i="4" s="1"/>
  <c r="W16" i="4"/>
  <c r="P16" i="4"/>
  <c r="R16" i="4" s="1"/>
  <c r="I16" i="4"/>
  <c r="K16" i="4" s="1"/>
  <c r="I15" i="4"/>
  <c r="K15" i="4" s="1"/>
  <c r="W14" i="4"/>
  <c r="I14" i="4"/>
  <c r="K14" i="4" s="1"/>
  <c r="W13" i="4"/>
  <c r="P13" i="4"/>
  <c r="R13" i="4" s="1"/>
  <c r="I13" i="4"/>
  <c r="K13" i="4" s="1"/>
  <c r="P12" i="4"/>
  <c r="R12" i="4" s="1"/>
  <c r="I12" i="4"/>
  <c r="K12" i="4" s="1"/>
  <c r="W11" i="4"/>
  <c r="I11" i="4"/>
  <c r="K11" i="4" s="1"/>
  <c r="W10" i="4"/>
  <c r="P10" i="4"/>
  <c r="R10" i="4" s="1"/>
  <c r="I10" i="4"/>
  <c r="K10" i="4" s="1"/>
  <c r="W9" i="4"/>
  <c r="P9" i="4"/>
  <c r="R9" i="4" s="1"/>
  <c r="K9" i="4"/>
  <c r="C9" i="4"/>
  <c r="C10" i="4" s="1"/>
  <c r="C11" i="4" s="1"/>
  <c r="C12" i="4" s="1"/>
  <c r="C13" i="4" s="1"/>
  <c r="C14" i="4" s="1"/>
  <c r="C15" i="4" s="1"/>
  <c r="C16" i="4" s="1"/>
  <c r="W8" i="4"/>
  <c r="P8" i="4"/>
  <c r="R8" i="4" s="1"/>
  <c r="X8" i="4" s="1"/>
  <c r="I8" i="4"/>
  <c r="K8" i="4" s="1"/>
  <c r="W7" i="4"/>
  <c r="W19" i="4" s="1"/>
  <c r="W1" i="4" s="1"/>
  <c r="P7" i="4"/>
  <c r="R7" i="4" s="1"/>
  <c r="V1" i="4"/>
  <c r="L1" i="4"/>
  <c r="J1" i="4"/>
  <c r="I1" i="4"/>
  <c r="E1" i="4"/>
  <c r="A1" i="4"/>
  <c r="M23" i="3"/>
  <c r="P23" i="3" s="1"/>
  <c r="R23" i="3" s="1"/>
  <c r="U21" i="3"/>
  <c r="U25" i="3" s="1"/>
  <c r="U1" i="3" s="1"/>
  <c r="M21" i="3"/>
  <c r="P21" i="3" s="1"/>
  <c r="R21" i="3" s="1"/>
  <c r="S19" i="3"/>
  <c r="S25" i="3" s="1"/>
  <c r="S1" i="3" s="1"/>
  <c r="M19" i="3"/>
  <c r="M9" i="3"/>
  <c r="P9" i="3" s="1"/>
  <c r="R9" i="3" s="1"/>
  <c r="M8" i="3"/>
  <c r="W27" i="2"/>
  <c r="P27" i="2"/>
  <c r="R27" i="2" s="1"/>
  <c r="X27" i="2" s="1"/>
  <c r="Y27" i="2" s="1"/>
  <c r="V25" i="3"/>
  <c r="V1" i="3" s="1"/>
  <c r="T25" i="3"/>
  <c r="T1" i="3" s="1"/>
  <c r="O25" i="3"/>
  <c r="O1" i="3" s="1"/>
  <c r="N25" i="3"/>
  <c r="N1" i="3" s="1"/>
  <c r="L25" i="3"/>
  <c r="H25" i="3"/>
  <c r="H1" i="3" s="1"/>
  <c r="G25" i="3"/>
  <c r="G1" i="3" s="1"/>
  <c r="F25" i="3"/>
  <c r="F1" i="3" s="1"/>
  <c r="W24" i="3"/>
  <c r="P24" i="3"/>
  <c r="R24" i="3" s="1"/>
  <c r="I24" i="3"/>
  <c r="K24" i="3" s="1"/>
  <c r="W23" i="3"/>
  <c r="I23" i="3"/>
  <c r="K23" i="3" s="1"/>
  <c r="W22" i="3"/>
  <c r="P22" i="3"/>
  <c r="R22" i="3" s="1"/>
  <c r="X22" i="3" s="1"/>
  <c r="Y22" i="3" s="1"/>
  <c r="K22" i="3"/>
  <c r="I22" i="3"/>
  <c r="I21" i="3"/>
  <c r="K21" i="3" s="1"/>
  <c r="W20" i="3"/>
  <c r="P20" i="3"/>
  <c r="R20" i="3" s="1"/>
  <c r="I20" i="3"/>
  <c r="K20" i="3" s="1"/>
  <c r="P19" i="3"/>
  <c r="R19" i="3" s="1"/>
  <c r="I19" i="3"/>
  <c r="K19" i="3" s="1"/>
  <c r="W18" i="3"/>
  <c r="P18" i="3"/>
  <c r="R18" i="3" s="1"/>
  <c r="I18" i="3"/>
  <c r="K18" i="3" s="1"/>
  <c r="W17" i="3"/>
  <c r="P17" i="3"/>
  <c r="R17" i="3" s="1"/>
  <c r="I17" i="3"/>
  <c r="K17" i="3" s="1"/>
  <c r="W16" i="3"/>
  <c r="P16" i="3"/>
  <c r="R16" i="3" s="1"/>
  <c r="I16" i="3"/>
  <c r="K16" i="3" s="1"/>
  <c r="W15" i="3"/>
  <c r="P15" i="3"/>
  <c r="R15" i="3" s="1"/>
  <c r="I15" i="3"/>
  <c r="K15" i="3" s="1"/>
  <c r="W14" i="3"/>
  <c r="P14" i="3"/>
  <c r="R14" i="3" s="1"/>
  <c r="X14" i="3" s="1"/>
  <c r="Y14" i="3" s="1"/>
  <c r="I14" i="3"/>
  <c r="K14" i="3" s="1"/>
  <c r="W13" i="3"/>
  <c r="P13" i="3"/>
  <c r="R13" i="3" s="1"/>
  <c r="X13" i="3" s="1"/>
  <c r="Y13" i="3" s="1"/>
  <c r="I13" i="3"/>
  <c r="K13" i="3" s="1"/>
  <c r="W12" i="3"/>
  <c r="P12" i="3"/>
  <c r="R12" i="3" s="1"/>
  <c r="I12" i="3"/>
  <c r="K12" i="3" s="1"/>
  <c r="W11" i="3"/>
  <c r="P11" i="3"/>
  <c r="R11" i="3" s="1"/>
  <c r="I11" i="3"/>
  <c r="K11" i="3" s="1"/>
  <c r="W10" i="3"/>
  <c r="P10" i="3"/>
  <c r="R10" i="3" s="1"/>
  <c r="I10" i="3"/>
  <c r="K10" i="3" s="1"/>
  <c r="W9" i="3"/>
  <c r="K9" i="3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W8" i="3"/>
  <c r="P8" i="3"/>
  <c r="R8" i="3" s="1"/>
  <c r="I8" i="3"/>
  <c r="K8" i="3" s="1"/>
  <c r="W7" i="3"/>
  <c r="P7" i="3"/>
  <c r="R7" i="3" s="1"/>
  <c r="L1" i="3"/>
  <c r="J1" i="3"/>
  <c r="I1" i="3"/>
  <c r="E1" i="3"/>
  <c r="A1" i="3"/>
  <c r="S16" i="2"/>
  <c r="W16" i="2" s="1"/>
  <c r="M14" i="2"/>
  <c r="P14" i="2" s="1"/>
  <c r="R14" i="2" s="1"/>
  <c r="V29" i="2"/>
  <c r="V1" i="2" s="1"/>
  <c r="U29" i="2"/>
  <c r="U1" i="2" s="1"/>
  <c r="T29" i="2"/>
  <c r="T1" i="2" s="1"/>
  <c r="O29" i="2"/>
  <c r="O1" i="2" s="1"/>
  <c r="L29" i="2"/>
  <c r="H29" i="2"/>
  <c r="H1" i="2" s="1"/>
  <c r="G29" i="2"/>
  <c r="F29" i="2"/>
  <c r="F1" i="2" s="1"/>
  <c r="W26" i="2"/>
  <c r="P26" i="2"/>
  <c r="R26" i="2" s="1"/>
  <c r="W25" i="2"/>
  <c r="P25" i="2"/>
  <c r="R25" i="2" s="1"/>
  <c r="W24" i="2"/>
  <c r="P24" i="2"/>
  <c r="R24" i="2" s="1"/>
  <c r="W23" i="2"/>
  <c r="P23" i="2"/>
  <c r="R23" i="2" s="1"/>
  <c r="W22" i="2"/>
  <c r="P22" i="2"/>
  <c r="R22" i="2" s="1"/>
  <c r="W21" i="2"/>
  <c r="P21" i="2"/>
  <c r="R21" i="2" s="1"/>
  <c r="W20" i="2"/>
  <c r="P20" i="2"/>
  <c r="R20" i="2" s="1"/>
  <c r="W19" i="2"/>
  <c r="P19" i="2"/>
  <c r="R19" i="2" s="1"/>
  <c r="W18" i="2"/>
  <c r="P18" i="2"/>
  <c r="R18" i="2" s="1"/>
  <c r="W17" i="2"/>
  <c r="P17" i="2"/>
  <c r="R17" i="2" s="1"/>
  <c r="P16" i="2"/>
  <c r="R16" i="2" s="1"/>
  <c r="W15" i="2"/>
  <c r="P15" i="2"/>
  <c r="R15" i="2" s="1"/>
  <c r="X15" i="2" s="1"/>
  <c r="Y15" i="2" s="1"/>
  <c r="W14" i="2"/>
  <c r="W13" i="2"/>
  <c r="P13" i="2"/>
  <c r="R13" i="2" s="1"/>
  <c r="W12" i="2"/>
  <c r="P12" i="2"/>
  <c r="R12" i="2" s="1"/>
  <c r="W11" i="2"/>
  <c r="P11" i="2"/>
  <c r="R11" i="2" s="1"/>
  <c r="W9" i="2"/>
  <c r="P9" i="2"/>
  <c r="R9" i="2" s="1"/>
  <c r="C9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W8" i="2"/>
  <c r="P8" i="2"/>
  <c r="R8" i="2" s="1"/>
  <c r="I8" i="2"/>
  <c r="K8" i="2" s="1"/>
  <c r="W7" i="2"/>
  <c r="W29" i="2" s="1"/>
  <c r="W1" i="2" s="1"/>
  <c r="P7" i="2"/>
  <c r="R7" i="2" s="1"/>
  <c r="L1" i="2"/>
  <c r="J1" i="2"/>
  <c r="E1" i="2"/>
  <c r="A1" i="2"/>
  <c r="N16" i="1"/>
  <c r="P16" i="1" s="1"/>
  <c r="M14" i="1"/>
  <c r="P14" i="1" s="1"/>
  <c r="P9" i="1"/>
  <c r="P11" i="1"/>
  <c r="P12" i="1"/>
  <c r="P13" i="1"/>
  <c r="P15" i="1"/>
  <c r="P17" i="1"/>
  <c r="P20" i="1"/>
  <c r="P21" i="1"/>
  <c r="P22" i="1"/>
  <c r="P23" i="1"/>
  <c r="P24" i="1"/>
  <c r="P25" i="1"/>
  <c r="P8" i="1"/>
  <c r="X20" i="5" l="1"/>
  <c r="Y20" i="5" s="1"/>
  <c r="X26" i="2"/>
  <c r="Y26" i="2" s="1"/>
  <c r="G1" i="2"/>
  <c r="I29" i="2"/>
  <c r="I1" i="2" s="1"/>
  <c r="X20" i="3"/>
  <c r="Y20" i="3" s="1"/>
  <c r="P15" i="4"/>
  <c r="R15" i="4" s="1"/>
  <c r="X15" i="4" s="1"/>
  <c r="Y15" i="4" s="1"/>
  <c r="X11" i="5"/>
  <c r="Y11" i="5" s="1"/>
  <c r="X22" i="2"/>
  <c r="Y22" i="2" s="1"/>
  <c r="X16" i="5"/>
  <c r="Y16" i="5" s="1"/>
  <c r="W21" i="3"/>
  <c r="X21" i="3" s="1"/>
  <c r="Y21" i="3" s="1"/>
  <c r="Y8" i="4"/>
  <c r="X18" i="6"/>
  <c r="X1" i="6" s="1"/>
  <c r="X17" i="5"/>
  <c r="Y17" i="5" s="1"/>
  <c r="Q29" i="8"/>
  <c r="Q1" i="8" s="1"/>
  <c r="Y10" i="6"/>
  <c r="Z10" i="6"/>
  <c r="Q25" i="7"/>
  <c r="Q1" i="7" s="1"/>
  <c r="R1" i="7"/>
  <c r="P18" i="6"/>
  <c r="P1" i="6" s="1"/>
  <c r="R1" i="6"/>
  <c r="Y7" i="6"/>
  <c r="Y18" i="6" s="1"/>
  <c r="Y1" i="6" s="1"/>
  <c r="T24" i="5"/>
  <c r="T1" i="5" s="1"/>
  <c r="X9" i="5"/>
  <c r="Y9" i="5" s="1"/>
  <c r="X13" i="5"/>
  <c r="Y13" i="5" s="1"/>
  <c r="X19" i="5"/>
  <c r="Y19" i="5" s="1"/>
  <c r="X23" i="5"/>
  <c r="Y23" i="5" s="1"/>
  <c r="X21" i="5"/>
  <c r="Y21" i="5" s="1"/>
  <c r="X7" i="3"/>
  <c r="X14" i="4"/>
  <c r="Y14" i="4" s="1"/>
  <c r="X7" i="4"/>
  <c r="Y7" i="4" s="1"/>
  <c r="Y19" i="4" s="1"/>
  <c r="Y1" i="4" s="1"/>
  <c r="X16" i="4"/>
  <c r="Y16" i="4" s="1"/>
  <c r="P18" i="4"/>
  <c r="R18" i="4" s="1"/>
  <c r="X18" i="4" s="1"/>
  <c r="Y18" i="4" s="1"/>
  <c r="X13" i="4"/>
  <c r="Y13" i="4" s="1"/>
  <c r="N19" i="4"/>
  <c r="N1" i="4" s="1"/>
  <c r="X12" i="4"/>
  <c r="Y12" i="4" s="1"/>
  <c r="X15" i="5"/>
  <c r="Y15" i="5" s="1"/>
  <c r="X14" i="5"/>
  <c r="Y14" i="5" s="1"/>
  <c r="X10" i="5"/>
  <c r="Y10" i="5" s="1"/>
  <c r="S24" i="5"/>
  <c r="S1" i="5" s="1"/>
  <c r="M24" i="5"/>
  <c r="M1" i="5" s="1"/>
  <c r="Y7" i="5"/>
  <c r="Y24" i="5" s="1"/>
  <c r="Y1" i="5" s="1"/>
  <c r="P8" i="5"/>
  <c r="R8" i="5" s="1"/>
  <c r="X8" i="5" s="1"/>
  <c r="N1" i="5"/>
  <c r="C17" i="4"/>
  <c r="C18" i="4" s="1"/>
  <c r="S19" i="4"/>
  <c r="S1" i="4" s="1"/>
  <c r="M19" i="4"/>
  <c r="M1" i="4" s="1"/>
  <c r="X11" i="4"/>
  <c r="Y11" i="4" s="1"/>
  <c r="X10" i="4"/>
  <c r="Y10" i="4" s="1"/>
  <c r="X9" i="4"/>
  <c r="Y9" i="4" s="1"/>
  <c r="X11" i="3"/>
  <c r="Y11" i="3" s="1"/>
  <c r="W19" i="3"/>
  <c r="X19" i="3" s="1"/>
  <c r="Y19" i="3" s="1"/>
  <c r="X12" i="3"/>
  <c r="Y12" i="3" s="1"/>
  <c r="X24" i="3"/>
  <c r="Y24" i="3" s="1"/>
  <c r="X10" i="3"/>
  <c r="Y10" i="3" s="1"/>
  <c r="X23" i="3"/>
  <c r="Y23" i="3" s="1"/>
  <c r="X15" i="3"/>
  <c r="Y15" i="3" s="1"/>
  <c r="X18" i="3"/>
  <c r="Y18" i="3" s="1"/>
  <c r="X17" i="3"/>
  <c r="Y17" i="3" s="1"/>
  <c r="X16" i="3"/>
  <c r="Y16" i="3" s="1"/>
  <c r="X9" i="3"/>
  <c r="Y9" i="3" s="1"/>
  <c r="M25" i="3"/>
  <c r="M1" i="3" s="1"/>
  <c r="X25" i="2"/>
  <c r="Y25" i="2" s="1"/>
  <c r="X23" i="2"/>
  <c r="Y23" i="2" s="1"/>
  <c r="X8" i="2"/>
  <c r="X16" i="2"/>
  <c r="Y16" i="2" s="1"/>
  <c r="S29" i="2"/>
  <c r="S1" i="2" s="1"/>
  <c r="X11" i="2"/>
  <c r="Y11" i="2" s="1"/>
  <c r="X24" i="2"/>
  <c r="Y24" i="2" s="1"/>
  <c r="X18" i="2"/>
  <c r="Y18" i="2" s="1"/>
  <c r="X20" i="2"/>
  <c r="Y20" i="2" s="1"/>
  <c r="X8" i="3"/>
  <c r="R25" i="3"/>
  <c r="Y7" i="3"/>
  <c r="Y25" i="3" s="1"/>
  <c r="Y1" i="3" s="1"/>
  <c r="W25" i="3"/>
  <c r="W1" i="3" s="1"/>
  <c r="X21" i="2"/>
  <c r="Y21" i="2" s="1"/>
  <c r="X19" i="2"/>
  <c r="Y19" i="2" s="1"/>
  <c r="X17" i="2"/>
  <c r="Y17" i="2" s="1"/>
  <c r="X14" i="2"/>
  <c r="Y14" i="2" s="1"/>
  <c r="M29" i="2"/>
  <c r="M1" i="2" s="1"/>
  <c r="X13" i="2"/>
  <c r="Y13" i="2" s="1"/>
  <c r="X12" i="2"/>
  <c r="Y12" i="2" s="1"/>
  <c r="X9" i="2"/>
  <c r="Y9" i="2" s="1"/>
  <c r="X7" i="2"/>
  <c r="R29" i="2"/>
  <c r="N29" i="2"/>
  <c r="R12" i="1"/>
  <c r="R13" i="1"/>
  <c r="R14" i="1"/>
  <c r="R15" i="1"/>
  <c r="R16" i="1"/>
  <c r="R17" i="1"/>
  <c r="R20" i="1"/>
  <c r="R21" i="1"/>
  <c r="R22" i="1"/>
  <c r="R23" i="1"/>
  <c r="R24" i="1"/>
  <c r="R25" i="1"/>
  <c r="R8" i="1"/>
  <c r="W7" i="1"/>
  <c r="W8" i="1"/>
  <c r="W9" i="1"/>
  <c r="W11" i="1"/>
  <c r="W12" i="1"/>
  <c r="W13" i="1"/>
  <c r="W14" i="1"/>
  <c r="W15" i="1"/>
  <c r="W16" i="1"/>
  <c r="W17" i="1"/>
  <c r="W20" i="1"/>
  <c r="W21" i="1"/>
  <c r="W22" i="1"/>
  <c r="W23" i="1"/>
  <c r="W24" i="1"/>
  <c r="W25" i="1"/>
  <c r="L1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V26" i="1"/>
  <c r="V1" i="1" s="1"/>
  <c r="U26" i="1"/>
  <c r="U1" i="1" s="1"/>
  <c r="T26" i="1"/>
  <c r="T1" i="1" s="1"/>
  <c r="O26" i="1"/>
  <c r="O1" i="1" s="1"/>
  <c r="H26" i="1"/>
  <c r="H1" i="1" s="1"/>
  <c r="G26" i="1"/>
  <c r="G1" i="1" s="1"/>
  <c r="F26" i="1"/>
  <c r="F1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W19" i="1"/>
  <c r="I19" i="1"/>
  <c r="W18" i="1"/>
  <c r="I18" i="1"/>
  <c r="I17" i="1"/>
  <c r="K17" i="1" s="1"/>
  <c r="I16" i="1"/>
  <c r="I15" i="1"/>
  <c r="I14" i="1"/>
  <c r="K14" i="1" s="1"/>
  <c r="I13" i="1"/>
  <c r="I12" i="1"/>
  <c r="K12" i="1" s="1"/>
  <c r="I11" i="1"/>
  <c r="W10" i="1"/>
  <c r="I10" i="1"/>
  <c r="K10" i="1" s="1"/>
  <c r="K9" i="1"/>
  <c r="I8" i="1"/>
  <c r="K8" i="1" s="1"/>
  <c r="P7" i="1"/>
  <c r="E1" i="1"/>
  <c r="A1" i="1"/>
  <c r="R19" i="4" l="1"/>
  <c r="X8" i="1"/>
  <c r="X1" i="3"/>
  <c r="Y8" i="2"/>
  <c r="X29" i="2"/>
  <c r="Y8" i="5"/>
  <c r="X24" i="5"/>
  <c r="X1" i="5" s="1"/>
  <c r="Y8" i="3"/>
  <c r="X25" i="3"/>
  <c r="X19" i="4"/>
  <c r="X1" i="4" s="1"/>
  <c r="Q18" i="6"/>
  <c r="Q1" i="6" s="1"/>
  <c r="R24" i="5"/>
  <c r="R1" i="5" s="1"/>
  <c r="P19" i="4"/>
  <c r="P1" i="4" s="1"/>
  <c r="P24" i="5"/>
  <c r="P1" i="5" s="1"/>
  <c r="R1" i="4"/>
  <c r="P25" i="3"/>
  <c r="P1" i="3" s="1"/>
  <c r="R1" i="3"/>
  <c r="P29" i="2"/>
  <c r="P1" i="2" s="1"/>
  <c r="N1" i="2"/>
  <c r="R1" i="2"/>
  <c r="Y7" i="2"/>
  <c r="Y29" i="2" s="1"/>
  <c r="Y1" i="2" s="1"/>
  <c r="X1" i="2"/>
  <c r="P19" i="1"/>
  <c r="R19" i="1" s="1"/>
  <c r="X23" i="1"/>
  <c r="Y23" i="1" s="1"/>
  <c r="X20" i="1"/>
  <c r="Y20" i="1" s="1"/>
  <c r="P10" i="1"/>
  <c r="R10" i="1" s="1"/>
  <c r="X10" i="1" s="1"/>
  <c r="Y10" i="1" s="1"/>
  <c r="X25" i="1"/>
  <c r="Y25" i="1" s="1"/>
  <c r="P18" i="1"/>
  <c r="R18" i="1" s="1"/>
  <c r="X18" i="1" s="1"/>
  <c r="Y18" i="1" s="1"/>
  <c r="R11" i="1"/>
  <c r="X11" i="1" s="1"/>
  <c r="Y11" i="1" s="1"/>
  <c r="R9" i="1"/>
  <c r="X24" i="1"/>
  <c r="Y24" i="1" s="1"/>
  <c r="X15" i="1"/>
  <c r="Y15" i="1" s="1"/>
  <c r="X16" i="1"/>
  <c r="Y16" i="1" s="1"/>
  <c r="X14" i="1"/>
  <c r="Y14" i="1" s="1"/>
  <c r="X21" i="1"/>
  <c r="Y21" i="1" s="1"/>
  <c r="X13" i="1"/>
  <c r="Y13" i="1" s="1"/>
  <c r="K11" i="1"/>
  <c r="S26" i="1"/>
  <c r="S1" i="1" s="1"/>
  <c r="X12" i="1"/>
  <c r="Y12" i="1" s="1"/>
  <c r="X17" i="1"/>
  <c r="Y17" i="1" s="1"/>
  <c r="Y8" i="1"/>
  <c r="K13" i="1"/>
  <c r="X22" i="1"/>
  <c r="Y22" i="1" s="1"/>
  <c r="N26" i="1"/>
  <c r="N1" i="1" s="1"/>
  <c r="R7" i="1"/>
  <c r="K16" i="1"/>
  <c r="K18" i="1"/>
  <c r="K15" i="1"/>
  <c r="M26" i="1"/>
  <c r="W26" i="1"/>
  <c r="W1" i="1" s="1"/>
  <c r="K19" i="1"/>
  <c r="X9" i="1" l="1"/>
  <c r="Y9" i="1" s="1"/>
  <c r="Q19" i="4"/>
  <c r="Q1" i="4" s="1"/>
  <c r="Q24" i="5"/>
  <c r="Q1" i="5" s="1"/>
  <c r="Q25" i="3"/>
  <c r="Q1" i="3" s="1"/>
  <c r="Q29" i="2"/>
  <c r="Q1" i="2" s="1"/>
  <c r="L26" i="1"/>
  <c r="M1" i="1"/>
  <c r="P26" i="1"/>
  <c r="P1" i="1" s="1"/>
  <c r="X19" i="1"/>
  <c r="Y19" i="1" s="1"/>
  <c r="R26" i="1"/>
  <c r="X7" i="1"/>
  <c r="X26" i="1" l="1"/>
  <c r="X1" i="1" s="1"/>
  <c r="Y7" i="1"/>
  <c r="Y26" i="1" s="1"/>
  <c r="Y1" i="1" s="1"/>
  <c r="Q26" i="1"/>
  <c r="Q1" i="1" s="1"/>
  <c r="R1" i="1"/>
  <c r="I1" i="1"/>
  <c r="J1" i="1"/>
  <c r="K7" i="4"/>
  <c r="K19" i="4" s="1"/>
  <c r="K1" i="4" s="1"/>
  <c r="K7" i="9"/>
  <c r="K23" i="9"/>
  <c r="K1" i="9" s="1"/>
  <c r="K8" i="9"/>
  <c r="K1" i="2"/>
  <c r="K29" i="2"/>
  <c r="K7" i="2"/>
  <c r="I7" i="2"/>
  <c r="K1" i="3"/>
  <c r="K25" i="3"/>
  <c r="K7" i="3"/>
  <c r="I7" i="3"/>
  <c r="K1" i="12"/>
  <c r="K18" i="12"/>
  <c r="K7" i="12"/>
  <c r="I7" i="12"/>
  <c r="K1" i="1"/>
  <c r="K26" i="1"/>
  <c r="K7" i="1"/>
  <c r="I7" i="1"/>
  <c r="I7" i="11"/>
  <c r="K7" i="11"/>
  <c r="K23" i="11"/>
  <c r="K1" i="11"/>
  <c r="I7" i="5"/>
  <c r="K7" i="5"/>
  <c r="K24" i="5"/>
  <c r="K1" i="5"/>
  <c r="I7" i="10"/>
  <c r="K7" i="10"/>
  <c r="K25" i="10"/>
  <c r="K1" i="10"/>
  <c r="I7" i="6"/>
  <c r="K7" i="6"/>
  <c r="K18" i="6"/>
  <c r="K1" i="6"/>
  <c r="I7" i="8"/>
  <c r="K7" i="8"/>
  <c r="K29" i="8"/>
  <c r="K1" i="8"/>
  <c r="I7" i="7"/>
  <c r="K7" i="7"/>
  <c r="K25" i="7"/>
  <c r="K1" i="7"/>
</calcChain>
</file>

<file path=xl/sharedStrings.xml><?xml version="1.0" encoding="utf-8"?>
<sst xmlns="http://schemas.openxmlformats.org/spreadsheetml/2006/main" count="1095" uniqueCount="141">
  <si>
    <t>Date</t>
  </si>
  <si>
    <t>Tilahari</t>
  </si>
  <si>
    <t>Total</t>
  </si>
  <si>
    <t>Remarks</t>
  </si>
  <si>
    <t>Bill No.</t>
  </si>
  <si>
    <t>no</t>
  </si>
  <si>
    <t>lalqm</t>
  </si>
  <si>
    <t>Sales</t>
  </si>
  <si>
    <t xml:space="preserve">Sales </t>
  </si>
  <si>
    <t>D=A+B+C</t>
  </si>
  <si>
    <t>F=d*e</t>
  </si>
  <si>
    <t>K=G+H+I+J</t>
  </si>
  <si>
    <t>M=F+K-L</t>
  </si>
  <si>
    <t>Gold</t>
  </si>
  <si>
    <t xml:space="preserve">Purchase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</si>
  <si>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</si>
  <si>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</si>
  <si>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</si>
  <si>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</si>
  <si>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</si>
  <si>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</si>
  <si>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</si>
  <si>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</si>
  <si>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</si>
  <si>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</si>
  <si>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</si>
  <si>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</si>
  <si>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S.N.</t>
  </si>
  <si>
    <t>Pan No.</t>
  </si>
  <si>
    <t>particulars</t>
  </si>
  <si>
    <t>customer</t>
  </si>
  <si>
    <t>Business</t>
  </si>
  <si>
    <t>Bank</t>
  </si>
  <si>
    <t>Total Purchase</t>
  </si>
  <si>
    <t>Rate</t>
  </si>
  <si>
    <t>Balance</t>
  </si>
  <si>
    <t>Net weight</t>
  </si>
  <si>
    <t>making Loss</t>
  </si>
  <si>
    <t>customer gold</t>
  </si>
  <si>
    <t xml:space="preserve">Total amount </t>
  </si>
  <si>
    <t>Wages</t>
  </si>
  <si>
    <t>other</t>
  </si>
  <si>
    <t>stone</t>
  </si>
  <si>
    <t xml:space="preserve">Discount </t>
  </si>
  <si>
    <t>Grand Total</t>
  </si>
  <si>
    <t xml:space="preserve">Cumulative Total </t>
  </si>
  <si>
    <t>qm ;</t>
  </si>
  <si>
    <t>ldlt</t>
  </si>
  <si>
    <t>lan g</t>
  </si>
  <si>
    <t>kfg= g=+</t>
  </si>
  <si>
    <t>laa/0f</t>
  </si>
  <si>
    <t>u|fxs af6</t>
  </si>
  <si>
    <t>Aoj;foL af6</t>
  </si>
  <si>
    <t>a}s af6</t>
  </si>
  <si>
    <t xml:space="preserve">v/Lb tf}n </t>
  </si>
  <si>
    <t xml:space="preserve">b/ </t>
  </si>
  <si>
    <t>afls df}Hbft</t>
  </si>
  <si>
    <t xml:space="preserve">tof/L tf}n </t>
  </si>
  <si>
    <t>hlt{sf] tf}n</t>
  </si>
  <si>
    <t>u|fxssf] ;'g   -tf}n_</t>
  </si>
  <si>
    <t>hlt{ ;d]tsf] tf}n</t>
  </si>
  <si>
    <t>hDdf /sd</t>
  </si>
  <si>
    <t>-s_         Hofnf /sd</t>
  </si>
  <si>
    <t>cGo</t>
  </si>
  <si>
    <t xml:space="preserve">ky/ </t>
  </si>
  <si>
    <t>5'6</t>
  </si>
  <si>
    <t>s'n hDdf /sd</t>
  </si>
  <si>
    <t>qmlds hDdf /sd</t>
  </si>
  <si>
    <t>s}lkmot</t>
  </si>
  <si>
    <t>c = Nof=</t>
  </si>
  <si>
    <t>hDdf</t>
  </si>
  <si>
    <t>Mala</t>
  </si>
  <si>
    <t>Sikri and Locket</t>
  </si>
  <si>
    <t>Authi</t>
  </si>
  <si>
    <t>Sikri</t>
  </si>
  <si>
    <t>Locket</t>
  </si>
  <si>
    <t>Top</t>
  </si>
  <si>
    <t>Tilhari</t>
  </si>
  <si>
    <t>Bala</t>
  </si>
  <si>
    <t>Jhumka</t>
  </si>
  <si>
    <t>Hina Authi</t>
  </si>
  <si>
    <t xml:space="preserve"> Braclet *2</t>
  </si>
  <si>
    <t>Ganesh Authi</t>
  </si>
  <si>
    <t>Braclet</t>
  </si>
  <si>
    <t>Mundra</t>
  </si>
  <si>
    <t>Guli Mangalsutra</t>
  </si>
  <si>
    <t>Tilhari*3</t>
  </si>
  <si>
    <t>Necklace</t>
  </si>
  <si>
    <t>Kanye Sikri</t>
  </si>
  <si>
    <t>Bala Chura</t>
  </si>
  <si>
    <t>Nau Ratna Locket</t>
  </si>
  <si>
    <t>Guli*6</t>
  </si>
  <si>
    <t>Mangalsutra</t>
  </si>
  <si>
    <t>Chaka</t>
  </si>
  <si>
    <t>Nhaticha</t>
  </si>
  <si>
    <t>Sikri and Locket, Tihari</t>
  </si>
  <si>
    <t>Chura,Necklace,Jhumka</t>
  </si>
  <si>
    <t>Sikri and Top</t>
  </si>
  <si>
    <t>Chura,Top,Necklace,Authi,Tilhari,Mangalsutra</t>
  </si>
  <si>
    <t>Necklace,Authi,Top</t>
  </si>
  <si>
    <t>Jhumka and Tilhari</t>
  </si>
  <si>
    <t>Marwadi and Nhaticha</t>
  </si>
  <si>
    <t>Chura</t>
  </si>
  <si>
    <t>Guli</t>
  </si>
  <si>
    <t xml:space="preserve">Chura and Authi </t>
  </si>
  <si>
    <t>Beruwa</t>
  </si>
  <si>
    <t>Naugeri and Necklace</t>
  </si>
  <si>
    <t>Necklace,Authi and Tilhari</t>
  </si>
  <si>
    <t>Tilhari, Jhumka and Authi</t>
  </si>
  <si>
    <t>Punecha</t>
  </si>
  <si>
    <t>Chandrahar foh</t>
  </si>
  <si>
    <t>Ball Sikri</t>
  </si>
  <si>
    <t xml:space="preserve">Asarfi Authi </t>
  </si>
  <si>
    <t>Tilhari *2</t>
  </si>
  <si>
    <t>Marwadi</t>
  </si>
  <si>
    <t>Top, Jhumka and Authi</t>
  </si>
  <si>
    <t xml:space="preserve">Tilhari </t>
  </si>
  <si>
    <t>Chaka and Guli 1</t>
  </si>
  <si>
    <t>Top *2</t>
  </si>
  <si>
    <t>Necklace and Chura</t>
  </si>
  <si>
    <t>Authi, Tilhari*2</t>
  </si>
  <si>
    <t>solved</t>
  </si>
  <si>
    <t>marwadi</t>
  </si>
  <si>
    <t>cancelled</t>
  </si>
  <si>
    <t>damaged</t>
  </si>
  <si>
    <t>damage</t>
  </si>
  <si>
    <t>Tilhari, authi, chura, locket</t>
  </si>
  <si>
    <t>Asarfi Chakka</t>
  </si>
  <si>
    <t>Solved</t>
  </si>
  <si>
    <t>Marwari, Sinkho, moti mala</t>
  </si>
  <si>
    <t>Total in year</t>
  </si>
  <si>
    <t>Ratnayan Jyasa Pvt. Ltd.</t>
  </si>
  <si>
    <t>Purchase (in grams)</t>
  </si>
  <si>
    <t>H.B Jewellers and Investment Pvt. Ltd.</t>
  </si>
  <si>
    <t>Hirabajra Jewellers</t>
  </si>
  <si>
    <t>Mahamanjushree Jewellers</t>
  </si>
  <si>
    <t>Bijay Padma Jyasa</t>
  </si>
  <si>
    <t>Ratnayan Jewellery Pvt. Ltd.</t>
  </si>
  <si>
    <t>Babusa Multi Investment Pvt Ltd</t>
  </si>
  <si>
    <t>Hirabajra Jewellers Pvt Ltd</t>
  </si>
  <si>
    <t>V and P Ornament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</si>
</sst>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0_);\(0.00\)"/>
    <numFmt numFmtId="166" formatCode="0.0_);\(0.0\)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Preeti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Preeti"/>
    </font>
    <font>
      <b/>
      <sz val="14"/>
      <color rgb="FFFF0000"/>
      <name val="Preeti"/>
    </font>
    <font>
      <sz val="14"/>
      <color theme="1"/>
      <name val="Spins_EXT"/>
    </font>
    <font>
      <sz val="14"/>
      <color theme="1"/>
      <name val="Preeti"/>
    </font>
    <font>
      <sz val="14"/>
      <color rgb="FFFF0000"/>
      <name val="Spins_EXT"/>
    </font>
    <font>
      <b/>
      <sz val="14"/>
      <color rgb="FFFF0000"/>
      <name val="Spins_EXT"/>
    </font>
    <font>
      <sz val="14"/>
      <color rgb="FF00B050"/>
      <name val="Spins_EXT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center"/>
    </xf>
    <xf numFmtId="165" fontId="3" fillId="0" borderId="0" xfId="0" applyNumberFormat="1" applyFont="1"/>
    <xf numFmtId="165" fontId="4" fillId="0" borderId="1" xfId="0" applyNumberFormat="1" applyFont="1" applyBorder="1" applyAlignment="1">
      <alignment horizontal="center"/>
    </xf>
    <xf numFmtId="165" fontId="5" fillId="0" borderId="0" xfId="0" applyNumberFormat="1" applyFont="1"/>
    <xf numFmtId="165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2" xfId="0" applyNumberFormat="1" applyBorder="1"/>
    <xf numFmtId="165" fontId="1" fillId="0" borderId="2" xfId="0" applyNumberFormat="1" applyFont="1" applyBorder="1"/>
    <xf numFmtId="165" fontId="3" fillId="0" borderId="0" xfId="0" applyNumberFormat="1" applyFont="1" applyAlignment="1">
      <alignment horizontal="center"/>
    </xf>
    <xf numFmtId="164" fontId="7" fillId="3" borderId="3" xfId="0" applyNumberFormat="1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 wrapText="1"/>
    </xf>
    <xf numFmtId="165" fontId="7" fillId="3" borderId="3" xfId="0" applyNumberFormat="1" applyFont="1" applyFill="1" applyBorder="1" applyAlignment="1">
      <alignment horizontal="center"/>
    </xf>
    <xf numFmtId="165" fontId="7" fillId="4" borderId="5" xfId="0" applyNumberFormat="1" applyFont="1" applyFill="1" applyBorder="1" applyAlignment="1">
      <alignment horizontal="center"/>
    </xf>
    <xf numFmtId="165" fontId="8" fillId="4" borderId="4" xfId="0" applyNumberFormat="1" applyFont="1" applyFill="1" applyBorder="1" applyAlignment="1">
      <alignment horizontal="center"/>
    </xf>
    <xf numFmtId="165" fontId="8" fillId="3" borderId="3" xfId="0" applyNumberFormat="1" applyFont="1" applyFill="1" applyBorder="1" applyAlignment="1">
      <alignment horizontal="center"/>
    </xf>
    <xf numFmtId="165" fontId="8" fillId="4" borderId="3" xfId="0" applyNumberFormat="1" applyFont="1" applyFill="1" applyBorder="1" applyAlignment="1">
      <alignment horizontal="center"/>
    </xf>
    <xf numFmtId="165" fontId="7" fillId="5" borderId="3" xfId="0" applyNumberFormat="1" applyFont="1" applyFill="1" applyBorder="1" applyAlignment="1">
      <alignment horizontal="center"/>
    </xf>
    <xf numFmtId="165" fontId="7" fillId="5" borderId="5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7" fillId="6" borderId="5" xfId="0" applyNumberFormat="1" applyFont="1" applyFill="1" applyBorder="1" applyAlignment="1">
      <alignment horizontal="center"/>
    </xf>
    <xf numFmtId="165" fontId="9" fillId="0" borderId="0" xfId="0" applyNumberFormat="1" applyFont="1"/>
    <xf numFmtId="164" fontId="10" fillId="3" borderId="5" xfId="0" applyNumberFormat="1" applyFont="1" applyFill="1" applyBorder="1" applyAlignment="1">
      <alignment horizontal="center" wrapText="1"/>
    </xf>
    <xf numFmtId="165" fontId="10" fillId="3" borderId="5" xfId="0" applyNumberFormat="1" applyFont="1" applyFill="1" applyBorder="1" applyAlignment="1">
      <alignment horizontal="center" wrapText="1"/>
    </xf>
    <xf numFmtId="165" fontId="10" fillId="3" borderId="5" xfId="0" quotePrefix="1" applyNumberFormat="1" applyFont="1" applyFill="1" applyBorder="1" applyAlignment="1">
      <alignment horizontal="center" wrapText="1"/>
    </xf>
    <xf numFmtId="165" fontId="10" fillId="3" borderId="5" xfId="0" applyNumberFormat="1" applyFont="1" applyFill="1" applyBorder="1" applyAlignment="1">
      <alignment horizontal="center"/>
    </xf>
    <xf numFmtId="165" fontId="10" fillId="4" borderId="5" xfId="0" applyNumberFormat="1" applyFont="1" applyFill="1" applyBorder="1" applyAlignment="1">
      <alignment horizontal="center" wrapText="1"/>
    </xf>
    <xf numFmtId="165" fontId="11" fillId="4" borderId="5" xfId="0" applyNumberFormat="1" applyFont="1" applyFill="1" applyBorder="1" applyAlignment="1">
      <alignment horizontal="center" wrapText="1"/>
    </xf>
    <xf numFmtId="165" fontId="11" fillId="3" borderId="5" xfId="0" applyNumberFormat="1" applyFont="1" applyFill="1" applyBorder="1" applyAlignment="1">
      <alignment horizontal="center" wrapText="1"/>
    </xf>
    <xf numFmtId="165" fontId="10" fillId="5" borderId="5" xfId="0" applyNumberFormat="1" applyFont="1" applyFill="1" applyBorder="1" applyAlignment="1">
      <alignment horizontal="center" wrapText="1"/>
    </xf>
    <xf numFmtId="165" fontId="11" fillId="5" borderId="5" xfId="0" applyNumberFormat="1" applyFont="1" applyFill="1" applyBorder="1" applyAlignment="1">
      <alignment horizontal="center" wrapText="1"/>
    </xf>
    <xf numFmtId="165" fontId="10" fillId="5" borderId="5" xfId="0" quotePrefix="1" applyNumberFormat="1" applyFont="1" applyFill="1" applyBorder="1" applyAlignment="1">
      <alignment horizontal="center" wrapText="1"/>
    </xf>
    <xf numFmtId="165" fontId="10" fillId="6" borderId="5" xfId="0" applyNumberFormat="1" applyFont="1" applyFill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164" fontId="12" fillId="5" borderId="6" xfId="0" applyNumberFormat="1" applyFont="1" applyFill="1" applyBorder="1"/>
    <xf numFmtId="165" fontId="12" fillId="5" borderId="6" xfId="0" applyNumberFormat="1" applyFont="1" applyFill="1" applyBorder="1"/>
    <xf numFmtId="165" fontId="13" fillId="5" borderId="6" xfId="0" applyNumberFormat="1" applyFont="1" applyFill="1" applyBorder="1"/>
    <xf numFmtId="165" fontId="14" fillId="5" borderId="6" xfId="0" applyNumberFormat="1" applyFont="1" applyFill="1" applyBorder="1"/>
    <xf numFmtId="165" fontId="12" fillId="0" borderId="0" xfId="0" applyNumberFormat="1" applyFont="1"/>
    <xf numFmtId="164" fontId="12" fillId="0" borderId="7" xfId="0" applyNumberFormat="1" applyFont="1" applyBorder="1"/>
    <xf numFmtId="165" fontId="12" fillId="0" borderId="7" xfId="0" applyNumberFormat="1" applyFont="1" applyBorder="1"/>
    <xf numFmtId="165" fontId="13" fillId="0" borderId="7" xfId="0" applyNumberFormat="1" applyFont="1" applyBorder="1"/>
    <xf numFmtId="165" fontId="12" fillId="2" borderId="7" xfId="0" applyNumberFormat="1" applyFont="1" applyFill="1" applyBorder="1"/>
    <xf numFmtId="165" fontId="14" fillId="2" borderId="6" xfId="0" applyNumberFormat="1" applyFont="1" applyFill="1" applyBorder="1"/>
    <xf numFmtId="165" fontId="12" fillId="3" borderId="6" xfId="0" applyNumberFormat="1" applyFont="1" applyFill="1" applyBorder="1"/>
    <xf numFmtId="165" fontId="14" fillId="3" borderId="6" xfId="0" applyNumberFormat="1" applyFont="1" applyFill="1" applyBorder="1"/>
    <xf numFmtId="165" fontId="14" fillId="0" borderId="6" xfId="0" applyNumberFormat="1" applyFont="1" applyBorder="1"/>
    <xf numFmtId="165" fontId="16" fillId="0" borderId="7" xfId="0" applyNumberFormat="1" applyFont="1" applyBorder="1"/>
    <xf numFmtId="165" fontId="17" fillId="0" borderId="7" xfId="0" applyNumberFormat="1" applyFont="1" applyBorder="1"/>
    <xf numFmtId="164" fontId="12" fillId="7" borderId="8" xfId="0" applyNumberFormat="1" applyFont="1" applyFill="1" applyBorder="1"/>
    <xf numFmtId="165" fontId="12" fillId="7" borderId="8" xfId="0" applyNumberFormat="1" applyFont="1" applyFill="1" applyBorder="1"/>
    <xf numFmtId="165" fontId="13" fillId="7" borderId="8" xfId="0" applyNumberFormat="1" applyFont="1" applyFill="1" applyBorder="1" applyAlignment="1">
      <alignment horizontal="center"/>
    </xf>
    <xf numFmtId="165" fontId="14" fillId="7" borderId="8" xfId="0" applyNumberFormat="1" applyFont="1" applyFill="1" applyBorder="1"/>
    <xf numFmtId="165" fontId="16" fillId="0" borderId="0" xfId="0" applyNumberFormat="1" applyFont="1"/>
    <xf numFmtId="165" fontId="14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7" fillId="5" borderId="3" xfId="0" applyNumberFormat="1" applyFont="1" applyFill="1" applyBorder="1" applyAlignment="1">
      <alignment horizontal="center"/>
    </xf>
    <xf numFmtId="166" fontId="10" fillId="5" borderId="5" xfId="0" applyNumberFormat="1" applyFont="1" applyFill="1" applyBorder="1" applyAlignment="1">
      <alignment horizontal="center" wrapText="1"/>
    </xf>
    <xf numFmtId="166" fontId="12" fillId="5" borderId="6" xfId="0" applyNumberFormat="1" applyFont="1" applyFill="1" applyBorder="1"/>
    <xf numFmtId="166" fontId="12" fillId="0" borderId="7" xfId="0" applyNumberFormat="1" applyFont="1" applyBorder="1"/>
    <xf numFmtId="166" fontId="12" fillId="7" borderId="8" xfId="0" applyNumberFormat="1" applyFont="1" applyFill="1" applyBorder="1"/>
    <xf numFmtId="166" fontId="7" fillId="5" borderId="4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8" fillId="5" borderId="5" xfId="0" applyNumberFormat="1" applyFont="1" applyFill="1" applyBorder="1" applyAlignment="1">
      <alignment horizontal="center"/>
    </xf>
    <xf numFmtId="166" fontId="11" fillId="5" borderId="5" xfId="0" applyNumberFormat="1" applyFont="1" applyFill="1" applyBorder="1" applyAlignment="1">
      <alignment horizontal="center" wrapText="1"/>
    </xf>
    <xf numFmtId="166" fontId="14" fillId="0" borderId="6" xfId="0" applyNumberFormat="1" applyFont="1" applyBorder="1"/>
    <xf numFmtId="166" fontId="1" fillId="0" borderId="0" xfId="0" applyNumberFormat="1" applyFont="1"/>
    <xf numFmtId="165" fontId="12" fillId="8" borderId="7" xfId="0" applyNumberFormat="1" applyFont="1" applyFill="1" applyBorder="1"/>
    <xf numFmtId="164" fontId="1" fillId="0" borderId="0" xfId="0" applyNumberFormat="1" applyFont="1" applyAlignment="1">
      <alignment horizontal="center"/>
    </xf>
    <xf numFmtId="164" fontId="8" fillId="5" borderId="3" xfId="0" applyNumberFormat="1" applyFont="1" applyFill="1" applyBorder="1" applyAlignment="1">
      <alignment horizontal="center"/>
    </xf>
    <xf numFmtId="164" fontId="11" fillId="5" borderId="5" xfId="0" applyNumberFormat="1" applyFont="1" applyFill="1" applyBorder="1" applyAlignment="1">
      <alignment horizontal="center" wrapText="1"/>
    </xf>
    <xf numFmtId="164" fontId="14" fillId="0" borderId="7" xfId="0" applyNumberFormat="1" applyFont="1" applyBorder="1"/>
    <xf numFmtId="164" fontId="14" fillId="7" borderId="8" xfId="0" applyNumberFormat="1" applyFont="1" applyFill="1" applyBorder="1"/>
    <xf numFmtId="164" fontId="1" fillId="0" borderId="0" xfId="0" applyNumberFormat="1" applyFont="1"/>
    <xf numFmtId="164" fontId="6" fillId="0" borderId="0" xfId="0" applyNumberFormat="1" applyFont="1" applyAlignment="1">
      <alignment horizontal="center"/>
    </xf>
    <xf numFmtId="164" fontId="15" fillId="0" borderId="6" xfId="0" applyNumberFormat="1" applyFont="1" applyBorder="1"/>
    <xf numFmtId="164" fontId="6" fillId="0" borderId="0" xfId="0" applyNumberFormat="1" applyFont="1"/>
    <xf numFmtId="164" fontId="7" fillId="5" borderId="3" xfId="0" applyNumberFormat="1" applyFont="1" applyFill="1" applyBorder="1" applyAlignment="1">
      <alignment horizontal="center"/>
    </xf>
    <xf numFmtId="164" fontId="10" fillId="5" borderId="5" xfId="0" applyNumberFormat="1" applyFont="1" applyFill="1" applyBorder="1" applyAlignment="1">
      <alignment horizontal="center" wrapText="1"/>
    </xf>
    <xf numFmtId="164" fontId="12" fillId="0" borderId="0" xfId="0" applyNumberFormat="1" applyFont="1"/>
    <xf numFmtId="165" fontId="17" fillId="0" borderId="0" xfId="0" applyNumberFormat="1" applyFont="1"/>
    <xf numFmtId="165" fontId="12" fillId="2" borderId="0" xfId="0" applyNumberFormat="1" applyFont="1" applyFill="1"/>
    <xf numFmtId="165" fontId="14" fillId="2" borderId="0" xfId="0" applyNumberFormat="1" applyFont="1" applyFill="1"/>
    <xf numFmtId="165" fontId="12" fillId="3" borderId="0" xfId="0" applyNumberFormat="1" applyFont="1" applyFill="1"/>
    <xf numFmtId="165" fontId="0" fillId="2" borderId="2" xfId="0" applyNumberFormat="1" applyFill="1" applyBorder="1" applyAlignment="1">
      <alignment horizontal="center"/>
    </xf>
    <xf numFmtId="165" fontId="18" fillId="0" borderId="7" xfId="0" applyNumberFormat="1" applyFont="1" applyBorder="1"/>
    <xf numFmtId="164" fontId="19" fillId="0" borderId="6" xfId="0" applyNumberFormat="1" applyFont="1" applyBorder="1"/>
    <xf numFmtId="164" fontId="18" fillId="7" borderId="8" xfId="0" applyNumberFormat="1" applyFont="1" applyFill="1" applyBorder="1"/>
    <xf numFmtId="165" fontId="20" fillId="0" borderId="6" xfId="0" applyNumberFormat="1" applyFont="1" applyBorder="1"/>
    <xf numFmtId="164" fontId="5" fillId="0" borderId="0" xfId="0" applyNumberFormat="1" applyFont="1"/>
    <xf numFmtId="164" fontId="2" fillId="0" borderId="0" xfId="0" applyNumberFormat="1" applyFont="1" applyAlignment="1">
      <alignment horizontal="center"/>
    </xf>
    <xf numFmtId="164" fontId="7" fillId="3" borderId="4" xfId="0" applyNumberFormat="1" applyFont="1" applyFill="1" applyBorder="1" applyAlignment="1">
      <alignment horizontal="center"/>
    </xf>
    <xf numFmtId="164" fontId="10" fillId="3" borderId="5" xfId="0" quotePrefix="1" applyNumberFormat="1" applyFont="1" applyFill="1" applyBorder="1" applyAlignment="1">
      <alignment horizontal="center" wrapText="1"/>
    </xf>
    <xf numFmtId="164" fontId="18" fillId="0" borderId="7" xfId="0" applyNumberFormat="1" applyFont="1" applyBorder="1"/>
    <xf numFmtId="164" fontId="18" fillId="0" borderId="0" xfId="0" applyNumberFormat="1" applyFont="1"/>
    <xf numFmtId="165" fontId="12" fillId="0" borderId="0" xfId="0" applyNumberFormat="1" applyFont="1" applyBorder="1"/>
    <xf numFmtId="164" fontId="12" fillId="0" borderId="0" xfId="0" applyNumberFormat="1" applyFont="1" applyBorder="1"/>
    <xf numFmtId="166" fontId="12" fillId="0" borderId="0" xfId="0" applyNumberFormat="1" applyFont="1" applyBorder="1"/>
    <xf numFmtId="164" fontId="14" fillId="0" borderId="0" xfId="0" applyNumberFormat="1" applyFont="1" applyBorder="1"/>
    <xf numFmtId="165" fontId="14" fillId="0" borderId="0" xfId="0" applyNumberFormat="1" applyFont="1" applyBorder="1"/>
    <xf numFmtId="164" fontId="15" fillId="0" borderId="0" xfId="0" applyNumberFormat="1" applyFont="1" applyBorder="1"/>
    <xf numFmtId="165" fontId="1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D05C-B949-4CBA-A875-0CD272494BF5}">
  <dimension ref="A1:AN183"/>
  <sheetViews>
    <sheetView topLeftCell="K5" zoomScale="85" zoomScaleNormal="56" workbookViewId="0">
      <selection activeCell="X26" sqref="X26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77734375" style="2" bestFit="1" customWidth="1"/>
    <col min="4" max="4" width="10" style="2" bestFit="1" customWidth="1"/>
    <col min="5" max="5" width="13.5546875" style="2" bestFit="1" customWidth="1"/>
    <col min="6" max="6" width="10.6640625" style="2" customWidth="1"/>
    <col min="7" max="7" width="11.44140625" style="2" bestFit="1" customWidth="1"/>
    <col min="8" max="8" width="10.6640625" style="2" customWidth="1"/>
    <col min="9" max="9" width="18.21875" style="2" bestFit="1" customWidth="1"/>
    <col min="10" max="10" width="12.88671875" style="2" bestFit="1" customWidth="1"/>
    <col min="11" max="11" width="16.77734375" style="3" bestFit="1" customWidth="1"/>
    <col min="12" max="12" width="13.77734375" style="3" bestFit="1" customWidth="1"/>
    <col min="13" max="13" width="14.21875" style="60" bestFit="1" customWidth="1"/>
    <col min="14" max="14" width="15.109375" style="60" bestFit="1" customWidth="1"/>
    <col min="15" max="15" width="11.5546875" style="2" customWidth="1"/>
    <col min="16" max="16" width="18.109375" style="72" bestFit="1" customWidth="1"/>
    <col min="17" max="17" width="14" style="2" bestFit="1" customWidth="1"/>
    <col min="18" max="18" width="17.109375" style="79" bestFit="1" customWidth="1"/>
    <col min="19" max="19" width="15.5546875" style="2" customWidth="1"/>
    <col min="20" max="20" width="11.44140625" style="2" bestFit="1" customWidth="1"/>
    <col min="21" max="21" width="11.88671875" style="2" bestFit="1" customWidth="1"/>
    <col min="22" max="22" width="12" style="2" bestFit="1" customWidth="1"/>
    <col min="23" max="23" width="10.6640625" style="3" customWidth="1"/>
    <col min="24" max="24" width="17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 s="1" t="e">
        <f>#REF!</f>
        <v>#REF!</v>
      </c>
      <c r="E1" s="2" t="str">
        <f t="shared" ref="E1:Y1" si="0">E26</f>
        <v>hDdf</v>
      </c>
      <c r="F1" s="2">
        <f t="shared" ref="F1:H1" si="1">+F26</f>
        <v>0</v>
      </c>
      <c r="G1" s="2">
        <f t="shared" si="1"/>
        <v>0</v>
      </c>
      <c r="H1" s="2">
        <f t="shared" si="1"/>
        <v>0</v>
      </c>
      <c r="I1" s="2">
        <f>+I26</f>
        <v>0</v>
      </c>
      <c r="J1" s="2">
        <f>+J26</f>
        <v>0</v>
      </c>
      <c r="K1" s="2">
        <f ca="1">+K26</f>
        <v>1054320</v>
      </c>
      <c r="L1" s="3" t="e">
        <f>L11:L18</f>
        <v>#VALUE!</v>
      </c>
      <c r="M1" s="60">
        <f t="shared" si="0"/>
        <v>975.1</v>
      </c>
      <c r="N1" s="60">
        <f t="shared" si="0"/>
        <v>104</v>
      </c>
      <c r="O1" s="2">
        <f t="shared" si="0"/>
        <v>274</v>
      </c>
      <c r="P1" s="60">
        <f t="shared" si="0"/>
        <v>805.09999999999991</v>
      </c>
      <c r="Q1" s="2">
        <f t="shared" si="0"/>
        <v>772.08247422680415</v>
      </c>
      <c r="R1" s="1">
        <f t="shared" si="0"/>
        <v>621603.6</v>
      </c>
      <c r="S1" s="2">
        <f t="shared" si="0"/>
        <v>20200</v>
      </c>
      <c r="T1" s="2">
        <f t="shared" si="0"/>
        <v>700</v>
      </c>
      <c r="U1" s="2">
        <f t="shared" si="0"/>
        <v>1100</v>
      </c>
      <c r="V1" s="2">
        <f t="shared" si="0"/>
        <v>0</v>
      </c>
      <c r="W1" s="2" t="e">
        <f t="shared" si="0"/>
        <v>#VALUE!</v>
      </c>
      <c r="X1" s="1">
        <f t="shared" si="0"/>
        <v>643603.6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7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10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8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15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22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29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3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40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40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5"/>
      <c r="E7" s="46"/>
      <c r="F7" s="47"/>
      <c r="G7" s="47"/>
      <c r="H7" s="47"/>
      <c r="I7" s="48">
        <f ca="1">I7:L25=+H7+G7+F7</f>
        <v>0</v>
      </c>
      <c r="J7" s="49"/>
      <c r="K7" s="50">
        <f t="shared" ref="K7:K8" ca="1" si="2">+I7*J7</f>
        <v>0</v>
      </c>
      <c r="L7" s="48"/>
      <c r="M7" s="65"/>
      <c r="N7" s="65"/>
      <c r="O7" s="45"/>
      <c r="P7" s="71">
        <f t="shared" ref="P7" si="3">N7+M7+O7</f>
        <v>0</v>
      </c>
      <c r="Q7" s="45"/>
      <c r="R7" s="77">
        <f>SUM(P7*Q7)</f>
        <v>0</v>
      </c>
      <c r="S7" s="45"/>
      <c r="T7" s="45"/>
      <c r="U7" s="45"/>
      <c r="V7" s="45"/>
      <c r="W7" s="51" t="e">
        <f>W8:W14</f>
        <v>#VALUE!</v>
      </c>
      <c r="X7" s="81" t="e">
        <f t="shared" ref="X7:X25" si="4">+R7+W7</f>
        <v>#VALUE!</v>
      </c>
      <c r="Y7" s="92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16</v>
      </c>
      <c r="C8" s="45">
        <v>1</v>
      </c>
      <c r="D8" s="91"/>
      <c r="E8" s="53" t="s">
        <v>1</v>
      </c>
      <c r="F8" s="47"/>
      <c r="G8" s="47"/>
      <c r="H8" s="47"/>
      <c r="I8" s="48">
        <f t="shared" ref="I8:I25" si="5">+H8+G8+F8</f>
        <v>0</v>
      </c>
      <c r="J8" s="49"/>
      <c r="K8" s="50">
        <f t="shared" si="2"/>
        <v>0</v>
      </c>
      <c r="L8" s="48"/>
      <c r="M8" s="65">
        <v>6</v>
      </c>
      <c r="N8" s="65">
        <v>3.5</v>
      </c>
      <c r="P8" s="71">
        <f>N8+M8-O8</f>
        <v>9.5</v>
      </c>
      <c r="Q8" s="45">
        <v>97200</v>
      </c>
      <c r="R8" s="77">
        <f>SUM(P8*(Q8/100))</f>
        <v>9234</v>
      </c>
      <c r="S8" s="45">
        <v>1200</v>
      </c>
      <c r="T8" s="45"/>
      <c r="U8" s="45"/>
      <c r="V8" s="45"/>
      <c r="W8" s="51">
        <f>+S8+T8+U8+V8</f>
        <v>1200</v>
      </c>
      <c r="X8" s="81">
        <f>+R8+W8</f>
        <v>10434</v>
      </c>
      <c r="Y8" s="92" t="e">
        <f>+X8+#REF!</f>
        <v>#REF!</v>
      </c>
      <c r="Z8" s="52"/>
    </row>
    <row r="9" spans="1:36" s="43" customFormat="1" ht="17.399999999999999" x14ac:dyDescent="0.3">
      <c r="A9" s="44">
        <v>3</v>
      </c>
      <c r="B9" s="73">
        <v>19</v>
      </c>
      <c r="C9" s="45">
        <f>C8+1</f>
        <v>2</v>
      </c>
      <c r="D9" s="91" t="s">
        <v>121</v>
      </c>
      <c r="E9" s="53" t="s">
        <v>71</v>
      </c>
      <c r="F9" s="47"/>
      <c r="G9" s="47"/>
      <c r="H9" s="47"/>
      <c r="I9" s="48"/>
      <c r="J9" s="49"/>
      <c r="K9" s="50">
        <f>+I9*J9</f>
        <v>0</v>
      </c>
      <c r="L9" s="48"/>
      <c r="M9" s="65">
        <v>40</v>
      </c>
      <c r="N9" s="65">
        <v>8</v>
      </c>
      <c r="O9" s="45"/>
      <c r="P9" s="71">
        <f t="shared" ref="P9:P25" si="6">N9+M9-O9</f>
        <v>48</v>
      </c>
      <c r="Q9" s="45">
        <v>98000</v>
      </c>
      <c r="R9" s="77">
        <f t="shared" ref="R9:R25" si="7">SUM(P9*(Q9/100))</f>
        <v>47040</v>
      </c>
      <c r="S9" s="45">
        <v>1200</v>
      </c>
      <c r="T9" s="45"/>
      <c r="U9" s="45"/>
      <c r="V9" s="45"/>
      <c r="W9" s="51">
        <f t="shared" ref="W9:W25" si="8">+S9+T9+U9+V9</f>
        <v>1200</v>
      </c>
      <c r="X9" s="81">
        <f t="shared" si="4"/>
        <v>48240</v>
      </c>
      <c r="Y9" s="92" t="e">
        <f>+X9+#REF!</f>
        <v>#REF!</v>
      </c>
      <c r="Z9" s="52"/>
    </row>
    <row r="10" spans="1:36" s="43" customFormat="1" ht="17.399999999999999" x14ac:dyDescent="0.3">
      <c r="A10" s="44">
        <v>4</v>
      </c>
      <c r="B10" s="45">
        <v>19</v>
      </c>
      <c r="C10" s="45">
        <f t="shared" ref="C10:C25" si="9">C9+1</f>
        <v>3</v>
      </c>
      <c r="D10" s="91" t="s">
        <v>121</v>
      </c>
      <c r="E10" s="53" t="s">
        <v>122</v>
      </c>
      <c r="F10" s="47"/>
      <c r="G10" s="47"/>
      <c r="H10" s="47"/>
      <c r="I10" s="48">
        <f t="shared" si="5"/>
        <v>0</v>
      </c>
      <c r="J10" s="49"/>
      <c r="K10" s="50">
        <f t="shared" ref="K10:K25" si="10">+I10*J10</f>
        <v>0</v>
      </c>
      <c r="L10" s="48"/>
      <c r="M10" s="65">
        <v>20.6</v>
      </c>
      <c r="N10" s="65">
        <v>2.5</v>
      </c>
      <c r="O10" s="45"/>
      <c r="P10" s="71">
        <f t="shared" si="6"/>
        <v>23.1</v>
      </c>
      <c r="Q10" s="45">
        <v>95600</v>
      </c>
      <c r="R10" s="77">
        <f t="shared" si="7"/>
        <v>22083.600000000002</v>
      </c>
      <c r="S10" s="45">
        <v>600</v>
      </c>
      <c r="T10" s="45"/>
      <c r="U10" s="45"/>
      <c r="V10" s="45"/>
      <c r="W10" s="51">
        <f t="shared" si="8"/>
        <v>600</v>
      </c>
      <c r="X10" s="81">
        <f t="shared" si="4"/>
        <v>22683.600000000002</v>
      </c>
      <c r="Y10" s="92" t="e">
        <f>+X10+#REF!</f>
        <v>#REF!</v>
      </c>
      <c r="Z10" s="52"/>
    </row>
    <row r="11" spans="1:36" s="43" customFormat="1" ht="17.399999999999999" x14ac:dyDescent="0.3">
      <c r="A11" s="44">
        <v>5</v>
      </c>
      <c r="B11" s="45">
        <v>20</v>
      </c>
      <c r="C11" s="45">
        <f t="shared" si="9"/>
        <v>4</v>
      </c>
      <c r="D11" s="91"/>
      <c r="E11" s="53" t="s">
        <v>72</v>
      </c>
      <c r="F11" s="47"/>
      <c r="G11" s="47"/>
      <c r="H11" s="47"/>
      <c r="I11" s="48">
        <f t="shared" si="5"/>
        <v>0</v>
      </c>
      <c r="J11" s="49"/>
      <c r="K11" s="50">
        <f t="shared" si="10"/>
        <v>0</v>
      </c>
      <c r="L11" s="48"/>
      <c r="M11" s="65">
        <v>136.69999999999999</v>
      </c>
      <c r="N11" s="65">
        <v>11</v>
      </c>
      <c r="O11" s="45">
        <v>63</v>
      </c>
      <c r="P11" s="71">
        <f t="shared" si="6"/>
        <v>84.699999999999989</v>
      </c>
      <c r="Q11" s="45">
        <v>95600</v>
      </c>
      <c r="R11" s="77">
        <f t="shared" si="7"/>
        <v>80973.199999999983</v>
      </c>
      <c r="S11" s="45">
        <v>1200</v>
      </c>
      <c r="T11" s="45">
        <v>700</v>
      </c>
      <c r="U11" s="45">
        <v>200</v>
      </c>
      <c r="V11" s="45"/>
      <c r="W11" s="51">
        <f t="shared" si="8"/>
        <v>2100</v>
      </c>
      <c r="X11" s="81">
        <f t="shared" si="4"/>
        <v>83073.199999999983</v>
      </c>
      <c r="Y11" s="92" t="e">
        <f>+X11+#REF!</f>
        <v>#REF!</v>
      </c>
      <c r="Z11" s="52"/>
    </row>
    <row r="12" spans="1:36" s="43" customFormat="1" ht="17.399999999999999" x14ac:dyDescent="0.3">
      <c r="A12" s="44">
        <v>6</v>
      </c>
      <c r="B12" s="45">
        <v>25</v>
      </c>
      <c r="C12" s="45">
        <f t="shared" si="9"/>
        <v>5</v>
      </c>
      <c r="D12" s="91"/>
      <c r="E12" s="53" t="s">
        <v>73</v>
      </c>
      <c r="F12" s="47"/>
      <c r="G12" s="47"/>
      <c r="H12" s="47"/>
      <c r="I12" s="48">
        <f t="shared" si="5"/>
        <v>0</v>
      </c>
      <c r="J12" s="49"/>
      <c r="K12" s="50">
        <f t="shared" si="10"/>
        <v>0</v>
      </c>
      <c r="L12" s="48"/>
      <c r="M12" s="65">
        <v>38.200000000000003</v>
      </c>
      <c r="N12" s="65">
        <v>4.5</v>
      </c>
      <c r="O12" s="45">
        <v>28</v>
      </c>
      <c r="P12" s="71">
        <f t="shared" si="6"/>
        <v>14.700000000000003</v>
      </c>
      <c r="Q12" s="45">
        <v>95300</v>
      </c>
      <c r="R12" s="77">
        <f t="shared" si="7"/>
        <v>14009.100000000002</v>
      </c>
      <c r="S12" s="45">
        <v>1200</v>
      </c>
      <c r="T12" s="45"/>
      <c r="U12" s="45"/>
      <c r="V12" s="45"/>
      <c r="W12" s="51">
        <f t="shared" si="8"/>
        <v>1200</v>
      </c>
      <c r="X12" s="81">
        <f t="shared" si="4"/>
        <v>15209.100000000002</v>
      </c>
      <c r="Y12" s="92" t="e">
        <f>+X12+#REF!</f>
        <v>#REF!</v>
      </c>
      <c r="Z12" s="52"/>
    </row>
    <row r="13" spans="1:36" s="43" customFormat="1" ht="17.399999999999999" x14ac:dyDescent="0.3">
      <c r="A13" s="44">
        <v>7</v>
      </c>
      <c r="B13" s="45">
        <v>2</v>
      </c>
      <c r="C13" s="45">
        <f t="shared" si="9"/>
        <v>6</v>
      </c>
      <c r="D13" s="91" t="s">
        <v>124</v>
      </c>
      <c r="E13" s="53"/>
      <c r="F13" s="47"/>
      <c r="G13" s="47"/>
      <c r="H13" s="47"/>
      <c r="I13" s="48">
        <f t="shared" si="5"/>
        <v>0</v>
      </c>
      <c r="J13" s="49"/>
      <c r="K13" s="50">
        <f t="shared" si="10"/>
        <v>0</v>
      </c>
      <c r="L13" s="48"/>
      <c r="M13" s="65"/>
      <c r="N13" s="65"/>
      <c r="O13" s="45"/>
      <c r="P13" s="71">
        <f t="shared" si="6"/>
        <v>0</v>
      </c>
      <c r="Q13" s="45"/>
      <c r="R13" s="77">
        <f t="shared" si="7"/>
        <v>0</v>
      </c>
      <c r="S13" s="45"/>
      <c r="T13" s="45"/>
      <c r="U13" s="45"/>
      <c r="V13" s="45"/>
      <c r="W13" s="51">
        <f t="shared" si="8"/>
        <v>0</v>
      </c>
      <c r="X13" s="81">
        <f t="shared" si="4"/>
        <v>0</v>
      </c>
      <c r="Y13" s="92" t="e">
        <f>+X13+#REF!</f>
        <v>#REF!</v>
      </c>
      <c r="Z13" s="52"/>
    </row>
    <row r="14" spans="1:36" s="43" customFormat="1" ht="17.399999999999999" x14ac:dyDescent="0.3">
      <c r="A14" s="44">
        <v>8</v>
      </c>
      <c r="B14" s="45">
        <v>25</v>
      </c>
      <c r="C14" s="45">
        <f t="shared" si="9"/>
        <v>7</v>
      </c>
      <c r="D14" s="91"/>
      <c r="E14" s="53" t="s">
        <v>83</v>
      </c>
      <c r="F14" s="47"/>
      <c r="G14" s="47"/>
      <c r="H14" s="47"/>
      <c r="I14" s="48">
        <f t="shared" si="5"/>
        <v>0</v>
      </c>
      <c r="J14" s="49"/>
      <c r="K14" s="50">
        <f t="shared" si="10"/>
        <v>0</v>
      </c>
      <c r="L14" s="48"/>
      <c r="M14" s="65">
        <f>109.7-3</f>
        <v>106.7</v>
      </c>
      <c r="N14" s="65">
        <v>11</v>
      </c>
      <c r="O14" s="45">
        <v>109</v>
      </c>
      <c r="P14" s="71">
        <f t="shared" si="6"/>
        <v>8.7000000000000028</v>
      </c>
      <c r="Q14" s="45">
        <v>96000</v>
      </c>
      <c r="R14" s="77">
        <f t="shared" si="7"/>
        <v>8352.0000000000036</v>
      </c>
      <c r="S14" s="45">
        <v>1500</v>
      </c>
      <c r="T14" s="45"/>
      <c r="U14" s="45"/>
      <c r="V14" s="45"/>
      <c r="W14" s="51">
        <f t="shared" si="8"/>
        <v>1500</v>
      </c>
      <c r="X14" s="81">
        <f t="shared" si="4"/>
        <v>9852.0000000000036</v>
      </c>
      <c r="Y14" s="92" t="e">
        <f>+X14+#REF!</f>
        <v>#REF!</v>
      </c>
      <c r="Z14" s="52"/>
    </row>
    <row r="15" spans="1:36" s="43" customFormat="1" ht="17.399999999999999" x14ac:dyDescent="0.3">
      <c r="A15" s="44">
        <v>9</v>
      </c>
      <c r="B15" s="45">
        <v>25</v>
      </c>
      <c r="C15" s="45">
        <f t="shared" si="9"/>
        <v>8</v>
      </c>
      <c r="D15" s="91"/>
      <c r="E15" s="53" t="s">
        <v>73</v>
      </c>
      <c r="F15" s="47"/>
      <c r="G15" s="47"/>
      <c r="H15" s="47"/>
      <c r="I15" s="48">
        <f t="shared" si="5"/>
        <v>0</v>
      </c>
      <c r="J15" s="49"/>
      <c r="K15" s="50">
        <f t="shared" si="10"/>
        <v>0</v>
      </c>
      <c r="L15" s="48"/>
      <c r="M15" s="65">
        <v>29.8</v>
      </c>
      <c r="N15" s="65">
        <v>4.5</v>
      </c>
      <c r="O15" s="45">
        <v>19</v>
      </c>
      <c r="P15" s="71">
        <f t="shared" si="6"/>
        <v>15.299999999999997</v>
      </c>
      <c r="Q15" s="45">
        <v>96000</v>
      </c>
      <c r="R15" s="77">
        <f t="shared" si="7"/>
        <v>14687.999999999996</v>
      </c>
      <c r="S15" s="45">
        <v>1200</v>
      </c>
      <c r="T15" s="45"/>
      <c r="U15" s="45"/>
      <c r="V15" s="45"/>
      <c r="W15" s="51">
        <f t="shared" si="8"/>
        <v>1200</v>
      </c>
      <c r="X15" s="81">
        <f t="shared" si="4"/>
        <v>15887.999999999996</v>
      </c>
      <c r="Y15" s="92" t="e">
        <f>+X15+#REF!</f>
        <v>#REF!</v>
      </c>
      <c r="Z15" s="52"/>
    </row>
    <row r="16" spans="1:36" s="43" customFormat="1" ht="17.399999999999999" x14ac:dyDescent="0.3">
      <c r="A16" s="44">
        <v>10</v>
      </c>
      <c r="B16" s="45">
        <v>25</v>
      </c>
      <c r="C16" s="45">
        <f t="shared" si="9"/>
        <v>9</v>
      </c>
      <c r="D16" s="91"/>
      <c r="E16" s="53" t="s">
        <v>74</v>
      </c>
      <c r="F16" s="47"/>
      <c r="G16" s="47"/>
      <c r="H16" s="47"/>
      <c r="I16" s="48">
        <f t="shared" si="5"/>
        <v>0</v>
      </c>
      <c r="J16" s="49"/>
      <c r="K16" s="50">
        <f t="shared" si="10"/>
        <v>0</v>
      </c>
      <c r="L16" s="48"/>
      <c r="M16" s="65">
        <v>52.4</v>
      </c>
      <c r="N16" s="65">
        <f>58.4-52.4</f>
        <v>6</v>
      </c>
      <c r="O16" s="45">
        <v>55</v>
      </c>
      <c r="P16" s="71">
        <f t="shared" si="6"/>
        <v>3.3999999999999986</v>
      </c>
      <c r="Q16" s="45">
        <v>96000</v>
      </c>
      <c r="R16" s="77">
        <f t="shared" si="7"/>
        <v>3263.9999999999986</v>
      </c>
      <c r="S16" s="45">
        <v>1200</v>
      </c>
      <c r="T16" s="45"/>
      <c r="U16" s="45"/>
      <c r="V16" s="45"/>
      <c r="W16" s="51">
        <f t="shared" si="8"/>
        <v>1200</v>
      </c>
      <c r="X16" s="81">
        <f t="shared" si="4"/>
        <v>4463.9999999999982</v>
      </c>
      <c r="Y16" s="92" t="e">
        <f>+X16+#REF!</f>
        <v>#REF!</v>
      </c>
      <c r="Z16" s="52"/>
    </row>
    <row r="17" spans="1:26" s="43" customFormat="1" ht="17.399999999999999" x14ac:dyDescent="0.3">
      <c r="A17" s="44">
        <v>11</v>
      </c>
      <c r="B17" s="45">
        <v>25</v>
      </c>
      <c r="C17" s="45">
        <f t="shared" si="9"/>
        <v>10</v>
      </c>
      <c r="D17" s="91"/>
      <c r="E17" s="53" t="s">
        <v>74</v>
      </c>
      <c r="F17" s="47"/>
      <c r="G17" s="47"/>
      <c r="H17" s="47"/>
      <c r="I17" s="48">
        <f t="shared" si="5"/>
        <v>0</v>
      </c>
      <c r="J17" s="49"/>
      <c r="K17" s="50">
        <f t="shared" si="10"/>
        <v>0</v>
      </c>
      <c r="L17" s="48"/>
      <c r="M17" s="65">
        <v>149.6</v>
      </c>
      <c r="N17" s="65">
        <v>10</v>
      </c>
      <c r="O17" s="45"/>
      <c r="P17" s="71">
        <f t="shared" si="6"/>
        <v>159.6</v>
      </c>
      <c r="Q17" s="45">
        <v>95800</v>
      </c>
      <c r="R17" s="77">
        <f t="shared" si="7"/>
        <v>152896.79999999999</v>
      </c>
      <c r="S17" s="45">
        <v>2000</v>
      </c>
      <c r="T17" s="45"/>
      <c r="U17" s="45"/>
      <c r="V17" s="45"/>
      <c r="W17" s="51">
        <f t="shared" si="8"/>
        <v>2000</v>
      </c>
      <c r="X17" s="81">
        <f t="shared" si="4"/>
        <v>154896.79999999999</v>
      </c>
      <c r="Y17" s="92" t="e">
        <f>+X17+#REF!</f>
        <v>#REF!</v>
      </c>
      <c r="Z17" s="52">
        <v>1</v>
      </c>
    </row>
    <row r="18" spans="1:26" s="43" customFormat="1" ht="17.399999999999999" x14ac:dyDescent="0.3">
      <c r="A18" s="44">
        <v>12</v>
      </c>
      <c r="B18" s="45">
        <v>25</v>
      </c>
      <c r="C18" s="45">
        <f t="shared" si="9"/>
        <v>11</v>
      </c>
      <c r="D18" s="91"/>
      <c r="E18" s="53" t="s">
        <v>74</v>
      </c>
      <c r="F18" s="47"/>
      <c r="G18" s="47"/>
      <c r="H18" s="47"/>
      <c r="I18" s="48">
        <f t="shared" si="5"/>
        <v>0</v>
      </c>
      <c r="J18" s="49"/>
      <c r="K18" s="50">
        <f t="shared" si="10"/>
        <v>0</v>
      </c>
      <c r="L18" s="48"/>
      <c r="M18" s="65">
        <v>120.1</v>
      </c>
      <c r="N18" s="65">
        <v>9</v>
      </c>
      <c r="O18" s="45"/>
      <c r="P18" s="71">
        <f t="shared" si="6"/>
        <v>129.1</v>
      </c>
      <c r="Q18" s="45"/>
      <c r="R18" s="77">
        <f t="shared" si="7"/>
        <v>0</v>
      </c>
      <c r="S18" s="45">
        <v>1500</v>
      </c>
      <c r="T18" s="45"/>
      <c r="U18" s="45"/>
      <c r="V18" s="45"/>
      <c r="W18" s="51">
        <f t="shared" si="8"/>
        <v>1500</v>
      </c>
      <c r="X18" s="81">
        <f t="shared" si="4"/>
        <v>1500</v>
      </c>
      <c r="Y18" s="92" t="e">
        <f>+X18+#REF!</f>
        <v>#REF!</v>
      </c>
      <c r="Z18" s="52"/>
    </row>
    <row r="19" spans="1:26" s="43" customFormat="1" ht="17.399999999999999" x14ac:dyDescent="0.3">
      <c r="A19" s="44">
        <v>13</v>
      </c>
      <c r="B19" s="45">
        <v>5</v>
      </c>
      <c r="C19" s="45">
        <f t="shared" si="9"/>
        <v>12</v>
      </c>
      <c r="D19" s="91" t="s">
        <v>124</v>
      </c>
      <c r="E19" s="53"/>
      <c r="F19" s="47"/>
      <c r="G19" s="47"/>
      <c r="H19" s="47"/>
      <c r="I19" s="48">
        <f t="shared" si="5"/>
        <v>0</v>
      </c>
      <c r="J19" s="49"/>
      <c r="K19" s="50">
        <f t="shared" si="10"/>
        <v>0</v>
      </c>
      <c r="L19" s="48"/>
      <c r="M19" s="65"/>
      <c r="N19" s="65"/>
      <c r="O19" s="45"/>
      <c r="P19" s="71">
        <f t="shared" si="6"/>
        <v>0</v>
      </c>
      <c r="Q19" s="45"/>
      <c r="R19" s="77">
        <f t="shared" si="7"/>
        <v>0</v>
      </c>
      <c r="S19" s="45"/>
      <c r="T19" s="45"/>
      <c r="U19" s="45"/>
      <c r="V19" s="45"/>
      <c r="W19" s="51">
        <f t="shared" si="8"/>
        <v>0</v>
      </c>
      <c r="X19" s="81">
        <f t="shared" si="4"/>
        <v>0</v>
      </c>
      <c r="Y19" s="92" t="e">
        <f>+X19+#REF!</f>
        <v>#REF!</v>
      </c>
      <c r="Z19" s="52"/>
    </row>
    <row r="20" spans="1:26" s="43" customFormat="1" ht="17.399999999999999" x14ac:dyDescent="0.3">
      <c r="A20" s="44">
        <v>14</v>
      </c>
      <c r="B20" s="45">
        <v>25</v>
      </c>
      <c r="C20" s="45">
        <f t="shared" si="9"/>
        <v>13</v>
      </c>
      <c r="D20" s="91"/>
      <c r="E20" s="53" t="s">
        <v>75</v>
      </c>
      <c r="F20" s="47"/>
      <c r="G20" s="47"/>
      <c r="H20" s="47"/>
      <c r="I20" s="48">
        <f t="shared" si="5"/>
        <v>0</v>
      </c>
      <c r="J20" s="49"/>
      <c r="K20" s="50">
        <f t="shared" si="10"/>
        <v>0</v>
      </c>
      <c r="L20" s="48"/>
      <c r="M20" s="65">
        <v>11.9</v>
      </c>
      <c r="N20" s="65">
        <v>1.5</v>
      </c>
      <c r="O20" s="45"/>
      <c r="P20" s="71">
        <f t="shared" si="6"/>
        <v>13.4</v>
      </c>
      <c r="Q20" s="45">
        <v>95600</v>
      </c>
      <c r="R20" s="77">
        <f t="shared" si="7"/>
        <v>12810.4</v>
      </c>
      <c r="S20" s="45">
        <v>800</v>
      </c>
      <c r="T20" s="45"/>
      <c r="U20" s="45">
        <v>500</v>
      </c>
      <c r="V20" s="45"/>
      <c r="W20" s="51">
        <f t="shared" si="8"/>
        <v>1300</v>
      </c>
      <c r="X20" s="81">
        <f t="shared" si="4"/>
        <v>14110.4</v>
      </c>
      <c r="Y20" s="92" t="e">
        <f>+X20+#REF!</f>
        <v>#REF!</v>
      </c>
      <c r="Z20" s="52"/>
    </row>
    <row r="21" spans="1:26" s="43" customFormat="1" ht="17.399999999999999" x14ac:dyDescent="0.3">
      <c r="A21" s="44">
        <v>15</v>
      </c>
      <c r="B21" s="45">
        <v>26</v>
      </c>
      <c r="C21" s="45">
        <f t="shared" si="9"/>
        <v>14</v>
      </c>
      <c r="D21" s="91"/>
      <c r="E21" s="53" t="s">
        <v>76</v>
      </c>
      <c r="F21" s="47"/>
      <c r="G21" s="47"/>
      <c r="H21" s="47"/>
      <c r="I21" s="48">
        <f t="shared" si="5"/>
        <v>0</v>
      </c>
      <c r="J21" s="49"/>
      <c r="K21" s="50">
        <f t="shared" si="10"/>
        <v>0</v>
      </c>
      <c r="L21" s="48"/>
      <c r="M21" s="65">
        <v>26.1</v>
      </c>
      <c r="N21" s="65">
        <v>5</v>
      </c>
      <c r="O21" s="45"/>
      <c r="P21" s="71">
        <f t="shared" si="6"/>
        <v>31.1</v>
      </c>
      <c r="Q21" s="45"/>
      <c r="R21" s="77">
        <f t="shared" si="7"/>
        <v>0</v>
      </c>
      <c r="S21" s="45">
        <v>1500</v>
      </c>
      <c r="T21" s="45"/>
      <c r="U21" s="45">
        <v>400</v>
      </c>
      <c r="V21" s="45"/>
      <c r="W21" s="51">
        <f t="shared" si="8"/>
        <v>1900</v>
      </c>
      <c r="X21" s="81">
        <f t="shared" si="4"/>
        <v>1900</v>
      </c>
      <c r="Y21" s="92" t="e">
        <f>+X21+#REF!</f>
        <v>#REF!</v>
      </c>
      <c r="Z21" s="52"/>
    </row>
    <row r="22" spans="1:26" s="43" customFormat="1" ht="17.399999999999999" x14ac:dyDescent="0.3">
      <c r="A22" s="44">
        <v>16</v>
      </c>
      <c r="B22" s="45">
        <v>26</v>
      </c>
      <c r="C22" s="45">
        <f t="shared" si="9"/>
        <v>15</v>
      </c>
      <c r="D22" s="91"/>
      <c r="E22" s="53" t="s">
        <v>75</v>
      </c>
      <c r="F22" s="47"/>
      <c r="G22" s="47"/>
      <c r="H22" s="47"/>
      <c r="I22" s="48">
        <f t="shared" si="5"/>
        <v>0</v>
      </c>
      <c r="J22" s="49"/>
      <c r="K22" s="50">
        <f t="shared" si="10"/>
        <v>0</v>
      </c>
      <c r="L22" s="48"/>
      <c r="M22" s="65">
        <v>71.900000000000006</v>
      </c>
      <c r="N22" s="65">
        <v>8</v>
      </c>
      <c r="O22" s="45"/>
      <c r="P22" s="71">
        <f t="shared" si="6"/>
        <v>79.900000000000006</v>
      </c>
      <c r="Q22" s="45">
        <v>95800</v>
      </c>
      <c r="R22" s="77">
        <f t="shared" si="7"/>
        <v>76544.200000000012</v>
      </c>
      <c r="S22" s="45">
        <v>1200</v>
      </c>
      <c r="T22" s="45"/>
      <c r="U22" s="45"/>
      <c r="V22" s="45"/>
      <c r="W22" s="51">
        <f t="shared" si="8"/>
        <v>1200</v>
      </c>
      <c r="X22" s="81">
        <f t="shared" si="4"/>
        <v>77744.200000000012</v>
      </c>
      <c r="Y22" s="92" t="e">
        <f>+X22+#REF!</f>
        <v>#REF!</v>
      </c>
      <c r="Z22" s="52"/>
    </row>
    <row r="23" spans="1:26" s="43" customFormat="1" ht="17.399999999999999" x14ac:dyDescent="0.3">
      <c r="A23" s="44">
        <v>17</v>
      </c>
      <c r="B23" s="45">
        <v>29</v>
      </c>
      <c r="C23" s="45">
        <f t="shared" si="9"/>
        <v>16</v>
      </c>
      <c r="D23" s="91"/>
      <c r="E23" s="53" t="s">
        <v>74</v>
      </c>
      <c r="F23" s="47"/>
      <c r="G23" s="47"/>
      <c r="H23" s="47"/>
      <c r="I23" s="48">
        <f t="shared" si="5"/>
        <v>0</v>
      </c>
      <c r="J23" s="49"/>
      <c r="K23" s="50">
        <f t="shared" si="10"/>
        <v>0</v>
      </c>
      <c r="L23" s="48"/>
      <c r="M23" s="65">
        <v>100.1</v>
      </c>
      <c r="N23" s="65">
        <v>9</v>
      </c>
      <c r="O23" s="45"/>
      <c r="P23" s="71">
        <f t="shared" si="6"/>
        <v>109.1</v>
      </c>
      <c r="Q23" s="45">
        <v>97800</v>
      </c>
      <c r="R23" s="77">
        <f t="shared" si="7"/>
        <v>106699.79999999999</v>
      </c>
      <c r="S23" s="45">
        <v>1500</v>
      </c>
      <c r="T23" s="45"/>
      <c r="U23" s="45"/>
      <c r="V23" s="45"/>
      <c r="W23" s="51">
        <f t="shared" si="8"/>
        <v>1500</v>
      </c>
      <c r="X23" s="81">
        <f t="shared" si="4"/>
        <v>108199.79999999999</v>
      </c>
      <c r="Y23" s="92" t="e">
        <f>+X23+#REF!</f>
        <v>#REF!</v>
      </c>
      <c r="Z23" s="52">
        <v>1</v>
      </c>
    </row>
    <row r="24" spans="1:26" s="43" customFormat="1" ht="17.399999999999999" x14ac:dyDescent="0.3">
      <c r="A24" s="44">
        <v>18</v>
      </c>
      <c r="B24" s="45">
        <v>31</v>
      </c>
      <c r="C24" s="45">
        <f t="shared" si="9"/>
        <v>17</v>
      </c>
      <c r="D24" s="91"/>
      <c r="E24" s="53" t="s">
        <v>77</v>
      </c>
      <c r="F24" s="47"/>
      <c r="G24" s="47"/>
      <c r="H24" s="47"/>
      <c r="I24" s="48">
        <f t="shared" si="5"/>
        <v>0</v>
      </c>
      <c r="J24" s="49"/>
      <c r="K24" s="50">
        <f t="shared" si="10"/>
        <v>0</v>
      </c>
      <c r="L24" s="48"/>
      <c r="M24" s="65">
        <v>30.2</v>
      </c>
      <c r="N24" s="65">
        <v>5</v>
      </c>
      <c r="O24" s="45"/>
      <c r="P24" s="71">
        <f t="shared" si="6"/>
        <v>35.200000000000003</v>
      </c>
      <c r="Q24" s="45">
        <v>96700</v>
      </c>
      <c r="R24" s="77">
        <f t="shared" si="7"/>
        <v>34038.400000000001</v>
      </c>
      <c r="S24" s="45">
        <v>1200</v>
      </c>
      <c r="T24" s="45"/>
      <c r="U24" s="45"/>
      <c r="V24" s="45"/>
      <c r="W24" s="51">
        <f t="shared" si="8"/>
        <v>1200</v>
      </c>
      <c r="X24" s="81">
        <f t="shared" si="4"/>
        <v>35238.400000000001</v>
      </c>
      <c r="Y24" s="92" t="e">
        <f>+X24+#REF!</f>
        <v>#REF!</v>
      </c>
      <c r="Z24" s="52"/>
    </row>
    <row r="25" spans="1:26" s="43" customFormat="1" ht="17.399999999999999" x14ac:dyDescent="0.3">
      <c r="A25" s="44">
        <v>19</v>
      </c>
      <c r="B25" s="45">
        <v>31</v>
      </c>
      <c r="C25" s="45">
        <f t="shared" si="9"/>
        <v>18</v>
      </c>
      <c r="D25" s="91"/>
      <c r="E25" s="53" t="s">
        <v>77</v>
      </c>
      <c r="F25" s="47"/>
      <c r="G25" s="47"/>
      <c r="H25" s="47"/>
      <c r="I25" s="48">
        <f t="shared" si="5"/>
        <v>0</v>
      </c>
      <c r="J25" s="49"/>
      <c r="K25" s="50">
        <f t="shared" si="10"/>
        <v>0</v>
      </c>
      <c r="L25" s="48"/>
      <c r="M25" s="65">
        <v>34.799999999999997</v>
      </c>
      <c r="N25" s="65">
        <v>5.5</v>
      </c>
      <c r="O25" s="45"/>
      <c r="P25" s="71">
        <f t="shared" si="6"/>
        <v>40.299999999999997</v>
      </c>
      <c r="Q25" s="45">
        <v>96700</v>
      </c>
      <c r="R25" s="77">
        <f t="shared" si="7"/>
        <v>38970.1</v>
      </c>
      <c r="S25" s="45">
        <v>1200</v>
      </c>
      <c r="T25" s="45"/>
      <c r="U25" s="45"/>
      <c r="V25" s="45"/>
      <c r="W25" s="51">
        <f t="shared" si="8"/>
        <v>1200</v>
      </c>
      <c r="X25" s="81">
        <f t="shared" si="4"/>
        <v>40170.1</v>
      </c>
      <c r="Y25" s="92" t="e">
        <f>+X25+#REF!</f>
        <v>#REF!</v>
      </c>
      <c r="Z25" s="52"/>
    </row>
    <row r="26" spans="1:26" s="43" customFormat="1" ht="18" thickBot="1" x14ac:dyDescent="0.35">
      <c r="A26" s="54"/>
      <c r="B26" s="55"/>
      <c r="C26" s="55"/>
      <c r="D26" s="55"/>
      <c r="E26" s="56" t="s">
        <v>70</v>
      </c>
      <c r="F26" s="55">
        <f>SUM(F6:F25)</f>
        <v>0</v>
      </c>
      <c r="G26" s="55">
        <f>SUM(G6:G25)</f>
        <v>0</v>
      </c>
      <c r="H26" s="55">
        <f>SUM(H6:H25)</f>
        <v>0</v>
      </c>
      <c r="I26" s="57"/>
      <c r="J26" s="55"/>
      <c r="K26" s="57">
        <f ca="1">SUM(K6:K25)</f>
        <v>1054320</v>
      </c>
      <c r="L26" s="57" t="e">
        <f>+#REF!</f>
        <v>#REF!</v>
      </c>
      <c r="M26" s="66">
        <f>SUM(M6:M25)</f>
        <v>975.1</v>
      </c>
      <c r="N26" s="66">
        <f>SUM(N6:N25)</f>
        <v>104</v>
      </c>
      <c r="O26" s="55">
        <f>SUM(O6:O25)</f>
        <v>274</v>
      </c>
      <c r="P26" s="71">
        <f t="shared" ref="P26" si="11">N26+M26-O26</f>
        <v>805.09999999999991</v>
      </c>
      <c r="Q26" s="55">
        <f>+R26/P26</f>
        <v>772.08247422680415</v>
      </c>
      <c r="R26" s="78">
        <f t="shared" ref="R26:Y26" si="12">SUM(R6:R25)</f>
        <v>621603.6</v>
      </c>
      <c r="S26" s="55">
        <f t="shared" si="12"/>
        <v>20200</v>
      </c>
      <c r="T26" s="55">
        <f t="shared" si="12"/>
        <v>700</v>
      </c>
      <c r="U26" s="55">
        <f t="shared" si="12"/>
        <v>1100</v>
      </c>
      <c r="V26" s="55">
        <f t="shared" si="12"/>
        <v>0</v>
      </c>
      <c r="W26" s="57" t="e">
        <f t="shared" si="12"/>
        <v>#VALUE!</v>
      </c>
      <c r="X26" s="54">
        <f>SUM(X8:X25)</f>
        <v>643603.6</v>
      </c>
      <c r="Y26" s="93" t="e">
        <f t="shared" si="12"/>
        <v>#VALUE!</v>
      </c>
      <c r="Z26" s="57"/>
    </row>
    <row r="27" spans="1:26" s="43" customFormat="1" ht="18" thickTop="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2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2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2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2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2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2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2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2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2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2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2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2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2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2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2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2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2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2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2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2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2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2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2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2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2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2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2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2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2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2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2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2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2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2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2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2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2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2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2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2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2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2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2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2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2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2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2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2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2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2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2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2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2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2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2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2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2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2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2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2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2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2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2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2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2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2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2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2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2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2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2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2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2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2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2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2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2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2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2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2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2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2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2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2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2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2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2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2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2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2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2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2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2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2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2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2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2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2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2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2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2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2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2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2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2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2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2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2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2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2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2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2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2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2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2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2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2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2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2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2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2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2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2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2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2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2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2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2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2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2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2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2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2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2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2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2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2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2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2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2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2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2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2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2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2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2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2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2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2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2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2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2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2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2"/>
      <c r="R180" s="79"/>
      <c r="S180" s="2"/>
      <c r="T180" s="2"/>
      <c r="U180" s="2"/>
      <c r="V180" s="2"/>
      <c r="W180" s="3"/>
      <c r="X180" s="82"/>
      <c r="Y180" s="82"/>
      <c r="Z180" s="5"/>
    </row>
    <row r="181" spans="1:35" s="43" customFormat="1" ht="17.399999999999999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60"/>
      <c r="N181" s="60"/>
      <c r="O181" s="2"/>
      <c r="P181" s="72"/>
      <c r="Q181" s="2"/>
      <c r="R181" s="79"/>
      <c r="S181" s="2"/>
      <c r="T181" s="2"/>
      <c r="U181" s="2"/>
      <c r="V181" s="2"/>
      <c r="W181" s="3"/>
      <c r="X181" s="82"/>
      <c r="Y181" s="82"/>
      <c r="Z181" s="5"/>
    </row>
    <row r="182" spans="1:35" s="43" customFormat="1" ht="17.399999999999999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60"/>
      <c r="N182" s="60"/>
      <c r="O182" s="2"/>
      <c r="P182" s="72"/>
      <c r="Q182" s="2"/>
      <c r="R182" s="79"/>
      <c r="S182" s="2"/>
      <c r="T182" s="2"/>
      <c r="U182" s="2"/>
      <c r="V182" s="2"/>
      <c r="W182" s="3"/>
      <c r="X182" s="82"/>
      <c r="Y182" s="82"/>
      <c r="Z182" s="5"/>
    </row>
    <row r="183" spans="1:35" s="43" customFormat="1" ht="17.399999999999999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60"/>
      <c r="N183" s="60"/>
      <c r="O183" s="2"/>
      <c r="P183" s="72"/>
      <c r="Q183" s="2"/>
      <c r="R183" s="79"/>
      <c r="S183" s="2"/>
      <c r="T183" s="2"/>
      <c r="U183" s="2"/>
      <c r="V183" s="2"/>
      <c r="W183" s="3"/>
      <c r="X183" s="82"/>
      <c r="Y183" s="82"/>
      <c r="Z183" s="5"/>
      <c r="AB183" s="58"/>
      <c r="AC183" s="58"/>
      <c r="AD183" s="58"/>
      <c r="AE183" s="58"/>
      <c r="AF183" s="59"/>
      <c r="AG183" s="59"/>
      <c r="AH183" s="59"/>
      <c r="AI183" s="59"/>
    </row>
  </sheetData>
  <mergeCells count="1">
    <mergeCell ref="F3:I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5022-F174-4153-AD39-334139A82A0D}">
  <dimension ref="A1:AN182"/>
  <sheetViews>
    <sheetView tabSelected="1" topLeftCell="A10" workbookViewId="0">
      <selection activeCell="K27" sqref="K27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6640625" style="2" bestFit="1" customWidth="1"/>
    <col min="4" max="4" width="18.88671875" style="1" bestFit="1" customWidth="1"/>
    <col min="5" max="5" width="13.5546875" style="2" bestFit="1" customWidth="1"/>
    <col min="6" max="6" width="10.6640625" style="2" customWidth="1"/>
    <col min="7" max="7" width="11.33203125" style="2" bestFit="1" customWidth="1"/>
    <col min="8" max="8" width="10.6640625" style="2" customWidth="1"/>
    <col min="9" max="9" width="18.109375" style="2" bestFit="1" customWidth="1"/>
    <col min="10" max="10" width="12.88671875" style="2" bestFit="1" customWidth="1"/>
    <col min="11" max="11" width="15.33203125" style="3" bestFit="1" customWidth="1"/>
    <col min="12" max="12" width="13.6640625" style="3" bestFit="1" customWidth="1"/>
    <col min="13" max="13" width="14.109375" style="60" bestFit="1" customWidth="1"/>
    <col min="14" max="14" width="15" style="60" bestFit="1" customWidth="1"/>
    <col min="15" max="15" width="11.5546875" style="2" customWidth="1"/>
    <col min="16" max="16" width="18" style="72" bestFit="1" customWidth="1"/>
    <col min="17" max="17" width="12.88671875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 s="1" t="e">
        <f>#REF!</f>
        <v>#REF!</v>
      </c>
      <c r="E1" s="2" t="str">
        <f t="shared" ref="E1:Y1" si="0">E25</f>
        <v>hDdf</v>
      </c>
      <c r="F1" s="2">
        <f t="shared" ref="F1:H1" si="1">+F25</f>
        <v>0</v>
      </c>
      <c r="G1" s="2">
        <f t="shared" si="1"/>
        <v>70.02</v>
      </c>
      <c r="H1" s="2">
        <f t="shared" si="1"/>
        <v>0</v>
      </c>
      <c r="I1" s="2">
        <f>+I25</f>
        <v>0</v>
      </c>
      <c r="J1" s="2">
        <f>+J25</f>
        <v>0</v>
      </c>
      <c r="K1" s="2">
        <f ca="1">+K25</f>
        <v>0</v>
      </c>
      <c r="L1" s="3" t="e">
        <f>L11:L19</f>
        <v>#VALUE!</v>
      </c>
      <c r="M1" s="60">
        <f t="shared" si="0"/>
        <v>1226.6000000000001</v>
      </c>
      <c r="N1" s="60">
        <f t="shared" si="0"/>
        <v>129.5</v>
      </c>
      <c r="O1" s="2">
        <f t="shared" si="0"/>
        <v>578</v>
      </c>
      <c r="P1" s="60">
        <f t="shared" si="0"/>
        <v>778.10000000000014</v>
      </c>
      <c r="Q1" s="1">
        <f t="shared" si="0"/>
        <v>1097.3350469091376</v>
      </c>
      <c r="R1" s="1">
        <f t="shared" si="0"/>
        <v>853836.40000000014</v>
      </c>
      <c r="S1" s="2">
        <f t="shared" si="0"/>
        <v>25250</v>
      </c>
      <c r="T1" s="2">
        <f t="shared" si="0"/>
        <v>400</v>
      </c>
      <c r="U1" s="2">
        <f t="shared" si="0"/>
        <v>14800</v>
      </c>
      <c r="V1" s="2">
        <f t="shared" si="0"/>
        <v>0</v>
      </c>
      <c r="W1" s="2" t="e">
        <f t="shared" si="0"/>
        <v>#VALUE!</v>
      </c>
      <c r="X1" s="1">
        <f t="shared" si="0"/>
        <v>1008553.6000000002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95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96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97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98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39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4"/>
      <c r="E7" s="46"/>
      <c r="F7" s="47"/>
      <c r="G7" s="47"/>
      <c r="H7" s="47"/>
      <c r="I7" s="48">
        <f ca="1">I7:L22=+H7+G7+F7</f>
        <v>0</v>
      </c>
      <c r="J7" s="49"/>
      <c r="K7" s="50">
        <f t="shared" ref="K7:K8" ca="1" si="2">+I7*J7</f>
        <v>0</v>
      </c>
      <c r="L7" s="48"/>
      <c r="M7" s="65"/>
      <c r="N7" s="65"/>
      <c r="O7" s="45"/>
      <c r="P7" s="71">
        <f t="shared" ref="P7" si="3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W8:W14</f>
        <v>#VALUE!</v>
      </c>
      <c r="X7" s="81" t="e">
        <f t="shared" ref="X7:X22" si="4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1</v>
      </c>
      <c r="C8" s="45">
        <v>140</v>
      </c>
      <c r="D8" s="99"/>
      <c r="E8" s="53" t="s">
        <v>93</v>
      </c>
      <c r="F8" s="47"/>
      <c r="G8" s="47"/>
      <c r="H8" s="47"/>
      <c r="I8" s="48">
        <f t="shared" ref="I8:I22" si="5">+H8+G8+F8</f>
        <v>0</v>
      </c>
      <c r="J8" s="49"/>
      <c r="K8" s="50">
        <f t="shared" si="2"/>
        <v>0</v>
      </c>
      <c r="L8" s="48"/>
      <c r="M8" s="65">
        <v>29.7</v>
      </c>
      <c r="N8" s="65">
        <v>5</v>
      </c>
      <c r="P8" s="71">
        <f>N8+M8-O8</f>
        <v>34.700000000000003</v>
      </c>
      <c r="Q8" s="44">
        <v>110000</v>
      </c>
      <c r="R8" s="77">
        <f>SUM(P8*(Q8/100))</f>
        <v>38170</v>
      </c>
      <c r="S8" s="45">
        <v>1000</v>
      </c>
      <c r="T8" s="45"/>
      <c r="U8" s="45"/>
      <c r="V8" s="45"/>
      <c r="W8" s="51">
        <f>+S8+T8+U8+V8</f>
        <v>1000</v>
      </c>
      <c r="X8" s="81">
        <f>+R8+W8</f>
        <v>39170</v>
      </c>
      <c r="Y8" s="81" t="e">
        <f>+X8+#REF!</f>
        <v>#REF!</v>
      </c>
      <c r="Z8" s="52"/>
    </row>
    <row r="9" spans="1:36" s="43" customFormat="1" ht="17.399999999999999" x14ac:dyDescent="0.3">
      <c r="A9" s="44">
        <v>3</v>
      </c>
      <c r="B9" s="73">
        <v>2</v>
      </c>
      <c r="C9" s="45">
        <f>C8+1</f>
        <v>141</v>
      </c>
      <c r="D9" s="99"/>
      <c r="E9" s="53" t="s">
        <v>73</v>
      </c>
      <c r="F9" s="47"/>
      <c r="G9" s="47"/>
      <c r="H9" s="47"/>
      <c r="I9" s="48"/>
      <c r="J9" s="49"/>
      <c r="K9" s="50">
        <f>+I9*J9</f>
        <v>0</v>
      </c>
      <c r="L9" s="48"/>
      <c r="M9" s="65">
        <v>99.8</v>
      </c>
      <c r="N9" s="65">
        <v>4</v>
      </c>
      <c r="O9" s="45">
        <v>99.7</v>
      </c>
      <c r="P9" s="71">
        <f t="shared" ref="P9:P25" si="6">N9+M9-O9</f>
        <v>4.0999999999999943</v>
      </c>
      <c r="Q9" s="44">
        <v>110000</v>
      </c>
      <c r="R9" s="77">
        <f t="shared" ref="R9:R22" si="7">SUM(P9*(Q9/100))</f>
        <v>4509.9999999999936</v>
      </c>
      <c r="S9" s="45">
        <v>500</v>
      </c>
      <c r="T9" s="45"/>
      <c r="U9" s="45"/>
      <c r="V9" s="45"/>
      <c r="W9" s="51">
        <f t="shared" ref="W9:W22" si="8">+S9+T9+U9+V9</f>
        <v>500</v>
      </c>
      <c r="X9" s="81">
        <f t="shared" si="4"/>
        <v>5009.9999999999936</v>
      </c>
      <c r="Y9" s="81" t="e">
        <f>+X9+#REF!</f>
        <v>#REF!</v>
      </c>
      <c r="Z9" s="52"/>
    </row>
    <row r="10" spans="1:36" s="43" customFormat="1" ht="17.399999999999999" x14ac:dyDescent="0.3">
      <c r="A10" s="44">
        <v>4</v>
      </c>
      <c r="B10" s="45">
        <v>7</v>
      </c>
      <c r="C10" s="45">
        <f t="shared" ref="C10:C24" si="9">C9+1</f>
        <v>142</v>
      </c>
      <c r="D10" s="99"/>
      <c r="E10" s="53" t="s">
        <v>92</v>
      </c>
      <c r="F10" s="47"/>
      <c r="G10" s="47"/>
      <c r="H10" s="47"/>
      <c r="I10" s="48">
        <f t="shared" si="5"/>
        <v>0</v>
      </c>
      <c r="J10" s="49"/>
      <c r="K10" s="50">
        <f t="shared" ref="K10:K22" si="10">+I10*J10</f>
        <v>0</v>
      </c>
      <c r="L10" s="48"/>
      <c r="M10" s="65">
        <f>92.5-43.5-1.5</f>
        <v>47.5</v>
      </c>
      <c r="N10" s="65">
        <v>6</v>
      </c>
      <c r="O10" s="45"/>
      <c r="P10" s="71">
        <f t="shared" si="6"/>
        <v>53.5</v>
      </c>
      <c r="Q10" s="44">
        <v>110300</v>
      </c>
      <c r="R10" s="77">
        <f t="shared" si="7"/>
        <v>59010.5</v>
      </c>
      <c r="S10" s="45">
        <v>1000</v>
      </c>
      <c r="T10" s="45">
        <v>400</v>
      </c>
      <c r="U10" s="45">
        <v>7800</v>
      </c>
      <c r="V10" s="45"/>
      <c r="W10" s="51">
        <f t="shared" si="8"/>
        <v>9200</v>
      </c>
      <c r="X10" s="81">
        <f t="shared" si="4"/>
        <v>68210.5</v>
      </c>
      <c r="Y10" s="81" t="e">
        <f>+X10+#REF!</f>
        <v>#REF!</v>
      </c>
      <c r="Z10" s="52">
        <v>1</v>
      </c>
    </row>
    <row r="11" spans="1:36" s="43" customFormat="1" ht="17.399999999999999" x14ac:dyDescent="0.3">
      <c r="A11" s="44">
        <v>5</v>
      </c>
      <c r="B11" s="45">
        <v>8</v>
      </c>
      <c r="C11" s="45">
        <f t="shared" si="9"/>
        <v>143</v>
      </c>
      <c r="D11" s="99"/>
      <c r="E11" s="53" t="s">
        <v>115</v>
      </c>
      <c r="F11" s="47"/>
      <c r="G11" s="47"/>
      <c r="H11" s="47"/>
      <c r="I11" s="48">
        <f t="shared" si="5"/>
        <v>0</v>
      </c>
      <c r="J11" s="49"/>
      <c r="K11" s="50">
        <f t="shared" si="10"/>
        <v>0</v>
      </c>
      <c r="L11" s="48"/>
      <c r="M11" s="65">
        <v>115.4</v>
      </c>
      <c r="N11" s="65">
        <v>11.5</v>
      </c>
      <c r="O11" s="45">
        <v>117.5</v>
      </c>
      <c r="P11" s="71">
        <f t="shared" si="6"/>
        <v>9.4000000000000057</v>
      </c>
      <c r="Q11" s="44">
        <v>110000</v>
      </c>
      <c r="R11" s="77">
        <f t="shared" si="7"/>
        <v>10340.000000000005</v>
      </c>
      <c r="S11" s="45">
        <f>1200+1000+800</f>
        <v>3000</v>
      </c>
      <c r="T11" s="45"/>
      <c r="U11" s="45"/>
      <c r="V11" s="45"/>
      <c r="W11" s="51">
        <f t="shared" si="8"/>
        <v>3000</v>
      </c>
      <c r="X11" s="81">
        <f t="shared" si="4"/>
        <v>13340.000000000005</v>
      </c>
      <c r="Y11" s="81" t="e">
        <f>+X11+#REF!</f>
        <v>#REF!</v>
      </c>
      <c r="Z11" s="52"/>
    </row>
    <row r="12" spans="1:36" s="43" customFormat="1" ht="17.399999999999999" x14ac:dyDescent="0.3">
      <c r="A12" s="44">
        <v>6</v>
      </c>
      <c r="B12" s="45">
        <v>8</v>
      </c>
      <c r="C12" s="45">
        <f t="shared" si="9"/>
        <v>144</v>
      </c>
      <c r="D12" s="99" t="s">
        <v>125</v>
      </c>
      <c r="E12" s="53"/>
      <c r="F12" s="47"/>
      <c r="G12" s="47"/>
      <c r="H12" s="47"/>
      <c r="I12" s="48">
        <f t="shared" si="5"/>
        <v>0</v>
      </c>
      <c r="J12" s="49"/>
      <c r="K12" s="50">
        <f t="shared" si="10"/>
        <v>0</v>
      </c>
      <c r="L12" s="48"/>
      <c r="M12" s="65"/>
      <c r="N12" s="65"/>
      <c r="O12" s="45"/>
      <c r="P12" s="71"/>
      <c r="Q12" s="44"/>
      <c r="R12" s="77"/>
      <c r="S12" s="45"/>
      <c r="T12" s="45"/>
      <c r="U12" s="45"/>
      <c r="V12" s="45"/>
      <c r="W12" s="51"/>
      <c r="X12" s="81"/>
      <c r="Y12" s="81"/>
      <c r="Z12" s="52"/>
    </row>
    <row r="13" spans="1:36" s="43" customFormat="1" ht="17.399999999999999" x14ac:dyDescent="0.3">
      <c r="A13" s="44">
        <v>7</v>
      </c>
      <c r="B13" s="45">
        <v>8</v>
      </c>
      <c r="C13" s="45">
        <f t="shared" si="9"/>
        <v>145</v>
      </c>
      <c r="D13" s="99"/>
      <c r="E13" s="53" t="s">
        <v>116</v>
      </c>
      <c r="F13" s="47"/>
      <c r="G13" s="47"/>
      <c r="H13" s="47"/>
      <c r="I13" s="48">
        <f t="shared" si="5"/>
        <v>0</v>
      </c>
      <c r="J13" s="49"/>
      <c r="K13" s="50">
        <f t="shared" si="10"/>
        <v>0</v>
      </c>
      <c r="L13" s="48"/>
      <c r="M13" s="65">
        <v>24.6</v>
      </c>
      <c r="N13" s="65">
        <v>5</v>
      </c>
      <c r="O13" s="45"/>
      <c r="P13" s="71">
        <f t="shared" si="6"/>
        <v>29.6</v>
      </c>
      <c r="Q13" s="44">
        <v>110000</v>
      </c>
      <c r="R13" s="77">
        <f t="shared" si="7"/>
        <v>32560</v>
      </c>
      <c r="S13" s="45">
        <v>1200</v>
      </c>
      <c r="T13" s="45"/>
      <c r="U13" s="45"/>
      <c r="V13" s="45"/>
      <c r="W13" s="51">
        <f t="shared" si="8"/>
        <v>1200</v>
      </c>
      <c r="X13" s="81">
        <f t="shared" si="4"/>
        <v>33760</v>
      </c>
      <c r="Y13" s="81" t="e">
        <f>+X13+#REF!</f>
        <v>#REF!</v>
      </c>
      <c r="Z13" s="52"/>
    </row>
    <row r="14" spans="1:36" s="43" customFormat="1" ht="17.399999999999999" x14ac:dyDescent="0.3">
      <c r="A14" s="44">
        <v>8</v>
      </c>
      <c r="B14" s="45">
        <v>18</v>
      </c>
      <c r="C14" s="45">
        <f t="shared" si="9"/>
        <v>146</v>
      </c>
      <c r="D14" s="99" t="s">
        <v>121</v>
      </c>
      <c r="E14" s="53" t="s">
        <v>129</v>
      </c>
      <c r="F14" s="47"/>
      <c r="G14" s="47"/>
      <c r="H14" s="47"/>
      <c r="I14" s="48">
        <f t="shared" si="5"/>
        <v>0</v>
      </c>
      <c r="J14" s="49"/>
      <c r="K14" s="50">
        <f t="shared" si="10"/>
        <v>0</v>
      </c>
      <c r="L14" s="48"/>
      <c r="M14" s="65">
        <v>102.1</v>
      </c>
      <c r="N14" s="65">
        <v>11.5</v>
      </c>
      <c r="O14" s="45"/>
      <c r="P14" s="71">
        <f t="shared" si="6"/>
        <v>113.6</v>
      </c>
      <c r="Q14" s="44">
        <v>110000</v>
      </c>
      <c r="R14" s="77">
        <f t="shared" si="7"/>
        <v>124960</v>
      </c>
      <c r="S14" s="45">
        <f>2000+1200+800+800</f>
        <v>4800</v>
      </c>
      <c r="T14" s="45"/>
      <c r="U14" s="45">
        <v>6500</v>
      </c>
      <c r="V14" s="45"/>
      <c r="W14" s="51">
        <f t="shared" si="8"/>
        <v>11300</v>
      </c>
      <c r="X14" s="81">
        <f t="shared" si="4"/>
        <v>136260</v>
      </c>
      <c r="Y14" s="81" t="e">
        <f>+X14+#REF!</f>
        <v>#REF!</v>
      </c>
      <c r="Z14" s="52"/>
    </row>
    <row r="15" spans="1:36" s="43" customFormat="1" ht="17.399999999999999" x14ac:dyDescent="0.3">
      <c r="A15" s="44">
        <v>9</v>
      </c>
      <c r="B15" s="45">
        <v>18</v>
      </c>
      <c r="C15" s="45">
        <f t="shared" si="9"/>
        <v>147</v>
      </c>
      <c r="D15" s="99"/>
      <c r="E15" s="53" t="s">
        <v>87</v>
      </c>
      <c r="F15" s="47"/>
      <c r="G15" s="47"/>
      <c r="H15" s="47"/>
      <c r="I15" s="48">
        <f t="shared" si="5"/>
        <v>0</v>
      </c>
      <c r="J15" s="49"/>
      <c r="K15" s="50">
        <f t="shared" si="10"/>
        <v>0</v>
      </c>
      <c r="L15" s="48"/>
      <c r="M15" s="65">
        <v>300.3</v>
      </c>
      <c r="N15" s="65">
        <v>30</v>
      </c>
      <c r="O15" s="45">
        <v>258</v>
      </c>
      <c r="P15" s="71">
        <f t="shared" si="6"/>
        <v>72.300000000000011</v>
      </c>
      <c r="Q15" s="44">
        <v>110300</v>
      </c>
      <c r="R15" s="77">
        <f t="shared" si="7"/>
        <v>79746.900000000009</v>
      </c>
      <c r="S15" s="45">
        <v>4500</v>
      </c>
      <c r="T15" s="45"/>
      <c r="U15" s="45"/>
      <c r="V15" s="45"/>
      <c r="W15" s="51">
        <f t="shared" si="8"/>
        <v>4500</v>
      </c>
      <c r="X15" s="81">
        <f t="shared" si="4"/>
        <v>84246.900000000009</v>
      </c>
      <c r="Y15" s="81" t="e">
        <f>+X15+#REF!</f>
        <v>#REF!</v>
      </c>
      <c r="Z15" s="52">
        <v>1</v>
      </c>
    </row>
    <row r="16" spans="1:36" s="43" customFormat="1" ht="17.399999999999999" x14ac:dyDescent="0.3">
      <c r="A16" s="44">
        <v>10</v>
      </c>
      <c r="B16" s="45">
        <v>18</v>
      </c>
      <c r="C16" s="45">
        <f t="shared" si="9"/>
        <v>148</v>
      </c>
      <c r="D16" s="99"/>
      <c r="E16" s="53" t="s">
        <v>87</v>
      </c>
      <c r="F16" s="47"/>
      <c r="G16" s="47"/>
      <c r="H16" s="47"/>
      <c r="I16" s="48">
        <f t="shared" si="5"/>
        <v>0</v>
      </c>
      <c r="J16" s="49"/>
      <c r="K16" s="50">
        <f t="shared" si="10"/>
        <v>0</v>
      </c>
      <c r="L16" s="48"/>
      <c r="M16" s="65">
        <v>200.5</v>
      </c>
      <c r="N16" s="65">
        <v>20</v>
      </c>
      <c r="O16" s="45"/>
      <c r="P16" s="71">
        <f t="shared" si="6"/>
        <v>220.5</v>
      </c>
      <c r="Q16" s="44">
        <v>109100</v>
      </c>
      <c r="R16" s="77">
        <f t="shared" si="7"/>
        <v>240565.5</v>
      </c>
      <c r="S16" s="45">
        <v>3000</v>
      </c>
      <c r="T16" s="45"/>
      <c r="U16" s="45"/>
      <c r="V16" s="45"/>
      <c r="W16" s="51">
        <f t="shared" si="8"/>
        <v>3000</v>
      </c>
      <c r="X16" s="81">
        <f t="shared" si="4"/>
        <v>243565.5</v>
      </c>
      <c r="Y16" s="81" t="e">
        <f>+X16+#REF!</f>
        <v>#REF!</v>
      </c>
      <c r="Z16" s="52">
        <v>1</v>
      </c>
    </row>
    <row r="17" spans="1:26" s="43" customFormat="1" ht="17.399999999999999" x14ac:dyDescent="0.3">
      <c r="A17" s="44"/>
      <c r="B17" s="45">
        <v>21</v>
      </c>
      <c r="C17" s="45">
        <v>594</v>
      </c>
      <c r="D17" s="99">
        <v>303541037</v>
      </c>
      <c r="E17" s="53" t="s">
        <v>140</v>
      </c>
      <c r="F17" s="47"/>
      <c r="G17" s="47">
        <v>70.02</v>
      </c>
      <c r="H17" s="47"/>
      <c r="I17" s="48">
        <f t="shared" si="5"/>
        <v>70.02</v>
      </c>
      <c r="J17" s="49">
        <v>9328</v>
      </c>
      <c r="K17" s="50">
        <f t="shared" si="10"/>
        <v>653146.55999999994</v>
      </c>
      <c r="L17" s="48"/>
      <c r="M17" s="65"/>
      <c r="N17" s="65"/>
      <c r="O17" s="45"/>
      <c r="P17" s="71"/>
      <c r="Q17" s="44"/>
      <c r="R17" s="77"/>
      <c r="S17" s="45"/>
      <c r="T17" s="45"/>
      <c r="U17" s="45"/>
      <c r="V17" s="45"/>
      <c r="W17" s="51"/>
      <c r="X17" s="81"/>
      <c r="Y17" s="81"/>
      <c r="Z17" s="52"/>
    </row>
    <row r="18" spans="1:26" s="43" customFormat="1" ht="17.399999999999999" x14ac:dyDescent="0.3">
      <c r="A18" s="44">
        <v>11</v>
      </c>
      <c r="B18" s="45">
        <v>22</v>
      </c>
      <c r="C18" s="45">
        <f>C16+1</f>
        <v>149</v>
      </c>
      <c r="D18" s="99"/>
      <c r="E18" s="53" t="s">
        <v>116</v>
      </c>
      <c r="F18" s="47"/>
      <c r="G18" s="47"/>
      <c r="H18" s="47"/>
      <c r="I18" s="48">
        <f t="shared" si="5"/>
        <v>0</v>
      </c>
      <c r="J18" s="49"/>
      <c r="K18" s="50">
        <f t="shared" si="10"/>
        <v>0</v>
      </c>
      <c r="L18" s="48"/>
      <c r="M18" s="65">
        <v>29.3</v>
      </c>
      <c r="N18" s="65">
        <v>5</v>
      </c>
      <c r="O18" s="45"/>
      <c r="P18" s="71">
        <f t="shared" si="6"/>
        <v>34.299999999999997</v>
      </c>
      <c r="Q18" s="44">
        <v>111800</v>
      </c>
      <c r="R18" s="77">
        <f t="shared" si="7"/>
        <v>38347.399999999994</v>
      </c>
      <c r="S18" s="45">
        <v>1200</v>
      </c>
      <c r="T18" s="45"/>
      <c r="U18" s="45"/>
      <c r="V18" s="45"/>
      <c r="W18" s="51">
        <f t="shared" si="8"/>
        <v>1200</v>
      </c>
      <c r="X18" s="81">
        <f t="shared" si="4"/>
        <v>39547.399999999994</v>
      </c>
      <c r="Y18" s="81" t="e">
        <f>+X18+#REF!</f>
        <v>#REF!</v>
      </c>
      <c r="Z18" s="52"/>
    </row>
    <row r="19" spans="1:26" s="43" customFormat="1" ht="17.399999999999999" x14ac:dyDescent="0.3">
      <c r="A19" s="44">
        <v>12</v>
      </c>
      <c r="B19" s="45">
        <v>25</v>
      </c>
      <c r="C19" s="45">
        <f>C18+1</f>
        <v>150</v>
      </c>
      <c r="D19" s="99"/>
      <c r="E19" s="53" t="s">
        <v>73</v>
      </c>
      <c r="F19" s="47"/>
      <c r="G19" s="47"/>
      <c r="H19" s="47"/>
      <c r="I19" s="48">
        <f t="shared" si="5"/>
        <v>0</v>
      </c>
      <c r="J19" s="49"/>
      <c r="K19" s="50">
        <f t="shared" si="10"/>
        <v>0</v>
      </c>
      <c r="L19" s="48"/>
      <c r="M19" s="65">
        <v>47.8</v>
      </c>
      <c r="N19" s="65">
        <v>6</v>
      </c>
      <c r="O19" s="45">
        <v>53.8</v>
      </c>
      <c r="P19" s="71">
        <f t="shared" si="6"/>
        <v>0</v>
      </c>
      <c r="Q19" s="44">
        <v>111000</v>
      </c>
      <c r="R19" s="77">
        <f t="shared" si="7"/>
        <v>0</v>
      </c>
      <c r="S19" s="45">
        <v>1200</v>
      </c>
      <c r="T19" s="45"/>
      <c r="U19" s="45">
        <v>500</v>
      </c>
      <c r="V19" s="45"/>
      <c r="W19" s="51">
        <f t="shared" si="8"/>
        <v>1700</v>
      </c>
      <c r="X19" s="81">
        <f t="shared" si="4"/>
        <v>1700</v>
      </c>
      <c r="Y19" s="81" t="e">
        <f>+X19+#REF!</f>
        <v>#REF!</v>
      </c>
      <c r="Z19" s="52"/>
    </row>
    <row r="20" spans="1:26" s="43" customFormat="1" ht="17.399999999999999" x14ac:dyDescent="0.3">
      <c r="A20" s="44">
        <v>13</v>
      </c>
      <c r="B20" s="45">
        <v>25</v>
      </c>
      <c r="C20" s="45">
        <f t="shared" si="9"/>
        <v>151</v>
      </c>
      <c r="D20" s="99"/>
      <c r="E20" s="53" t="s">
        <v>102</v>
      </c>
      <c r="F20" s="47"/>
      <c r="G20" s="47"/>
      <c r="H20" s="47"/>
      <c r="I20" s="48">
        <f t="shared" si="5"/>
        <v>0</v>
      </c>
      <c r="J20" s="49"/>
      <c r="K20" s="50">
        <f t="shared" si="10"/>
        <v>0</v>
      </c>
      <c r="L20" s="48"/>
      <c r="M20" s="65">
        <f>125-3.7</f>
        <v>121.3</v>
      </c>
      <c r="N20" s="65">
        <v>12</v>
      </c>
      <c r="O20" s="45"/>
      <c r="P20" s="71">
        <f t="shared" si="6"/>
        <v>133.30000000000001</v>
      </c>
      <c r="Q20" s="44">
        <v>109100</v>
      </c>
      <c r="R20" s="77">
        <f t="shared" si="7"/>
        <v>145430.30000000002</v>
      </c>
      <c r="S20" s="45">
        <v>1500</v>
      </c>
      <c r="T20" s="45"/>
      <c r="U20" s="45"/>
      <c r="V20" s="45"/>
      <c r="W20" s="51">
        <f t="shared" si="8"/>
        <v>1500</v>
      </c>
      <c r="X20" s="81">
        <f t="shared" si="4"/>
        <v>146930.30000000002</v>
      </c>
      <c r="Y20" s="81" t="e">
        <f>+X20+#REF!</f>
        <v>#REF!</v>
      </c>
      <c r="Z20" s="52"/>
    </row>
    <row r="21" spans="1:26" s="43" customFormat="1" ht="17.399999999999999" x14ac:dyDescent="0.3">
      <c r="A21" s="44">
        <v>14</v>
      </c>
      <c r="B21" s="45">
        <v>26</v>
      </c>
      <c r="C21" s="45">
        <f t="shared" si="9"/>
        <v>152</v>
      </c>
      <c r="D21" s="99"/>
      <c r="E21" s="53" t="s">
        <v>117</v>
      </c>
      <c r="F21" s="47"/>
      <c r="G21" s="47"/>
      <c r="H21" s="47"/>
      <c r="I21" s="48">
        <f t="shared" si="5"/>
        <v>0</v>
      </c>
      <c r="J21" s="49"/>
      <c r="K21" s="50">
        <f t="shared" si="10"/>
        <v>0</v>
      </c>
      <c r="L21" s="48"/>
      <c r="M21" s="65">
        <v>72.400000000000006</v>
      </c>
      <c r="N21" s="65">
        <v>8.5</v>
      </c>
      <c r="O21" s="45">
        <v>23</v>
      </c>
      <c r="P21" s="71">
        <f t="shared" si="6"/>
        <v>57.900000000000006</v>
      </c>
      <c r="Q21" s="44">
        <v>110200</v>
      </c>
      <c r="R21" s="77">
        <f t="shared" si="7"/>
        <v>63805.8</v>
      </c>
      <c r="S21" s="45">
        <f>1200+150</f>
        <v>1350</v>
      </c>
      <c r="T21" s="45"/>
      <c r="U21" s="45"/>
      <c r="V21" s="45"/>
      <c r="W21" s="51">
        <f t="shared" si="8"/>
        <v>1350</v>
      </c>
      <c r="X21" s="81">
        <f t="shared" si="4"/>
        <v>65155.8</v>
      </c>
      <c r="Y21" s="81" t="e">
        <f>+X21+#REF!</f>
        <v>#REF!</v>
      </c>
      <c r="Z21" s="52">
        <v>1</v>
      </c>
    </row>
    <row r="22" spans="1:26" s="43" customFormat="1" ht="17.399999999999999" x14ac:dyDescent="0.3">
      <c r="A22" s="44">
        <v>15</v>
      </c>
      <c r="B22" s="45">
        <v>27</v>
      </c>
      <c r="C22" s="45">
        <f t="shared" si="9"/>
        <v>153</v>
      </c>
      <c r="D22" s="99"/>
      <c r="E22" s="53" t="s">
        <v>73</v>
      </c>
      <c r="F22" s="47"/>
      <c r="G22" s="47"/>
      <c r="H22" s="47"/>
      <c r="I22" s="48">
        <f t="shared" si="5"/>
        <v>0</v>
      </c>
      <c r="J22" s="49"/>
      <c r="K22" s="50">
        <f t="shared" si="10"/>
        <v>0</v>
      </c>
      <c r="L22" s="48"/>
      <c r="M22" s="65">
        <v>35.9</v>
      </c>
      <c r="N22" s="65">
        <v>5</v>
      </c>
      <c r="O22" s="45">
        <v>26</v>
      </c>
      <c r="P22" s="71">
        <f t="shared" si="6"/>
        <v>14.899999999999999</v>
      </c>
      <c r="Q22" s="44">
        <v>110000</v>
      </c>
      <c r="R22" s="77">
        <f t="shared" si="7"/>
        <v>16390</v>
      </c>
      <c r="S22" s="45">
        <v>1000</v>
      </c>
      <c r="T22" s="45"/>
      <c r="U22" s="45"/>
      <c r="V22" s="45"/>
      <c r="W22" s="51">
        <f t="shared" si="8"/>
        <v>1000</v>
      </c>
      <c r="X22" s="81">
        <f t="shared" si="4"/>
        <v>17390</v>
      </c>
      <c r="Y22" s="81" t="e">
        <f>+X22+#REF!</f>
        <v>#REF!</v>
      </c>
      <c r="Z22" s="52"/>
    </row>
    <row r="23" spans="1:26" s="43" customFormat="1" ht="17.399999999999999" x14ac:dyDescent="0.3">
      <c r="A23" s="44">
        <v>15</v>
      </c>
      <c r="B23" s="45">
        <v>27</v>
      </c>
      <c r="C23" s="45">
        <f t="shared" si="9"/>
        <v>154</v>
      </c>
      <c r="D23" s="99"/>
      <c r="E23" s="53" t="s">
        <v>79</v>
      </c>
      <c r="F23" s="47"/>
      <c r="G23" s="47"/>
      <c r="H23" s="47"/>
      <c r="I23" s="48">
        <f t="shared" ref="I23:I24" si="11">+H23+G23+F23</f>
        <v>0</v>
      </c>
      <c r="J23" s="49"/>
      <c r="K23" s="50">
        <f t="shared" ref="K23:K24" si="12">+I23*J23</f>
        <v>0</v>
      </c>
      <c r="L23" s="48"/>
      <c r="M23" s="65">
        <v>39.700000000000003</v>
      </c>
      <c r="N23" s="65">
        <v>5</v>
      </c>
      <c r="O23" s="45"/>
      <c r="P23" s="71">
        <f t="shared" ref="P23:P24" si="13">N23+M23-O23</f>
        <v>44.7</v>
      </c>
      <c r="Q23" s="44">
        <v>111200</v>
      </c>
      <c r="R23" s="77">
        <f t="shared" ref="R23:R24" si="14">SUM(P23*(Q23/100))</f>
        <v>49706.400000000001</v>
      </c>
      <c r="S23" s="45">
        <v>1200</v>
      </c>
      <c r="T23" s="45"/>
      <c r="U23" s="45"/>
      <c r="V23" s="45"/>
      <c r="W23" s="51">
        <f t="shared" ref="W23:W24" si="15">+S23+T23+U23+V23</f>
        <v>1200</v>
      </c>
      <c r="X23" s="81">
        <f t="shared" ref="X23:X24" si="16">+R23+W23</f>
        <v>50906.400000000001</v>
      </c>
      <c r="Y23" s="81" t="e">
        <f>+X23+#REF!</f>
        <v>#REF!</v>
      </c>
      <c r="Z23" s="52"/>
    </row>
    <row r="24" spans="1:26" s="43" customFormat="1" ht="17.399999999999999" x14ac:dyDescent="0.3">
      <c r="A24" s="44">
        <v>15</v>
      </c>
      <c r="B24" s="45">
        <v>31</v>
      </c>
      <c r="C24" s="45">
        <f t="shared" si="9"/>
        <v>155</v>
      </c>
      <c r="D24" s="99"/>
      <c r="E24" s="53" t="s">
        <v>75</v>
      </c>
      <c r="F24" s="47"/>
      <c r="G24" s="47"/>
      <c r="H24" s="47"/>
      <c r="I24" s="48">
        <f t="shared" si="11"/>
        <v>0</v>
      </c>
      <c r="J24" s="49"/>
      <c r="K24" s="50">
        <f t="shared" si="12"/>
        <v>0</v>
      </c>
      <c r="L24" s="48"/>
      <c r="M24" s="65">
        <v>49.6</v>
      </c>
      <c r="N24" s="65">
        <v>6</v>
      </c>
      <c r="O24" s="45"/>
      <c r="P24" s="71">
        <f t="shared" si="13"/>
        <v>55.6</v>
      </c>
      <c r="Q24" s="44">
        <v>111800</v>
      </c>
      <c r="R24" s="77">
        <f t="shared" si="14"/>
        <v>62160.800000000003</v>
      </c>
      <c r="S24" s="45">
        <v>1000</v>
      </c>
      <c r="T24" s="45"/>
      <c r="U24" s="45">
        <v>200</v>
      </c>
      <c r="V24" s="45"/>
      <c r="W24" s="51">
        <f t="shared" si="15"/>
        <v>1200</v>
      </c>
      <c r="X24" s="81">
        <f t="shared" si="16"/>
        <v>63360.800000000003</v>
      </c>
      <c r="Y24" s="81" t="e">
        <f>+X24+#REF!</f>
        <v>#REF!</v>
      </c>
      <c r="Z24" s="52">
        <v>1</v>
      </c>
    </row>
    <row r="25" spans="1:26" s="43" customFormat="1" ht="18" thickBot="1" x14ac:dyDescent="0.35">
      <c r="A25" s="54"/>
      <c r="B25" s="55"/>
      <c r="C25" s="55"/>
      <c r="D25" s="54"/>
      <c r="E25" s="56" t="s">
        <v>70</v>
      </c>
      <c r="F25" s="55">
        <f>SUM(F6:F22)</f>
        <v>0</v>
      </c>
      <c r="G25" s="55">
        <f>SUM(G6:G22)</f>
        <v>70.02</v>
      </c>
      <c r="H25" s="55">
        <f>SUM(H6:H22)</f>
        <v>0</v>
      </c>
      <c r="I25" s="57"/>
      <c r="J25" s="55"/>
      <c r="K25" s="57">
        <f ca="1">SUM(K6:K22)</f>
        <v>1054320</v>
      </c>
      <c r="L25" s="57" t="e">
        <f>+#REF!</f>
        <v>#REF!</v>
      </c>
      <c r="M25" s="66">
        <f>SUM(M6:M22)</f>
        <v>1226.6000000000001</v>
      </c>
      <c r="N25" s="66">
        <f>SUM(N6:N22)</f>
        <v>129.5</v>
      </c>
      <c r="O25" s="55">
        <f>SUM(O6:O22)</f>
        <v>578</v>
      </c>
      <c r="P25" s="71">
        <f t="shared" si="6"/>
        <v>778.10000000000014</v>
      </c>
      <c r="Q25" s="54">
        <f>+R25/P25</f>
        <v>1097.3350469091376</v>
      </c>
      <c r="R25" s="78">
        <f t="shared" ref="R25:W25" si="17">SUM(R6:R22)</f>
        <v>853836.40000000014</v>
      </c>
      <c r="S25" s="55">
        <f t="shared" si="17"/>
        <v>25250</v>
      </c>
      <c r="T25" s="55">
        <f t="shared" si="17"/>
        <v>400</v>
      </c>
      <c r="U25" s="55">
        <f t="shared" si="17"/>
        <v>14800</v>
      </c>
      <c r="V25" s="55">
        <f t="shared" si="17"/>
        <v>0</v>
      </c>
      <c r="W25" s="57" t="e">
        <f t="shared" si="17"/>
        <v>#VALUE!</v>
      </c>
      <c r="X25" s="54">
        <f>SUM(X8:X24)</f>
        <v>1008553.6000000002</v>
      </c>
      <c r="Y25" s="54" t="e">
        <f>SUM(Y6:Y22)</f>
        <v>#VALUE!</v>
      </c>
      <c r="Z25" s="57"/>
    </row>
    <row r="26" spans="1:26" s="43" customFormat="1" ht="18" thickTop="1" x14ac:dyDescent="0.3">
      <c r="A26" s="1"/>
      <c r="B26" s="2"/>
      <c r="C26" s="2"/>
      <c r="D26" s="1"/>
      <c r="E26" s="2"/>
      <c r="F26" s="2"/>
      <c r="G26" s="2"/>
      <c r="H26" s="2"/>
      <c r="I26" s="2"/>
      <c r="J26" s="2"/>
      <c r="K26" s="3"/>
      <c r="L26" s="3"/>
      <c r="M26" s="60"/>
      <c r="N26" s="60"/>
      <c r="O26" s="2"/>
      <c r="P26" s="72"/>
      <c r="Q26" s="1"/>
      <c r="R26" s="79"/>
      <c r="S26" s="2"/>
      <c r="T26" s="2"/>
      <c r="U26" s="2"/>
      <c r="V26" s="2"/>
      <c r="W26" s="3"/>
      <c r="X26" s="82"/>
      <c r="Y26" s="82"/>
      <c r="Z26" s="5"/>
    </row>
    <row r="27" spans="1:26" s="43" customFormat="1" ht="17.399999999999999" x14ac:dyDescent="0.3">
      <c r="A27" s="1"/>
      <c r="B27" s="2"/>
      <c r="C27" s="2"/>
      <c r="D27" s="1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1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1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1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1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1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1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1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1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1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1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1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1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1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1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1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1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1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1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1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1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1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1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1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1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1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1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1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1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1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1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1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1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1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1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1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1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1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1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1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1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1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1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1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1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1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1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1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1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1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1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1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1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1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1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1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1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1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1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1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1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1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1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1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1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1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1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1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1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1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1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1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1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1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1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1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1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1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1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1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1"/>
      <c r="R180" s="79"/>
      <c r="S180" s="2"/>
      <c r="T180" s="2"/>
      <c r="U180" s="2"/>
      <c r="V180" s="2"/>
      <c r="W180" s="3"/>
      <c r="X180" s="82"/>
      <c r="Y180" s="82"/>
      <c r="Z180" s="5"/>
    </row>
    <row r="181" spans="1:35" s="43" customFormat="1" ht="17.399999999999999" x14ac:dyDescent="0.3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3"/>
      <c r="L181" s="3"/>
      <c r="M181" s="60"/>
      <c r="N181" s="60"/>
      <c r="O181" s="2"/>
      <c r="P181" s="72"/>
      <c r="Q181" s="1"/>
      <c r="R181" s="79"/>
      <c r="S181" s="2"/>
      <c r="T181" s="2"/>
      <c r="U181" s="2"/>
      <c r="V181" s="2"/>
      <c r="W181" s="3"/>
      <c r="X181" s="82"/>
      <c r="Y181" s="82"/>
      <c r="Z181" s="5"/>
    </row>
    <row r="182" spans="1:35" s="43" customFormat="1" ht="17.399999999999999" x14ac:dyDescent="0.3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3"/>
      <c r="L182" s="3"/>
      <c r="M182" s="60"/>
      <c r="N182" s="60"/>
      <c r="O182" s="2"/>
      <c r="P182" s="72"/>
      <c r="Q182" s="1"/>
      <c r="R182" s="79"/>
      <c r="S182" s="2"/>
      <c r="T182" s="2"/>
      <c r="U182" s="2"/>
      <c r="V182" s="2"/>
      <c r="W182" s="3"/>
      <c r="X182" s="82"/>
      <c r="Y182" s="82"/>
      <c r="Z182" s="5"/>
      <c r="AB182" s="58"/>
      <c r="AC182" s="58"/>
      <c r="AD182" s="58"/>
      <c r="AE182" s="58"/>
      <c r="AF182" s="59"/>
      <c r="AG182" s="59"/>
      <c r="AH182" s="59"/>
      <c r="AI182" s="59"/>
    </row>
  </sheetData>
  <mergeCells count="1">
    <mergeCell ref="F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CF15-0860-4F88-AC23-CF12254EB055}">
  <dimension ref="A1:AN180"/>
  <sheetViews>
    <sheetView topLeftCell="Q6" workbookViewId="0">
      <selection activeCell="D21" sqref="D21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6640625" style="2" bestFit="1" customWidth="1"/>
    <col min="4" max="4" width="10" style="2" bestFit="1" customWidth="1"/>
    <col min="5" max="5" width="13.5546875" style="2" bestFit="1" customWidth="1"/>
    <col min="6" max="6" width="10.6640625" style="2" customWidth="1"/>
    <col min="7" max="7" width="11.33203125" style="2" bestFit="1" customWidth="1"/>
    <col min="8" max="8" width="10.6640625" style="2" customWidth="1"/>
    <col min="9" max="9" width="18.109375" style="2" bestFit="1" customWidth="1"/>
    <col min="10" max="10" width="12.88671875" style="2" bestFit="1" customWidth="1"/>
    <col min="11" max="11" width="15.33203125" style="3" bestFit="1" customWidth="1"/>
    <col min="12" max="12" width="13.6640625" style="3" bestFit="1" customWidth="1"/>
    <col min="13" max="13" width="14.109375" style="60" bestFit="1" customWidth="1"/>
    <col min="14" max="14" width="15" style="60" bestFit="1" customWidth="1"/>
    <col min="15" max="15" width="11.5546875" style="2" customWidth="1"/>
    <col min="16" max="16" width="18" style="72" bestFit="1" customWidth="1"/>
    <col min="17" max="17" width="12.88671875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 s="1" t="e">
        <f>#REF!</f>
        <v>#REF!</v>
      </c>
      <c r="E1" s="2" t="str">
        <f t="shared" ref="E1:Y1" si="0">E23</f>
        <v>hDdf</v>
      </c>
      <c r="F1" s="2">
        <f t="shared" ref="F1:H1" si="1">+F23</f>
        <v>0</v>
      </c>
      <c r="G1" s="2">
        <f t="shared" si="1"/>
        <v>0</v>
      </c>
      <c r="H1" s="2">
        <f t="shared" si="1"/>
        <v>0</v>
      </c>
      <c r="I1" s="2">
        <f>+I23</f>
        <v>0</v>
      </c>
      <c r="J1" s="2">
        <f>+J23</f>
        <v>0</v>
      </c>
      <c r="K1" s="2">
        <f ca="1">+K23</f>
        <v>1054320</v>
      </c>
      <c r="L1" s="3" t="e">
        <f>L11:L18</f>
        <v>#VALUE!</v>
      </c>
      <c r="M1" s="60">
        <f t="shared" si="0"/>
        <v>1060.9000000000001</v>
      </c>
      <c r="N1" s="60">
        <f t="shared" si="0"/>
        <v>121</v>
      </c>
      <c r="O1" s="2">
        <f t="shared" si="0"/>
        <v>319.5</v>
      </c>
      <c r="P1" s="60">
        <f t="shared" si="0"/>
        <v>862.40000000000009</v>
      </c>
      <c r="Q1" s="1">
        <f t="shared" si="0"/>
        <v>1109.3206168831166</v>
      </c>
      <c r="R1" s="1">
        <f t="shared" si="0"/>
        <v>956678.09999999986</v>
      </c>
      <c r="S1" s="2">
        <f t="shared" si="0"/>
        <v>25500</v>
      </c>
      <c r="T1" s="2">
        <f t="shared" si="0"/>
        <v>0</v>
      </c>
      <c r="U1" s="2">
        <f t="shared" si="0"/>
        <v>1700</v>
      </c>
      <c r="V1" s="2">
        <f t="shared" si="0"/>
        <v>0</v>
      </c>
      <c r="W1" s="2" t="e">
        <f t="shared" si="0"/>
        <v>#VALUE!</v>
      </c>
      <c r="X1" s="1">
        <f t="shared" si="0"/>
        <v>983878.09999999986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7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10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15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29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40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5"/>
      <c r="E7" s="46"/>
      <c r="F7" s="47"/>
      <c r="G7" s="47"/>
      <c r="H7" s="47"/>
      <c r="I7" s="48">
        <f ca="1">I7:L21=+H7+G7+F7</f>
        <v>0</v>
      </c>
      <c r="J7" s="49"/>
      <c r="K7" s="50">
        <f t="shared" ref="K7:K8" ca="1" si="2">+I7*J7</f>
        <v>0</v>
      </c>
      <c r="L7" s="48"/>
      <c r="M7" s="65"/>
      <c r="N7" s="65"/>
      <c r="O7" s="45"/>
      <c r="P7" s="71">
        <f t="shared" ref="P7" si="3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W8:W14</f>
        <v>#VALUE!</v>
      </c>
      <c r="X7" s="81" t="e">
        <f t="shared" ref="X7:X22" si="4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1</v>
      </c>
      <c r="C8" s="45">
        <v>156</v>
      </c>
      <c r="D8" s="91"/>
      <c r="E8" s="53" t="s">
        <v>74</v>
      </c>
      <c r="F8" s="47"/>
      <c r="G8" s="47"/>
      <c r="H8" s="47"/>
      <c r="I8" s="48">
        <f t="shared" ref="I8:I22" si="5">+H8+G8+F8</f>
        <v>0</v>
      </c>
      <c r="J8" s="49"/>
      <c r="K8" s="50">
        <f t="shared" si="2"/>
        <v>0</v>
      </c>
      <c r="L8" s="48"/>
      <c r="M8" s="65">
        <v>187</v>
      </c>
      <c r="N8" s="65">
        <v>14</v>
      </c>
      <c r="O8" s="43">
        <v>200</v>
      </c>
      <c r="P8" s="71">
        <f>N8+M8-O8</f>
        <v>1</v>
      </c>
      <c r="Q8" s="44">
        <v>111000</v>
      </c>
      <c r="R8" s="77">
        <f>SUM(P8*(Q8/100))</f>
        <v>1110</v>
      </c>
      <c r="S8" s="45">
        <v>1200</v>
      </c>
      <c r="T8" s="45"/>
      <c r="U8" s="45"/>
      <c r="V8" s="45"/>
      <c r="W8" s="51">
        <f>+S8+T8+U8+V8</f>
        <v>1200</v>
      </c>
      <c r="X8" s="81">
        <f>+R8+W8</f>
        <v>2310</v>
      </c>
      <c r="Y8" s="81" t="e">
        <f>+X8+#REF!</f>
        <v>#REF!</v>
      </c>
      <c r="Z8" s="52"/>
    </row>
    <row r="9" spans="1:36" s="43" customFormat="1" ht="17.399999999999999" x14ac:dyDescent="0.3">
      <c r="A9" s="44">
        <v>3</v>
      </c>
      <c r="B9" s="73">
        <v>8</v>
      </c>
      <c r="C9" s="45">
        <f>C8+1</f>
        <v>157</v>
      </c>
      <c r="D9" s="91"/>
      <c r="E9" s="53" t="s">
        <v>94</v>
      </c>
      <c r="F9" s="47"/>
      <c r="G9" s="47"/>
      <c r="H9" s="47"/>
      <c r="I9" s="48"/>
      <c r="J9" s="49"/>
      <c r="K9" s="50">
        <f>+I9*J9</f>
        <v>0</v>
      </c>
      <c r="L9" s="48"/>
      <c r="M9" s="65">
        <v>10.9</v>
      </c>
      <c r="N9" s="65">
        <v>2</v>
      </c>
      <c r="O9" s="45"/>
      <c r="P9" s="71">
        <f t="shared" ref="P9:P23" si="6">N9+M9-O9</f>
        <v>12.9</v>
      </c>
      <c r="Q9" s="44">
        <v>110000</v>
      </c>
      <c r="R9" s="77">
        <f t="shared" ref="R9:R21" si="7">SUM(P9*(Q9/100))</f>
        <v>14190</v>
      </c>
      <c r="S9" s="45">
        <v>800</v>
      </c>
      <c r="T9" s="45"/>
      <c r="U9" s="45">
        <v>200</v>
      </c>
      <c r="V9" s="45"/>
      <c r="W9" s="51">
        <f t="shared" ref="W9:W22" si="8">+S9+T9+U9+V9</f>
        <v>1000</v>
      </c>
      <c r="X9" s="81">
        <f t="shared" si="4"/>
        <v>15190</v>
      </c>
      <c r="Y9" s="81" t="e">
        <f>+X9+#REF!</f>
        <v>#REF!</v>
      </c>
      <c r="Z9" s="52"/>
    </row>
    <row r="10" spans="1:36" s="43" customFormat="1" ht="17.399999999999999" x14ac:dyDescent="0.3">
      <c r="A10" s="44">
        <v>4</v>
      </c>
      <c r="B10" s="45">
        <v>14</v>
      </c>
      <c r="C10" s="45">
        <f t="shared" ref="C10:C22" si="9">C9+1</f>
        <v>158</v>
      </c>
      <c r="D10" s="91"/>
      <c r="E10" s="53" t="s">
        <v>118</v>
      </c>
      <c r="F10" s="47"/>
      <c r="G10" s="47"/>
      <c r="H10" s="47"/>
      <c r="I10" s="48">
        <f t="shared" si="5"/>
        <v>0</v>
      </c>
      <c r="J10" s="49"/>
      <c r="K10" s="50">
        <f t="shared" ref="K10:K22" si="10">+I10*J10</f>
        <v>0</v>
      </c>
      <c r="L10" s="48"/>
      <c r="M10" s="65">
        <f>35.2-1</f>
        <v>34.200000000000003</v>
      </c>
      <c r="N10" s="65">
        <v>6</v>
      </c>
      <c r="O10" s="45">
        <v>39.4</v>
      </c>
      <c r="P10" s="71">
        <f t="shared" si="6"/>
        <v>0.80000000000000426</v>
      </c>
      <c r="Q10" s="44">
        <v>111000</v>
      </c>
      <c r="R10" s="77">
        <f t="shared" si="7"/>
        <v>888.00000000000477</v>
      </c>
      <c r="S10" s="45">
        <v>2000</v>
      </c>
      <c r="T10" s="45"/>
      <c r="U10" s="45"/>
      <c r="V10" s="45"/>
      <c r="W10" s="51">
        <f t="shared" si="8"/>
        <v>2000</v>
      </c>
      <c r="X10" s="81">
        <f t="shared" si="4"/>
        <v>2888.0000000000045</v>
      </c>
      <c r="Y10" s="81" t="e">
        <f>+X10+#REF!</f>
        <v>#REF!</v>
      </c>
      <c r="Z10" s="52"/>
    </row>
    <row r="11" spans="1:36" s="43" customFormat="1" ht="17.399999999999999" x14ac:dyDescent="0.3">
      <c r="A11" s="44">
        <v>5</v>
      </c>
      <c r="B11" s="45">
        <v>15</v>
      </c>
      <c r="C11" s="45">
        <f t="shared" si="9"/>
        <v>159</v>
      </c>
      <c r="D11" s="91"/>
      <c r="E11" s="53" t="s">
        <v>73</v>
      </c>
      <c r="F11" s="47"/>
      <c r="G11" s="47"/>
      <c r="H11" s="47"/>
      <c r="I11" s="48">
        <f t="shared" si="5"/>
        <v>0</v>
      </c>
      <c r="J11" s="49"/>
      <c r="K11" s="50">
        <f t="shared" si="10"/>
        <v>0</v>
      </c>
      <c r="L11" s="48"/>
      <c r="M11" s="65">
        <v>50</v>
      </c>
      <c r="N11" s="65">
        <v>4</v>
      </c>
      <c r="O11" s="45">
        <v>36.9</v>
      </c>
      <c r="P11" s="71">
        <f t="shared" si="6"/>
        <v>17.100000000000001</v>
      </c>
      <c r="Q11" s="44">
        <v>108300</v>
      </c>
      <c r="R11" s="77">
        <f t="shared" si="7"/>
        <v>18519.300000000003</v>
      </c>
      <c r="S11" s="45">
        <v>500</v>
      </c>
      <c r="T11" s="45"/>
      <c r="U11" s="45"/>
      <c r="V11" s="45"/>
      <c r="W11" s="51">
        <f t="shared" si="8"/>
        <v>500</v>
      </c>
      <c r="X11" s="81">
        <f t="shared" si="4"/>
        <v>19019.300000000003</v>
      </c>
      <c r="Y11" s="81" t="e">
        <f>+X11+#REF!</f>
        <v>#REF!</v>
      </c>
      <c r="Z11" s="52"/>
    </row>
    <row r="12" spans="1:36" s="43" customFormat="1" ht="17.399999999999999" x14ac:dyDescent="0.3">
      <c r="A12" s="44">
        <v>6</v>
      </c>
      <c r="B12" s="45">
        <v>15</v>
      </c>
      <c r="C12" s="45">
        <f t="shared" si="9"/>
        <v>160</v>
      </c>
      <c r="D12" s="91" t="s">
        <v>121</v>
      </c>
      <c r="E12" s="53" t="s">
        <v>105</v>
      </c>
      <c r="F12" s="47"/>
      <c r="G12" s="47"/>
      <c r="H12" s="47"/>
      <c r="I12" s="48">
        <f t="shared" si="5"/>
        <v>0</v>
      </c>
      <c r="J12" s="49"/>
      <c r="K12" s="50">
        <f t="shared" si="10"/>
        <v>0</v>
      </c>
      <c r="L12" s="48"/>
      <c r="M12" s="65">
        <v>49.8</v>
      </c>
      <c r="N12" s="65">
        <v>4</v>
      </c>
      <c r="O12" s="45"/>
      <c r="P12" s="71">
        <f t="shared" si="6"/>
        <v>53.8</v>
      </c>
      <c r="Q12" s="44">
        <v>108100</v>
      </c>
      <c r="R12" s="77">
        <f t="shared" si="7"/>
        <v>58157.799999999996</v>
      </c>
      <c r="S12" s="45">
        <v>600</v>
      </c>
      <c r="T12" s="45"/>
      <c r="U12" s="45"/>
      <c r="V12" s="45"/>
      <c r="W12" s="51">
        <f t="shared" si="8"/>
        <v>600</v>
      </c>
      <c r="X12" s="81">
        <f t="shared" si="4"/>
        <v>58757.799999999996</v>
      </c>
      <c r="Y12" s="81" t="e">
        <f>+X12+#REF!</f>
        <v>#REF!</v>
      </c>
      <c r="Z12" s="52">
        <v>1</v>
      </c>
    </row>
    <row r="13" spans="1:36" s="43" customFormat="1" ht="17.399999999999999" x14ac:dyDescent="0.3">
      <c r="A13" s="44">
        <v>7</v>
      </c>
      <c r="B13" s="45">
        <v>16</v>
      </c>
      <c r="C13" s="45">
        <f t="shared" si="9"/>
        <v>161</v>
      </c>
      <c r="D13" s="91"/>
      <c r="E13" s="53" t="s">
        <v>116</v>
      </c>
      <c r="F13" s="47"/>
      <c r="G13" s="47"/>
      <c r="H13" s="47"/>
      <c r="I13" s="48">
        <f t="shared" si="5"/>
        <v>0</v>
      </c>
      <c r="J13" s="49"/>
      <c r="K13" s="50">
        <f t="shared" si="10"/>
        <v>0</v>
      </c>
      <c r="L13" s="48"/>
      <c r="M13" s="65">
        <v>19.3</v>
      </c>
      <c r="N13" s="65">
        <v>4.5</v>
      </c>
      <c r="O13" s="45"/>
      <c r="P13" s="71">
        <f t="shared" si="6"/>
        <v>23.8</v>
      </c>
      <c r="Q13" s="44">
        <v>110500</v>
      </c>
      <c r="R13" s="77">
        <f t="shared" si="7"/>
        <v>26299</v>
      </c>
      <c r="S13" s="45">
        <v>1200</v>
      </c>
      <c r="T13" s="45"/>
      <c r="U13" s="45"/>
      <c r="V13" s="45"/>
      <c r="W13" s="51">
        <f t="shared" si="8"/>
        <v>1200</v>
      </c>
      <c r="X13" s="81">
        <f t="shared" si="4"/>
        <v>27499</v>
      </c>
      <c r="Y13" s="81" t="e">
        <f>+X13+#REF!</f>
        <v>#REF!</v>
      </c>
      <c r="Z13" s="52"/>
    </row>
    <row r="14" spans="1:36" s="43" customFormat="1" ht="17.399999999999999" x14ac:dyDescent="0.3">
      <c r="A14" s="44">
        <v>8</v>
      </c>
      <c r="B14" s="45">
        <v>16</v>
      </c>
      <c r="C14" s="45">
        <f t="shared" si="9"/>
        <v>162</v>
      </c>
      <c r="D14" s="91" t="s">
        <v>121</v>
      </c>
      <c r="E14" s="53" t="s">
        <v>119</v>
      </c>
      <c r="F14" s="47"/>
      <c r="G14" s="47"/>
      <c r="H14" s="47"/>
      <c r="I14" s="48">
        <f t="shared" si="5"/>
        <v>0</v>
      </c>
      <c r="J14" s="49"/>
      <c r="K14" s="50">
        <f t="shared" si="10"/>
        <v>0</v>
      </c>
      <c r="L14" s="48"/>
      <c r="M14" s="65">
        <f>350.2+67</f>
        <v>417.2</v>
      </c>
      <c r="N14" s="65">
        <f>42+8</f>
        <v>50</v>
      </c>
      <c r="O14" s="45">
        <v>43.2</v>
      </c>
      <c r="P14" s="71">
        <f t="shared" si="6"/>
        <v>424</v>
      </c>
      <c r="Q14" s="44">
        <v>110900</v>
      </c>
      <c r="R14" s="77">
        <f t="shared" si="7"/>
        <v>470216</v>
      </c>
      <c r="S14" s="45">
        <f>3000+2250+2000+2150+1500</f>
        <v>10900</v>
      </c>
      <c r="T14" s="45"/>
      <c r="U14" s="45"/>
      <c r="V14" s="45"/>
      <c r="W14" s="51">
        <f t="shared" si="8"/>
        <v>10900</v>
      </c>
      <c r="X14" s="81">
        <f t="shared" si="4"/>
        <v>481116</v>
      </c>
      <c r="Y14" s="81" t="e">
        <f>+X14+#REF!</f>
        <v>#REF!</v>
      </c>
      <c r="Z14" s="52">
        <v>1</v>
      </c>
    </row>
    <row r="15" spans="1:36" s="43" customFormat="1" ht="17.399999999999999" x14ac:dyDescent="0.3">
      <c r="A15" s="44">
        <v>9</v>
      </c>
      <c r="B15" s="45">
        <v>21</v>
      </c>
      <c r="C15" s="45">
        <f t="shared" si="9"/>
        <v>163</v>
      </c>
      <c r="D15" s="91"/>
      <c r="E15" s="53" t="s">
        <v>73</v>
      </c>
      <c r="F15" s="47"/>
      <c r="G15" s="47"/>
      <c r="H15" s="47"/>
      <c r="I15" s="48">
        <f t="shared" si="5"/>
        <v>0</v>
      </c>
      <c r="J15" s="49"/>
      <c r="K15" s="50">
        <f t="shared" si="10"/>
        <v>0</v>
      </c>
      <c r="L15" s="48"/>
      <c r="M15" s="65">
        <v>9.5</v>
      </c>
      <c r="N15" s="65">
        <v>2</v>
      </c>
      <c r="O15" s="45"/>
      <c r="P15" s="71">
        <f t="shared" si="6"/>
        <v>11.5</v>
      </c>
      <c r="Q15" s="44">
        <v>113300</v>
      </c>
      <c r="R15" s="77">
        <f t="shared" si="7"/>
        <v>13029.5</v>
      </c>
      <c r="S15" s="45">
        <v>600</v>
      </c>
      <c r="T15" s="45"/>
      <c r="U15" s="45"/>
      <c r="V15" s="45"/>
      <c r="W15" s="51">
        <f t="shared" si="8"/>
        <v>600</v>
      </c>
      <c r="X15" s="81">
        <f t="shared" si="4"/>
        <v>13629.5</v>
      </c>
      <c r="Y15" s="81" t="e">
        <f>+X15+#REF!</f>
        <v>#REF!</v>
      </c>
      <c r="Z15" s="52"/>
    </row>
    <row r="16" spans="1:36" s="43" customFormat="1" ht="17.399999999999999" x14ac:dyDescent="0.3">
      <c r="A16" s="44">
        <v>10</v>
      </c>
      <c r="B16" s="45">
        <v>21</v>
      </c>
      <c r="C16" s="45">
        <f t="shared" si="9"/>
        <v>164</v>
      </c>
      <c r="D16" s="91" t="s">
        <v>121</v>
      </c>
      <c r="E16" s="53" t="s">
        <v>73</v>
      </c>
      <c r="F16" s="47"/>
      <c r="G16" s="47"/>
      <c r="H16" s="47"/>
      <c r="I16" s="48">
        <f t="shared" si="5"/>
        <v>0</v>
      </c>
      <c r="J16" s="49"/>
      <c r="K16" s="50">
        <f t="shared" si="10"/>
        <v>0</v>
      </c>
      <c r="L16" s="48"/>
      <c r="M16" s="65">
        <v>9.5</v>
      </c>
      <c r="N16" s="65">
        <v>2</v>
      </c>
      <c r="O16" s="45"/>
      <c r="P16" s="71">
        <f t="shared" si="6"/>
        <v>11.5</v>
      </c>
      <c r="Q16" s="44">
        <v>113300</v>
      </c>
      <c r="R16" s="77">
        <f t="shared" si="7"/>
        <v>13029.5</v>
      </c>
      <c r="S16" s="45">
        <v>600</v>
      </c>
      <c r="T16" s="45"/>
      <c r="U16" s="45"/>
      <c r="V16" s="45"/>
      <c r="W16" s="51">
        <f t="shared" si="8"/>
        <v>600</v>
      </c>
      <c r="X16" s="81">
        <f t="shared" si="4"/>
        <v>13629.5</v>
      </c>
      <c r="Y16" s="81" t="e">
        <f>+X16+#REF!</f>
        <v>#REF!</v>
      </c>
      <c r="Z16" s="52"/>
    </row>
    <row r="17" spans="1:26" s="43" customFormat="1" ht="17.399999999999999" x14ac:dyDescent="0.3">
      <c r="A17" s="44">
        <v>11</v>
      </c>
      <c r="B17" s="45">
        <v>22</v>
      </c>
      <c r="C17" s="45">
        <f t="shared" si="9"/>
        <v>165</v>
      </c>
      <c r="D17" s="91"/>
      <c r="E17" s="53" t="s">
        <v>94</v>
      </c>
      <c r="F17" s="47"/>
      <c r="G17" s="47"/>
      <c r="H17" s="47"/>
      <c r="I17" s="48">
        <f t="shared" si="5"/>
        <v>0</v>
      </c>
      <c r="J17" s="49"/>
      <c r="K17" s="50">
        <f t="shared" si="10"/>
        <v>0</v>
      </c>
      <c r="L17" s="48"/>
      <c r="M17" s="65">
        <v>9.9</v>
      </c>
      <c r="N17" s="65">
        <v>0.5</v>
      </c>
      <c r="O17" s="45"/>
      <c r="P17" s="71">
        <f t="shared" si="6"/>
        <v>10.4</v>
      </c>
      <c r="Q17" s="44">
        <v>111600</v>
      </c>
      <c r="R17" s="77">
        <f t="shared" si="7"/>
        <v>11606.4</v>
      </c>
      <c r="S17" s="45">
        <v>500</v>
      </c>
      <c r="T17" s="45"/>
      <c r="U17" s="45"/>
      <c r="V17" s="45"/>
      <c r="W17" s="51">
        <f t="shared" si="8"/>
        <v>500</v>
      </c>
      <c r="X17" s="81">
        <f t="shared" si="4"/>
        <v>12106.4</v>
      </c>
      <c r="Y17" s="81" t="e">
        <f>+X17+#REF!</f>
        <v>#REF!</v>
      </c>
      <c r="Z17" s="52"/>
    </row>
    <row r="18" spans="1:26" s="43" customFormat="1" ht="17.399999999999999" x14ac:dyDescent="0.3">
      <c r="A18" s="44">
        <v>12</v>
      </c>
      <c r="B18" s="45">
        <v>23</v>
      </c>
      <c r="C18" s="45">
        <f>C17+1</f>
        <v>166</v>
      </c>
      <c r="D18" s="91"/>
      <c r="E18" s="53" t="s">
        <v>73</v>
      </c>
      <c r="F18" s="47"/>
      <c r="G18" s="47"/>
      <c r="H18" s="47"/>
      <c r="I18" s="48">
        <f t="shared" si="5"/>
        <v>0</v>
      </c>
      <c r="J18" s="49"/>
      <c r="K18" s="50">
        <f t="shared" si="10"/>
        <v>0</v>
      </c>
      <c r="L18" s="48"/>
      <c r="M18" s="65">
        <v>37.5</v>
      </c>
      <c r="N18" s="65">
        <v>2.5</v>
      </c>
      <c r="O18" s="45"/>
      <c r="P18" s="71">
        <f t="shared" si="6"/>
        <v>40</v>
      </c>
      <c r="Q18" s="44">
        <v>112500</v>
      </c>
      <c r="R18" s="77">
        <f t="shared" si="7"/>
        <v>45000</v>
      </c>
      <c r="S18" s="45">
        <v>800</v>
      </c>
      <c r="T18" s="45"/>
      <c r="U18" s="45"/>
      <c r="V18" s="45"/>
      <c r="W18" s="51">
        <f t="shared" si="8"/>
        <v>800</v>
      </c>
      <c r="X18" s="81">
        <f t="shared" si="4"/>
        <v>45800</v>
      </c>
      <c r="Y18" s="81" t="e">
        <f>+X18+#REF!</f>
        <v>#REF!</v>
      </c>
      <c r="Z18" s="52"/>
    </row>
    <row r="19" spans="1:26" s="43" customFormat="1" ht="17.399999999999999" x14ac:dyDescent="0.3">
      <c r="A19" s="44">
        <v>13</v>
      </c>
      <c r="B19" s="45">
        <v>26</v>
      </c>
      <c r="C19" s="45">
        <f t="shared" si="9"/>
        <v>167</v>
      </c>
      <c r="D19" s="91"/>
      <c r="E19" s="53" t="s">
        <v>73</v>
      </c>
      <c r="F19" s="47"/>
      <c r="G19" s="47"/>
      <c r="H19" s="47"/>
      <c r="I19" s="48">
        <f t="shared" si="5"/>
        <v>0</v>
      </c>
      <c r="J19" s="49"/>
      <c r="K19" s="50">
        <f t="shared" si="10"/>
        <v>0</v>
      </c>
      <c r="L19" s="48"/>
      <c r="M19" s="65">
        <f>38.2-1</f>
        <v>37.200000000000003</v>
      </c>
      <c r="N19" s="65">
        <v>4</v>
      </c>
      <c r="O19" s="45"/>
      <c r="P19" s="71">
        <f t="shared" si="6"/>
        <v>41.2</v>
      </c>
      <c r="Q19" s="44">
        <v>111100</v>
      </c>
      <c r="R19" s="77">
        <f t="shared" si="7"/>
        <v>45773.200000000004</v>
      </c>
      <c r="S19" s="45">
        <v>1000</v>
      </c>
      <c r="T19" s="45"/>
      <c r="U19" s="45"/>
      <c r="V19" s="45"/>
      <c r="W19" s="51">
        <f t="shared" si="8"/>
        <v>1000</v>
      </c>
      <c r="X19" s="81">
        <f t="shared" si="4"/>
        <v>46773.200000000004</v>
      </c>
      <c r="Y19" s="81" t="e">
        <f>+X19+#REF!</f>
        <v>#REF!</v>
      </c>
      <c r="Z19" s="52"/>
    </row>
    <row r="20" spans="1:26" s="43" customFormat="1" ht="17.399999999999999" x14ac:dyDescent="0.3">
      <c r="A20" s="44">
        <v>14</v>
      </c>
      <c r="B20" s="45">
        <v>26</v>
      </c>
      <c r="C20" s="45">
        <f t="shared" si="9"/>
        <v>168</v>
      </c>
      <c r="D20" s="91" t="s">
        <v>121</v>
      </c>
      <c r="E20" s="53" t="s">
        <v>79</v>
      </c>
      <c r="F20" s="47"/>
      <c r="G20" s="47"/>
      <c r="H20" s="47"/>
      <c r="I20" s="48">
        <f t="shared" si="5"/>
        <v>0</v>
      </c>
      <c r="J20" s="49"/>
      <c r="K20" s="50">
        <f t="shared" si="10"/>
        <v>0</v>
      </c>
      <c r="L20" s="48"/>
      <c r="M20" s="65">
        <v>73.7</v>
      </c>
      <c r="N20" s="65">
        <v>8.5</v>
      </c>
      <c r="O20" s="45"/>
      <c r="P20" s="71">
        <f t="shared" si="6"/>
        <v>82.2</v>
      </c>
      <c r="Q20" s="44">
        <v>111100</v>
      </c>
      <c r="R20" s="77">
        <f t="shared" si="7"/>
        <v>91324.2</v>
      </c>
      <c r="S20" s="45">
        <v>1200</v>
      </c>
      <c r="T20" s="45"/>
      <c r="U20" s="45"/>
      <c r="V20" s="45"/>
      <c r="W20" s="51">
        <f t="shared" si="8"/>
        <v>1200</v>
      </c>
      <c r="X20" s="81">
        <f t="shared" si="4"/>
        <v>92524.2</v>
      </c>
      <c r="Y20" s="81" t="e">
        <f>+X20+#REF!</f>
        <v>#REF!</v>
      </c>
      <c r="Z20" s="52"/>
    </row>
    <row r="21" spans="1:26" s="43" customFormat="1" ht="17.399999999999999" x14ac:dyDescent="0.3">
      <c r="A21" s="44">
        <v>15</v>
      </c>
      <c r="B21" s="45">
        <v>27</v>
      </c>
      <c r="C21" s="45">
        <f t="shared" si="9"/>
        <v>169</v>
      </c>
      <c r="D21" s="91"/>
      <c r="E21" s="53" t="s">
        <v>120</v>
      </c>
      <c r="F21" s="47"/>
      <c r="G21" s="47"/>
      <c r="H21" s="47"/>
      <c r="I21" s="48">
        <f t="shared" si="5"/>
        <v>0</v>
      </c>
      <c r="J21" s="49"/>
      <c r="K21" s="50">
        <f t="shared" si="10"/>
        <v>0</v>
      </c>
      <c r="L21" s="48"/>
      <c r="M21" s="65">
        <f>55.3+30.1+29.8</f>
        <v>115.2</v>
      </c>
      <c r="N21" s="65">
        <f>6+5.5+5.5</f>
        <v>17</v>
      </c>
      <c r="O21" s="45"/>
      <c r="P21" s="71">
        <f t="shared" si="6"/>
        <v>132.19999999999999</v>
      </c>
      <c r="Q21" s="44">
        <v>111600</v>
      </c>
      <c r="R21" s="77">
        <f t="shared" si="7"/>
        <v>147535.19999999998</v>
      </c>
      <c r="S21" s="45">
        <f>1200+1200+1200</f>
        <v>3600</v>
      </c>
      <c r="T21" s="45"/>
      <c r="U21" s="45">
        <v>1500</v>
      </c>
      <c r="V21" s="45"/>
      <c r="W21" s="51">
        <f t="shared" si="8"/>
        <v>5100</v>
      </c>
      <c r="X21" s="81">
        <f t="shared" si="4"/>
        <v>152635.19999999998</v>
      </c>
      <c r="Y21" s="81" t="e">
        <f>+X21+#REF!</f>
        <v>#REF!</v>
      </c>
      <c r="Z21" s="52"/>
    </row>
    <row r="22" spans="1:26" s="43" customFormat="1" ht="17.399999999999999" x14ac:dyDescent="0.3">
      <c r="A22" s="44">
        <v>15</v>
      </c>
      <c r="B22" s="45">
        <v>27</v>
      </c>
      <c r="C22" s="45">
        <f t="shared" si="9"/>
        <v>170</v>
      </c>
      <c r="D22" s="91" t="s">
        <v>123</v>
      </c>
      <c r="E22" s="53"/>
      <c r="F22" s="47"/>
      <c r="G22" s="47"/>
      <c r="H22" s="47"/>
      <c r="I22" s="48">
        <f t="shared" si="5"/>
        <v>0</v>
      </c>
      <c r="J22" s="49"/>
      <c r="K22" s="50">
        <f t="shared" si="10"/>
        <v>0</v>
      </c>
      <c r="L22" s="48"/>
      <c r="M22" s="45"/>
      <c r="N22" s="65"/>
      <c r="O22" s="45"/>
      <c r="P22" s="71">
        <f t="shared" si="6"/>
        <v>0</v>
      </c>
      <c r="Q22" s="44"/>
      <c r="R22" s="77">
        <f t="shared" ref="R22" si="11">SUM(P22*(Q22/100))</f>
        <v>0</v>
      </c>
      <c r="S22" s="45"/>
      <c r="T22" s="45"/>
      <c r="U22" s="45"/>
      <c r="V22" s="45"/>
      <c r="W22" s="51">
        <f t="shared" si="8"/>
        <v>0</v>
      </c>
      <c r="X22" s="81">
        <f t="shared" si="4"/>
        <v>0</v>
      </c>
      <c r="Y22" s="81" t="e">
        <f>+X22+#REF!</f>
        <v>#REF!</v>
      </c>
      <c r="Z22" s="52"/>
    </row>
    <row r="23" spans="1:26" s="43" customFormat="1" ht="18" thickBot="1" x14ac:dyDescent="0.35">
      <c r="A23" s="54"/>
      <c r="B23" s="55"/>
      <c r="C23" s="55"/>
      <c r="D23" s="55"/>
      <c r="E23" s="56" t="s">
        <v>70</v>
      </c>
      <c r="F23" s="55">
        <f>SUM(F6:F21)</f>
        <v>0</v>
      </c>
      <c r="G23" s="55">
        <f>SUM(G6:G21)</f>
        <v>0</v>
      </c>
      <c r="H23" s="55">
        <f>SUM(H6:H21)</f>
        <v>0</v>
      </c>
      <c r="I23" s="57"/>
      <c r="J23" s="55"/>
      <c r="K23" s="57">
        <f ca="1">SUM(K6:K21)</f>
        <v>1054320</v>
      </c>
      <c r="L23" s="57" t="e">
        <f>+#REF!</f>
        <v>#REF!</v>
      </c>
      <c r="M23" s="66">
        <f>SUM(M6:M21)</f>
        <v>1060.9000000000001</v>
      </c>
      <c r="N23" s="66">
        <f>SUM(N6:N21)</f>
        <v>121</v>
      </c>
      <c r="O23" s="55">
        <f>SUM(O6:O21)</f>
        <v>319.5</v>
      </c>
      <c r="P23" s="71">
        <f t="shared" si="6"/>
        <v>862.40000000000009</v>
      </c>
      <c r="Q23" s="54">
        <f>+R23/P23</f>
        <v>1109.3206168831166</v>
      </c>
      <c r="R23" s="78">
        <f t="shared" ref="R23:W23" si="12">SUM(R6:R21)</f>
        <v>956678.09999999986</v>
      </c>
      <c r="S23" s="55">
        <f t="shared" si="12"/>
        <v>25500</v>
      </c>
      <c r="T23" s="55">
        <f t="shared" si="12"/>
        <v>0</v>
      </c>
      <c r="U23" s="55">
        <f t="shared" si="12"/>
        <v>1700</v>
      </c>
      <c r="V23" s="55">
        <f t="shared" si="12"/>
        <v>0</v>
      </c>
      <c r="W23" s="57" t="e">
        <f t="shared" si="12"/>
        <v>#VALUE!</v>
      </c>
      <c r="X23" s="54">
        <f>SUM(X8:X22)</f>
        <v>983878.09999999986</v>
      </c>
      <c r="Y23" s="54" t="e">
        <f>SUM(Y6:Y21)</f>
        <v>#VALUE!</v>
      </c>
      <c r="Z23" s="57"/>
    </row>
    <row r="24" spans="1:26" s="43" customFormat="1" ht="18" thickTop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60"/>
      <c r="N24" s="60"/>
      <c r="O24" s="2"/>
      <c r="P24" s="72"/>
      <c r="Q24" s="1"/>
      <c r="R24" s="79"/>
      <c r="S24" s="2"/>
      <c r="T24" s="2"/>
      <c r="U24" s="2"/>
      <c r="V24" s="2"/>
      <c r="W24" s="3"/>
      <c r="X24" s="82"/>
      <c r="Y24" s="82"/>
      <c r="Z24" s="5"/>
    </row>
    <row r="25" spans="1:26" s="43" customFormat="1" ht="17.399999999999999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60"/>
      <c r="N25" s="60"/>
      <c r="O25" s="2"/>
      <c r="P25" s="72"/>
      <c r="Q25" s="1"/>
      <c r="R25" s="79"/>
      <c r="S25" s="2"/>
      <c r="T25" s="2"/>
      <c r="U25" s="2"/>
      <c r="V25" s="2"/>
      <c r="W25" s="3"/>
      <c r="X25" s="82"/>
      <c r="Y25" s="82"/>
      <c r="Z25" s="5"/>
    </row>
    <row r="26" spans="1:26" s="43" customFormat="1" ht="17.399999999999999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60"/>
      <c r="N26" s="60"/>
      <c r="O26" s="2"/>
      <c r="P26" s="72"/>
      <c r="Q26" s="1"/>
      <c r="R26" s="79"/>
      <c r="S26" s="2"/>
      <c r="T26" s="2"/>
      <c r="U26" s="2"/>
      <c r="V26" s="2"/>
      <c r="W26" s="3"/>
      <c r="X26" s="82"/>
      <c r="Y26" s="82"/>
      <c r="Z26" s="5"/>
    </row>
    <row r="27" spans="1:26" s="43" customFormat="1" ht="17.399999999999999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1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1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1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1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1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1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1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1"/>
      <c r="R180" s="79"/>
      <c r="S180" s="2"/>
      <c r="T180" s="2"/>
      <c r="U180" s="2"/>
      <c r="V180" s="2"/>
      <c r="W180" s="3"/>
      <c r="X180" s="82"/>
      <c r="Y180" s="82"/>
      <c r="Z180" s="5"/>
      <c r="AB180" s="58"/>
      <c r="AC180" s="58"/>
      <c r="AD180" s="58"/>
      <c r="AE180" s="58"/>
      <c r="AF180" s="59"/>
      <c r="AG180" s="59"/>
      <c r="AH180" s="59"/>
      <c r="AI180" s="59"/>
    </row>
  </sheetData>
  <mergeCells count="1">
    <mergeCell ref="F3:I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A0EA-ADE3-4290-A4AC-3147FEF08806}">
  <dimension ref="A1:AN175"/>
  <sheetViews>
    <sheetView zoomScaleNormal="100" workbookViewId="0">
      <selection activeCell="Y22" sqref="Y22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77734375" style="2" bestFit="1" customWidth="1"/>
    <col min="4" max="4" width="10" style="2" bestFit="1" customWidth="1"/>
    <col min="5" max="5" width="13.5546875" style="2" bestFit="1" customWidth="1"/>
    <col min="6" max="6" width="10.6640625" style="2" customWidth="1"/>
    <col min="7" max="7" width="11.44140625" style="2" bestFit="1" customWidth="1"/>
    <col min="8" max="8" width="10.6640625" style="2" customWidth="1"/>
    <col min="9" max="9" width="18.21875" style="2" bestFit="1" customWidth="1"/>
    <col min="10" max="10" width="13" style="2" bestFit="1" customWidth="1"/>
    <col min="11" max="11" width="15.88671875" style="3" bestFit="1" customWidth="1"/>
    <col min="12" max="12" width="13.77734375" style="3" bestFit="1" customWidth="1"/>
    <col min="13" max="13" width="14.21875" style="60" bestFit="1" customWidth="1"/>
    <col min="14" max="14" width="15.109375" style="60" bestFit="1" customWidth="1"/>
    <col min="15" max="15" width="11.5546875" style="2" customWidth="1"/>
    <col min="16" max="16" width="18.109375" style="72" bestFit="1" customWidth="1"/>
    <col min="17" max="17" width="13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 s="1" t="e">
        <f>#REF!</f>
        <v>#REF!</v>
      </c>
      <c r="E1" s="2" t="str">
        <f t="shared" ref="E1:Y1" si="0">E18</f>
        <v>hDdf</v>
      </c>
      <c r="F1" s="2">
        <f t="shared" ref="F1:H1" si="1">+F18</f>
        <v>0</v>
      </c>
      <c r="G1" s="2">
        <f t="shared" si="1"/>
        <v>0</v>
      </c>
      <c r="H1" s="2">
        <f t="shared" si="1"/>
        <v>0</v>
      </c>
      <c r="I1" s="2">
        <f>+I18</f>
        <v>0</v>
      </c>
      <c r="J1" s="2">
        <f>+J18</f>
        <v>0</v>
      </c>
      <c r="K1" s="2">
        <f ca="1">+K18</f>
        <v>1054320</v>
      </c>
      <c r="L1" s="3" t="e">
        <f>L11:L17</f>
        <v>#VALUE!</v>
      </c>
      <c r="M1" s="60">
        <f t="shared" si="0"/>
        <v>521.5</v>
      </c>
      <c r="N1" s="60">
        <f t="shared" si="0"/>
        <v>57.7</v>
      </c>
      <c r="O1" s="2">
        <f t="shared" si="0"/>
        <v>108.8</v>
      </c>
      <c r="P1" s="60">
        <f t="shared" si="0"/>
        <v>470.40000000000003</v>
      </c>
      <c r="Q1" s="1">
        <f t="shared" si="0"/>
        <v>1108.9457908163265</v>
      </c>
      <c r="R1" s="1">
        <f t="shared" si="0"/>
        <v>521648.1</v>
      </c>
      <c r="S1" s="2">
        <f t="shared" si="0"/>
        <v>11350</v>
      </c>
      <c r="T1" s="2">
        <f t="shared" si="0"/>
        <v>0</v>
      </c>
      <c r="U1" s="2">
        <f t="shared" si="0"/>
        <v>500</v>
      </c>
      <c r="V1" s="2">
        <f t="shared" si="0"/>
        <v>0</v>
      </c>
      <c r="W1" s="2" t="e">
        <f t="shared" si="0"/>
        <v>#VALUE!</v>
      </c>
      <c r="X1" s="1">
        <f t="shared" si="0"/>
        <v>533498.1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7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10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15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29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40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5"/>
      <c r="E7" s="46"/>
      <c r="F7" s="47"/>
      <c r="G7" s="47"/>
      <c r="H7" s="47"/>
      <c r="I7" s="48">
        <f ca="1">I7:L17=+H7+G7+F7</f>
        <v>0</v>
      </c>
      <c r="J7" s="49"/>
      <c r="K7" s="50">
        <f t="shared" ref="K7:K8" ca="1" si="2">+I7*J7</f>
        <v>0</v>
      </c>
      <c r="L7" s="48"/>
      <c r="M7" s="65"/>
      <c r="N7" s="65"/>
      <c r="O7" s="45"/>
      <c r="P7" s="71">
        <f t="shared" ref="P7" si="3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W8:W14</f>
        <v>#VALUE!</v>
      </c>
      <c r="X7" s="81" t="e">
        <f t="shared" ref="X7:X17" si="4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/>
      <c r="C8" s="45"/>
      <c r="D8" s="91"/>
      <c r="E8" s="53"/>
      <c r="F8" s="47"/>
      <c r="G8" s="47"/>
      <c r="H8" s="47"/>
      <c r="I8" s="48"/>
      <c r="J8" s="49"/>
      <c r="K8" s="50">
        <f t="shared" si="2"/>
        <v>0</v>
      </c>
      <c r="L8" s="48"/>
      <c r="M8" s="65"/>
      <c r="N8" s="65"/>
      <c r="P8" s="71"/>
      <c r="Q8" s="44"/>
      <c r="R8" s="77">
        <f>SUM(P8*(Q8/100))</f>
        <v>0</v>
      </c>
      <c r="S8" s="45"/>
      <c r="T8" s="45"/>
      <c r="U8" s="45"/>
      <c r="V8" s="45"/>
      <c r="W8" s="51">
        <f>+S8+T8+U8+V8</f>
        <v>0</v>
      </c>
      <c r="X8" s="81">
        <f>+R8+W8</f>
        <v>0</v>
      </c>
      <c r="Y8" s="81" t="e">
        <f>+X8+#REF!</f>
        <v>#REF!</v>
      </c>
      <c r="Z8" s="52"/>
    </row>
    <row r="9" spans="1:36" s="43" customFormat="1" ht="17.399999999999999" x14ac:dyDescent="0.3">
      <c r="A9" s="44">
        <v>3</v>
      </c>
      <c r="B9" s="73">
        <v>9</v>
      </c>
      <c r="C9" s="45">
        <f>171</f>
        <v>171</v>
      </c>
      <c r="D9" s="91" t="s">
        <v>121</v>
      </c>
      <c r="E9" s="53" t="s">
        <v>87</v>
      </c>
      <c r="F9" s="47"/>
      <c r="G9" s="47"/>
      <c r="H9" s="47"/>
      <c r="I9" s="48"/>
      <c r="J9" s="49"/>
      <c r="K9" s="50">
        <f>+I9*J9</f>
        <v>0</v>
      </c>
      <c r="L9" s="48"/>
      <c r="M9" s="65">
        <v>153.1</v>
      </c>
      <c r="N9" s="65">
        <v>13.7</v>
      </c>
      <c r="O9" s="45"/>
      <c r="P9" s="71">
        <f t="shared" ref="P9:P18" si="5">N9+M9-O9</f>
        <v>166.79999999999998</v>
      </c>
      <c r="Q9" s="44">
        <v>111000</v>
      </c>
      <c r="R9" s="77">
        <f t="shared" ref="R9:R17" si="6">SUM(P9*(Q9/100))</f>
        <v>185147.99999999997</v>
      </c>
      <c r="S9" s="45">
        <v>2250</v>
      </c>
      <c r="T9" s="45"/>
      <c r="U9" s="45"/>
      <c r="V9" s="45"/>
      <c r="W9" s="51">
        <f t="shared" ref="W9:W17" si="7">+S9+T9+U9+V9</f>
        <v>2250</v>
      </c>
      <c r="X9" s="81">
        <f t="shared" si="4"/>
        <v>187397.99999999997</v>
      </c>
      <c r="Y9" s="81" t="e">
        <f>+X9+#REF!</f>
        <v>#REF!</v>
      </c>
      <c r="Z9" s="52"/>
    </row>
    <row r="10" spans="1:36" s="43" customFormat="1" ht="17.399999999999999" x14ac:dyDescent="0.3">
      <c r="A10" s="44">
        <v>4</v>
      </c>
      <c r="B10" s="45">
        <v>14</v>
      </c>
      <c r="C10" s="45">
        <f t="shared" ref="C10:C17" si="8">C9+1</f>
        <v>172</v>
      </c>
      <c r="D10" s="91"/>
      <c r="E10" s="53" t="s">
        <v>84</v>
      </c>
      <c r="F10" s="47"/>
      <c r="G10" s="47"/>
      <c r="H10" s="47"/>
      <c r="I10" s="48">
        <f t="shared" ref="I8:I17" si="9">+H10+G10+F10</f>
        <v>0</v>
      </c>
      <c r="J10" s="49"/>
      <c r="K10" s="50">
        <f t="shared" ref="K10:K17" si="10">+I10*J10</f>
        <v>0</v>
      </c>
      <c r="L10" s="48"/>
      <c r="M10" s="65">
        <v>14.7</v>
      </c>
      <c r="N10" s="65">
        <v>3</v>
      </c>
      <c r="O10" s="45"/>
      <c r="P10" s="71">
        <f t="shared" si="5"/>
        <v>17.7</v>
      </c>
      <c r="Q10" s="44">
        <v>110200</v>
      </c>
      <c r="R10" s="77">
        <f t="shared" si="6"/>
        <v>19505.399999999998</v>
      </c>
      <c r="S10" s="45">
        <v>1000</v>
      </c>
      <c r="T10" s="45"/>
      <c r="U10" s="45"/>
      <c r="V10" s="45"/>
      <c r="W10" s="51">
        <f t="shared" si="7"/>
        <v>1000</v>
      </c>
      <c r="X10" s="81">
        <f t="shared" si="4"/>
        <v>20505.399999999998</v>
      </c>
      <c r="Y10" s="81" t="e">
        <f>+X10+#REF!</f>
        <v>#REF!</v>
      </c>
      <c r="Z10" s="52"/>
    </row>
    <row r="11" spans="1:36" s="43" customFormat="1" ht="17.399999999999999" x14ac:dyDescent="0.3">
      <c r="A11" s="44">
        <v>5</v>
      </c>
      <c r="B11" s="45">
        <v>18</v>
      </c>
      <c r="C11" s="45">
        <f t="shared" si="8"/>
        <v>173</v>
      </c>
      <c r="D11" s="91"/>
      <c r="E11" s="53" t="s">
        <v>84</v>
      </c>
      <c r="F11" s="47"/>
      <c r="G11" s="47"/>
      <c r="H11" s="47"/>
      <c r="I11" s="48">
        <f t="shared" si="9"/>
        <v>0</v>
      </c>
      <c r="J11" s="49"/>
      <c r="K11" s="50">
        <f t="shared" si="10"/>
        <v>0</v>
      </c>
      <c r="L11" s="48"/>
      <c r="M11" s="65">
        <v>14.9</v>
      </c>
      <c r="N11" s="65">
        <v>2</v>
      </c>
      <c r="O11" s="45"/>
      <c r="P11" s="71">
        <f t="shared" si="5"/>
        <v>16.899999999999999</v>
      </c>
      <c r="Q11" s="44">
        <v>109600</v>
      </c>
      <c r="R11" s="77">
        <f t="shared" si="6"/>
        <v>18522.399999999998</v>
      </c>
      <c r="S11" s="45">
        <v>800</v>
      </c>
      <c r="T11" s="45"/>
      <c r="U11" s="45"/>
      <c r="V11" s="45"/>
      <c r="W11" s="51">
        <f t="shared" si="7"/>
        <v>800</v>
      </c>
      <c r="X11" s="81">
        <f t="shared" si="4"/>
        <v>19322.399999999998</v>
      </c>
      <c r="Y11" s="81" t="e">
        <f>+X11+#REF!</f>
        <v>#REF!</v>
      </c>
      <c r="Z11" s="52"/>
    </row>
    <row r="12" spans="1:36" s="43" customFormat="1" ht="17.399999999999999" x14ac:dyDescent="0.3">
      <c r="A12" s="44">
        <v>6</v>
      </c>
      <c r="B12" s="45">
        <v>25</v>
      </c>
      <c r="C12" s="45">
        <f t="shared" si="8"/>
        <v>174</v>
      </c>
      <c r="D12" s="91"/>
      <c r="E12" s="53" t="s">
        <v>116</v>
      </c>
      <c r="F12" s="47"/>
      <c r="G12" s="47"/>
      <c r="H12" s="47"/>
      <c r="I12" s="48">
        <f t="shared" si="9"/>
        <v>0</v>
      </c>
      <c r="J12" s="49"/>
      <c r="K12" s="50">
        <f t="shared" si="10"/>
        <v>0</v>
      </c>
      <c r="L12" s="48"/>
      <c r="M12" s="65">
        <v>19.399999999999999</v>
      </c>
      <c r="N12" s="65">
        <v>4.5</v>
      </c>
      <c r="O12" s="45">
        <v>10.8</v>
      </c>
      <c r="P12" s="71">
        <f t="shared" si="5"/>
        <v>13.099999999999998</v>
      </c>
      <c r="Q12" s="44">
        <v>111300</v>
      </c>
      <c r="R12" s="77">
        <f t="shared" si="6"/>
        <v>14580.299999999997</v>
      </c>
      <c r="S12" s="45">
        <v>1200</v>
      </c>
      <c r="T12" s="45"/>
      <c r="U12" s="45"/>
      <c r="V12" s="45"/>
      <c r="W12" s="51">
        <f t="shared" si="7"/>
        <v>1200</v>
      </c>
      <c r="X12" s="81">
        <f t="shared" si="4"/>
        <v>15780.299999999997</v>
      </c>
      <c r="Y12" s="81" t="e">
        <f>+X12+#REF!</f>
        <v>#REF!</v>
      </c>
      <c r="Z12" s="52"/>
    </row>
    <row r="13" spans="1:36" s="43" customFormat="1" ht="17.399999999999999" x14ac:dyDescent="0.3">
      <c r="A13" s="44">
        <v>7</v>
      </c>
      <c r="B13" s="45">
        <v>28</v>
      </c>
      <c r="C13" s="45">
        <f t="shared" si="8"/>
        <v>175</v>
      </c>
      <c r="D13" s="91"/>
      <c r="E13" s="53" t="s">
        <v>74</v>
      </c>
      <c r="F13" s="47"/>
      <c r="G13" s="47"/>
      <c r="H13" s="47"/>
      <c r="I13" s="48">
        <f t="shared" si="9"/>
        <v>0</v>
      </c>
      <c r="J13" s="49"/>
      <c r="K13" s="50">
        <f t="shared" si="10"/>
        <v>0</v>
      </c>
      <c r="L13" s="48"/>
      <c r="M13" s="65">
        <v>100.1</v>
      </c>
      <c r="N13" s="65">
        <v>10</v>
      </c>
      <c r="O13" s="45"/>
      <c r="P13" s="71">
        <f t="shared" si="5"/>
        <v>110.1</v>
      </c>
      <c r="Q13" s="44">
        <v>110700</v>
      </c>
      <c r="R13" s="77">
        <f t="shared" si="6"/>
        <v>121880.7</v>
      </c>
      <c r="S13" s="45">
        <v>1200</v>
      </c>
      <c r="T13" s="45"/>
      <c r="U13" s="45"/>
      <c r="V13" s="45"/>
      <c r="W13" s="51">
        <f t="shared" si="7"/>
        <v>1200</v>
      </c>
      <c r="X13" s="81">
        <f t="shared" si="4"/>
        <v>123080.7</v>
      </c>
      <c r="Y13" s="81" t="e">
        <f>+X13+#REF!</f>
        <v>#REF!</v>
      </c>
      <c r="Z13" s="52">
        <v>1</v>
      </c>
    </row>
    <row r="14" spans="1:36" s="43" customFormat="1" ht="17.399999999999999" x14ac:dyDescent="0.3">
      <c r="A14" s="44">
        <v>8</v>
      </c>
      <c r="B14" s="45">
        <v>28</v>
      </c>
      <c r="C14" s="45">
        <f t="shared" si="8"/>
        <v>176</v>
      </c>
      <c r="D14" s="91"/>
      <c r="E14" s="53" t="s">
        <v>75</v>
      </c>
      <c r="F14" s="47"/>
      <c r="G14" s="47"/>
      <c r="H14" s="47"/>
      <c r="I14" s="48">
        <f t="shared" si="9"/>
        <v>0</v>
      </c>
      <c r="J14" s="49"/>
      <c r="K14" s="50">
        <f t="shared" si="10"/>
        <v>0</v>
      </c>
      <c r="L14" s="48"/>
      <c r="M14" s="65">
        <v>25.5</v>
      </c>
      <c r="N14" s="65">
        <v>2</v>
      </c>
      <c r="O14" s="45"/>
      <c r="P14" s="71">
        <f t="shared" si="5"/>
        <v>27.5</v>
      </c>
      <c r="Q14" s="44">
        <v>110700</v>
      </c>
      <c r="R14" s="77">
        <f t="shared" si="6"/>
        <v>30442.5</v>
      </c>
      <c r="S14" s="45">
        <v>1200</v>
      </c>
      <c r="T14" s="45"/>
      <c r="U14" s="45">
        <v>400</v>
      </c>
      <c r="V14" s="45"/>
      <c r="W14" s="51">
        <f t="shared" si="7"/>
        <v>1600</v>
      </c>
      <c r="X14" s="81">
        <f t="shared" si="4"/>
        <v>32042.5</v>
      </c>
      <c r="Y14" s="81" t="e">
        <f>+X14+#REF!</f>
        <v>#REF!</v>
      </c>
      <c r="Z14" s="52"/>
    </row>
    <row r="15" spans="1:36" s="43" customFormat="1" ht="17.399999999999999" x14ac:dyDescent="0.3">
      <c r="A15" s="44">
        <v>9</v>
      </c>
      <c r="B15" s="45">
        <v>28</v>
      </c>
      <c r="C15" s="45">
        <f t="shared" si="8"/>
        <v>177</v>
      </c>
      <c r="D15" s="91"/>
      <c r="E15" s="53" t="s">
        <v>92</v>
      </c>
      <c r="F15" s="47"/>
      <c r="G15" s="47"/>
      <c r="H15" s="47"/>
      <c r="I15" s="48">
        <f t="shared" si="9"/>
        <v>0</v>
      </c>
      <c r="J15" s="49"/>
      <c r="K15" s="50">
        <f t="shared" si="10"/>
        <v>0</v>
      </c>
      <c r="L15" s="48"/>
      <c r="M15" s="65">
        <f>128.9-25.5-59.2-1.3</f>
        <v>42.900000000000006</v>
      </c>
      <c r="N15" s="65">
        <v>10</v>
      </c>
      <c r="O15" s="45"/>
      <c r="P15" s="71">
        <f t="shared" si="5"/>
        <v>52.900000000000006</v>
      </c>
      <c r="Q15" s="44">
        <v>110000</v>
      </c>
      <c r="R15" s="77">
        <f t="shared" si="6"/>
        <v>58190.000000000007</v>
      </c>
      <c r="S15" s="45">
        <v>1200</v>
      </c>
      <c r="T15" s="45"/>
      <c r="U15" s="45">
        <v>100</v>
      </c>
      <c r="V15" s="45"/>
      <c r="W15" s="51">
        <f t="shared" si="7"/>
        <v>1300</v>
      </c>
      <c r="X15" s="81">
        <f t="shared" si="4"/>
        <v>59490.000000000007</v>
      </c>
      <c r="Y15" s="81" t="e">
        <f>+X15+#REF!</f>
        <v>#REF!</v>
      </c>
      <c r="Z15" s="52">
        <v>1</v>
      </c>
    </row>
    <row r="16" spans="1:36" s="43" customFormat="1" ht="17.399999999999999" x14ac:dyDescent="0.3">
      <c r="A16" s="44">
        <v>10</v>
      </c>
      <c r="B16" s="45">
        <v>31</v>
      </c>
      <c r="C16" s="45">
        <f t="shared" si="8"/>
        <v>178</v>
      </c>
      <c r="D16" s="91"/>
      <c r="E16" s="53" t="s">
        <v>73</v>
      </c>
      <c r="F16" s="47"/>
      <c r="G16" s="47"/>
      <c r="H16" s="47"/>
      <c r="I16" s="48">
        <f t="shared" si="9"/>
        <v>0</v>
      </c>
      <c r="J16" s="49"/>
      <c r="K16" s="50">
        <f t="shared" si="10"/>
        <v>0</v>
      </c>
      <c r="L16" s="48"/>
      <c r="M16" s="65">
        <f>54.2-1.5</f>
        <v>52.7</v>
      </c>
      <c r="N16" s="65">
        <v>6.5</v>
      </c>
      <c r="O16" s="45"/>
      <c r="P16" s="71">
        <f t="shared" si="5"/>
        <v>59.2</v>
      </c>
      <c r="Q16" s="44">
        <v>112200</v>
      </c>
      <c r="R16" s="77">
        <f t="shared" si="6"/>
        <v>66422.400000000009</v>
      </c>
      <c r="S16" s="45">
        <v>1500</v>
      </c>
      <c r="T16" s="45"/>
      <c r="U16" s="45"/>
      <c r="V16" s="45"/>
      <c r="W16" s="51">
        <f t="shared" si="7"/>
        <v>1500</v>
      </c>
      <c r="X16" s="81">
        <f t="shared" si="4"/>
        <v>67922.400000000009</v>
      </c>
      <c r="Y16" s="81" t="e">
        <f>+X16+#REF!</f>
        <v>#REF!</v>
      </c>
      <c r="Z16" s="52"/>
    </row>
    <row r="17" spans="1:26" s="43" customFormat="1" ht="17.399999999999999" x14ac:dyDescent="0.3">
      <c r="A17" s="44">
        <v>11</v>
      </c>
      <c r="B17" s="45">
        <v>31</v>
      </c>
      <c r="C17" s="45">
        <f t="shared" si="8"/>
        <v>179</v>
      </c>
      <c r="D17" s="91"/>
      <c r="E17" s="53" t="s">
        <v>102</v>
      </c>
      <c r="F17" s="47"/>
      <c r="G17" s="47"/>
      <c r="H17" s="47"/>
      <c r="I17" s="48">
        <f t="shared" si="9"/>
        <v>0</v>
      </c>
      <c r="J17" s="49"/>
      <c r="K17" s="50">
        <f t="shared" si="10"/>
        <v>0</v>
      </c>
      <c r="L17" s="48"/>
      <c r="M17" s="65">
        <v>98.2</v>
      </c>
      <c r="N17" s="65">
        <v>6</v>
      </c>
      <c r="O17" s="45">
        <v>98</v>
      </c>
      <c r="P17" s="71">
        <f t="shared" si="5"/>
        <v>6.2000000000000028</v>
      </c>
      <c r="Q17" s="44">
        <v>112200</v>
      </c>
      <c r="R17" s="77">
        <f t="shared" si="6"/>
        <v>6956.4000000000033</v>
      </c>
      <c r="S17" s="45">
        <v>1000</v>
      </c>
      <c r="T17" s="45"/>
      <c r="U17" s="45"/>
      <c r="V17" s="45"/>
      <c r="W17" s="51">
        <f t="shared" si="7"/>
        <v>1000</v>
      </c>
      <c r="X17" s="81">
        <f t="shared" si="4"/>
        <v>7956.4000000000033</v>
      </c>
      <c r="Y17" s="81" t="e">
        <f>+X17+#REF!</f>
        <v>#REF!</v>
      </c>
      <c r="Z17" s="52"/>
    </row>
    <row r="18" spans="1:26" s="43" customFormat="1" ht="18" thickBot="1" x14ac:dyDescent="0.35">
      <c r="A18" s="54"/>
      <c r="B18" s="55"/>
      <c r="C18" s="55"/>
      <c r="D18" s="55"/>
      <c r="E18" s="56" t="s">
        <v>70</v>
      </c>
      <c r="F18" s="55">
        <f>SUM(F6:F17)</f>
        <v>0</v>
      </c>
      <c r="G18" s="55">
        <f>SUM(G6:G17)</f>
        <v>0</v>
      </c>
      <c r="H18" s="55">
        <f>SUM(H6:H17)</f>
        <v>0</v>
      </c>
      <c r="I18" s="57"/>
      <c r="J18" s="55"/>
      <c r="K18" s="57">
        <f ca="1">SUM(K6:K17)</f>
        <v>1054320</v>
      </c>
      <c r="L18" s="57" t="e">
        <f>+#REF!</f>
        <v>#REF!</v>
      </c>
      <c r="M18" s="66">
        <f>SUM(M6:M17)</f>
        <v>521.5</v>
      </c>
      <c r="N18" s="66">
        <f>SUM(N6:N17)</f>
        <v>57.7</v>
      </c>
      <c r="O18" s="55">
        <f>SUM(O6:O17)</f>
        <v>108.8</v>
      </c>
      <c r="P18" s="71">
        <f t="shared" si="5"/>
        <v>470.40000000000003</v>
      </c>
      <c r="Q18" s="54">
        <f>+R18/P18</f>
        <v>1108.9457908163265</v>
      </c>
      <c r="R18" s="78">
        <f t="shared" ref="R18:W18" si="11">SUM(R6:R17)</f>
        <v>521648.1</v>
      </c>
      <c r="S18" s="55">
        <f t="shared" si="11"/>
        <v>11350</v>
      </c>
      <c r="T18" s="55">
        <f t="shared" si="11"/>
        <v>0</v>
      </c>
      <c r="U18" s="55">
        <f t="shared" si="11"/>
        <v>500</v>
      </c>
      <c r="V18" s="55">
        <f t="shared" si="11"/>
        <v>0</v>
      </c>
      <c r="W18" s="57" t="e">
        <f t="shared" si="11"/>
        <v>#VALUE!</v>
      </c>
      <c r="X18" s="54">
        <f>SUM(X8:X17)</f>
        <v>533498.1</v>
      </c>
      <c r="Y18" s="54" t="e">
        <f>SUM(Y6:Y17)</f>
        <v>#VALUE!</v>
      </c>
      <c r="Z18" s="57"/>
    </row>
    <row r="19" spans="1:26" s="43" customFormat="1" ht="18" thickTop="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60"/>
      <c r="N19" s="60"/>
      <c r="O19" s="2"/>
      <c r="P19" s="72"/>
      <c r="Q19" s="1"/>
      <c r="R19" s="79"/>
      <c r="S19" s="2"/>
      <c r="T19" s="2"/>
      <c r="U19" s="2"/>
      <c r="V19" s="2"/>
      <c r="W19" s="3"/>
      <c r="X19" s="82"/>
      <c r="Y19" s="82"/>
      <c r="Z19" s="5"/>
    </row>
    <row r="20" spans="1:26" s="43" customFormat="1" ht="17.399999999999999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60"/>
      <c r="N20" s="60"/>
      <c r="O20" s="2"/>
      <c r="P20" s="72"/>
      <c r="Q20" s="1"/>
      <c r="R20" s="79"/>
      <c r="S20" s="2"/>
      <c r="T20" s="2"/>
      <c r="U20" s="2"/>
      <c r="V20" s="2"/>
      <c r="W20" s="3"/>
      <c r="X20" s="82"/>
      <c r="Y20" s="82"/>
      <c r="Z20" s="5"/>
    </row>
    <row r="21" spans="1:26" s="43" customFormat="1" ht="17.399999999999999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60"/>
      <c r="N21" s="60"/>
      <c r="O21" s="2"/>
      <c r="P21" s="72"/>
      <c r="Q21" s="1"/>
      <c r="R21" s="79"/>
      <c r="S21" s="2"/>
      <c r="T21" s="2"/>
      <c r="U21" s="2"/>
      <c r="V21" s="2"/>
      <c r="W21" s="3"/>
      <c r="X21" s="82"/>
      <c r="Y21" s="82"/>
      <c r="Z21" s="5"/>
    </row>
    <row r="22" spans="1:26" s="43" customFormat="1" ht="17.399999999999999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60"/>
      <c r="N22" s="60"/>
      <c r="O22" s="2"/>
      <c r="P22" s="72"/>
      <c r="Q22" s="1"/>
      <c r="R22" s="79"/>
      <c r="S22" s="2"/>
      <c r="T22" s="2"/>
      <c r="U22" s="2"/>
      <c r="V22" s="2"/>
      <c r="W22" s="3" t="s">
        <v>130</v>
      </c>
      <c r="X22" s="82">
        <v>11363442</v>
      </c>
      <c r="Y22" s="82"/>
      <c r="Z22" s="5"/>
    </row>
    <row r="23" spans="1:26" s="43" customFormat="1" ht="17.399999999999999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60"/>
      <c r="N23" s="60"/>
      <c r="O23" s="2"/>
      <c r="P23" s="72"/>
      <c r="Q23" s="1"/>
      <c r="R23" s="79"/>
      <c r="S23" s="2"/>
      <c r="T23" s="2"/>
      <c r="U23" s="2"/>
      <c r="V23" s="2"/>
      <c r="W23" s="3"/>
      <c r="X23" s="82"/>
      <c r="Y23" s="82"/>
      <c r="Z23" s="5"/>
    </row>
    <row r="24" spans="1:26" s="43" customFormat="1" ht="17.399999999999999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60"/>
      <c r="N24" s="60"/>
      <c r="O24" s="2"/>
      <c r="P24" s="72"/>
      <c r="Q24" s="1"/>
      <c r="R24" s="79"/>
      <c r="S24" s="2"/>
      <c r="T24" s="2"/>
      <c r="U24" s="2"/>
      <c r="V24" s="2"/>
      <c r="W24" s="3"/>
      <c r="X24" s="82"/>
      <c r="Y24" s="82"/>
      <c r="Z24" s="5"/>
    </row>
    <row r="25" spans="1:26" s="43" customFormat="1" ht="17.399999999999999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60"/>
      <c r="N25" s="60"/>
      <c r="O25" s="2"/>
      <c r="P25" s="72"/>
      <c r="Q25" s="1"/>
      <c r="R25" s="79"/>
      <c r="S25" s="2"/>
      <c r="T25" s="2"/>
      <c r="U25" s="2"/>
      <c r="V25" s="2"/>
      <c r="W25" s="3"/>
      <c r="X25" s="82"/>
      <c r="Y25" s="82"/>
      <c r="Z25" s="5"/>
    </row>
    <row r="26" spans="1:26" s="43" customFormat="1" ht="17.399999999999999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60"/>
      <c r="N26" s="60"/>
      <c r="O26" s="2"/>
      <c r="P26" s="72"/>
      <c r="Q26" s="1"/>
      <c r="R26" s="79"/>
      <c r="S26" s="2"/>
      <c r="T26" s="2"/>
      <c r="U26" s="2"/>
      <c r="V26" s="2"/>
      <c r="W26" s="3"/>
      <c r="X26" s="82"/>
      <c r="Y26" s="82"/>
      <c r="Z26" s="5"/>
    </row>
    <row r="27" spans="1:26" s="43" customFormat="1" ht="17.399999999999999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1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1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1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35" s="43" customFormat="1" ht="17.399999999999999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35" s="43" customFormat="1" ht="17.399999999999999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35" s="43" customFormat="1" ht="17.399999999999999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35" s="43" customFormat="1" ht="17.399999999999999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35" s="43" customFormat="1" ht="17.399999999999999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35" s="43" customFormat="1" ht="17.399999999999999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35" s="43" customFormat="1" ht="17.399999999999999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35" s="43" customFormat="1" ht="17.399999999999999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35" s="43" customFormat="1" ht="17.399999999999999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35" s="43" customFormat="1" ht="17.399999999999999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35" s="43" customFormat="1" ht="17.399999999999999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35" s="43" customFormat="1" ht="17.399999999999999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35" s="43" customFormat="1" ht="17.399999999999999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35" s="43" customFormat="1" ht="17.399999999999999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35" s="43" customFormat="1" ht="17.399999999999999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  <c r="AB175" s="58"/>
      <c r="AC175" s="58"/>
      <c r="AD175" s="58"/>
      <c r="AE175" s="58"/>
      <c r="AF175" s="59"/>
      <c r="AG175" s="59"/>
      <c r="AH175" s="59"/>
      <c r="AI175" s="59"/>
    </row>
  </sheetData>
  <mergeCells count="1">
    <mergeCell ref="F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3F06-C84F-4853-91C5-F38C2D940153}">
  <dimension ref="A1:AN186"/>
  <sheetViews>
    <sheetView topLeftCell="A12" zoomScale="87" workbookViewId="0">
      <selection activeCell="K28" sqref="K28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77734375" style="2" bestFit="1" customWidth="1"/>
    <col min="4" max="4" width="18.88671875" style="1" bestFit="1" customWidth="1"/>
    <col min="5" max="5" width="25.6640625" style="2" customWidth="1"/>
    <col min="6" max="6" width="10.6640625" style="2" customWidth="1"/>
    <col min="7" max="7" width="11.44140625" style="2" bestFit="1" customWidth="1"/>
    <col min="8" max="8" width="10.6640625" style="2" customWidth="1"/>
    <col min="9" max="9" width="18.21875" style="2" bestFit="1" customWidth="1"/>
    <col min="10" max="10" width="13" style="2" bestFit="1" customWidth="1"/>
    <col min="11" max="11" width="15.88671875" style="3" bestFit="1" customWidth="1"/>
    <col min="12" max="12" width="13.77734375" style="3" bestFit="1" customWidth="1"/>
    <col min="13" max="13" width="14.21875" style="60" bestFit="1" customWidth="1"/>
    <col min="14" max="14" width="15.109375" style="60" bestFit="1" customWidth="1"/>
    <col min="15" max="15" width="11.5546875" style="2" customWidth="1"/>
    <col min="16" max="16" width="18.109375" style="72" bestFit="1" customWidth="1"/>
    <col min="17" max="17" width="13" style="1" bestFit="1" customWidth="1"/>
    <col min="18" max="18" width="17.109375" style="79" bestFit="1" customWidth="1"/>
    <col min="19" max="19" width="15.5546875" style="2" customWidth="1"/>
    <col min="20" max="20" width="10.21875" style="2" bestFit="1" customWidth="1"/>
    <col min="21" max="22" width="12" style="2" bestFit="1" customWidth="1"/>
    <col min="23" max="23" width="10.6640625" style="3" customWidth="1"/>
    <col min="24" max="24" width="17" style="82" bestFit="1" customWidth="1"/>
    <col min="25" max="25" width="21.441406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 s="1" t="e">
        <f>#REF!</f>
        <v>#REF!</v>
      </c>
      <c r="E1" s="2" t="str">
        <f t="shared" ref="E1:Y1" si="0">E29</f>
        <v>hDdf</v>
      </c>
      <c r="F1" s="2">
        <f t="shared" ref="F1:H1" si="1">+F29</f>
        <v>0</v>
      </c>
      <c r="G1" s="2">
        <f t="shared" si="1"/>
        <v>69.62</v>
      </c>
      <c r="H1" s="2">
        <f t="shared" si="1"/>
        <v>0</v>
      </c>
      <c r="I1" s="2">
        <f>+I29</f>
        <v>69.62</v>
      </c>
      <c r="J1" s="2">
        <f>+J29</f>
        <v>0</v>
      </c>
      <c r="K1" s="2">
        <f ca="1">+K29</f>
        <v>1054320</v>
      </c>
      <c r="L1" s="3" t="e">
        <f>L12:L19</f>
        <v>#VALUE!</v>
      </c>
      <c r="M1" s="60">
        <f t="shared" si="0"/>
        <v>1501.8</v>
      </c>
      <c r="N1" s="60">
        <f t="shared" si="0"/>
        <v>154</v>
      </c>
      <c r="O1" s="2">
        <f t="shared" si="0"/>
        <v>421.3</v>
      </c>
      <c r="P1" s="60">
        <f t="shared" si="0"/>
        <v>1234.5</v>
      </c>
      <c r="Q1" s="1">
        <f t="shared" si="0"/>
        <v>953.52912110166051</v>
      </c>
      <c r="R1" s="1">
        <f t="shared" si="0"/>
        <v>1177131.7</v>
      </c>
      <c r="S1" s="2">
        <f t="shared" si="0"/>
        <v>26100</v>
      </c>
      <c r="T1" s="2">
        <f t="shared" si="0"/>
        <v>0</v>
      </c>
      <c r="U1" s="2">
        <f t="shared" si="0"/>
        <v>1320</v>
      </c>
      <c r="V1" s="2">
        <f t="shared" si="0"/>
        <v>0</v>
      </c>
      <c r="W1" s="2" t="e">
        <f t="shared" si="0"/>
        <v>#VALUE!</v>
      </c>
      <c r="X1" s="1">
        <f t="shared" si="0"/>
        <v>1204551.7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95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96" t="s">
        <v>13</v>
      </c>
      <c r="F3" s="90" t="s">
        <v>132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97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98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39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4"/>
      <c r="E7" s="46"/>
      <c r="F7" s="47"/>
      <c r="G7" s="47"/>
      <c r="H7" s="47"/>
      <c r="I7" s="48">
        <f ca="1">I7:L26=+H7+G7+F7</f>
        <v>0</v>
      </c>
      <c r="J7" s="49"/>
      <c r="K7" s="50">
        <f t="shared" ref="K7:K28" ca="1" si="2">+I7*J7</f>
        <v>0</v>
      </c>
      <c r="L7" s="48"/>
      <c r="M7" s="65"/>
      <c r="N7" s="65"/>
      <c r="O7" s="45"/>
      <c r="P7" s="71">
        <f t="shared" ref="P7" si="3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W8:W15</f>
        <v>#VALUE!</v>
      </c>
      <c r="X7" s="81" t="e">
        <f t="shared" ref="X7:X25" si="4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2</v>
      </c>
      <c r="C8" s="45">
        <v>19</v>
      </c>
      <c r="D8" s="99"/>
      <c r="E8" s="53" t="s">
        <v>78</v>
      </c>
      <c r="F8" s="47"/>
      <c r="G8" s="47"/>
      <c r="H8" s="47"/>
      <c r="I8" s="48">
        <f t="shared" ref="I8:I29" si="5">+H8+G8+F8</f>
        <v>0</v>
      </c>
      <c r="J8" s="49"/>
      <c r="K8" s="50">
        <f t="shared" si="2"/>
        <v>0</v>
      </c>
      <c r="L8" s="48"/>
      <c r="M8" s="65">
        <v>112.3</v>
      </c>
      <c r="N8" s="65">
        <v>6</v>
      </c>
      <c r="O8" s="43">
        <v>88</v>
      </c>
      <c r="P8" s="71">
        <f>N8+M8-O8</f>
        <v>30.299999999999997</v>
      </c>
      <c r="Q8" s="44">
        <v>97100</v>
      </c>
      <c r="R8" s="77">
        <f>SUM(P8*(Q8/100))</f>
        <v>29421.299999999996</v>
      </c>
      <c r="S8" s="45">
        <v>2000</v>
      </c>
      <c r="T8" s="45"/>
      <c r="U8" s="45"/>
      <c r="V8" s="45"/>
      <c r="W8" s="51">
        <f>+S8+T8+U8+V8</f>
        <v>2000</v>
      </c>
      <c r="X8" s="81">
        <f>+R8+W8</f>
        <v>31421.299999999996</v>
      </c>
      <c r="Y8" s="81" t="e">
        <f>+X8+#REF!</f>
        <v>#REF!</v>
      </c>
      <c r="Z8" s="52"/>
    </row>
    <row r="9" spans="1:36" s="43" customFormat="1" ht="17.399999999999999" x14ac:dyDescent="0.3">
      <c r="A9" s="44">
        <v>3</v>
      </c>
      <c r="B9" s="73">
        <v>2</v>
      </c>
      <c r="C9" s="45">
        <f>C8+1</f>
        <v>20</v>
      </c>
      <c r="D9" s="99"/>
      <c r="E9" s="53" t="s">
        <v>74</v>
      </c>
      <c r="F9" s="47"/>
      <c r="G9" s="47"/>
      <c r="H9" s="47"/>
      <c r="I9" s="48">
        <f t="shared" si="5"/>
        <v>0</v>
      </c>
      <c r="J9" s="49"/>
      <c r="K9" s="50">
        <f t="shared" si="2"/>
        <v>0</v>
      </c>
      <c r="L9" s="48"/>
      <c r="M9" s="65">
        <v>100</v>
      </c>
      <c r="N9" s="65">
        <v>10</v>
      </c>
      <c r="O9" s="45">
        <v>40</v>
      </c>
      <c r="P9" s="71">
        <f t="shared" ref="P9:P29" si="6">N9+M9-O9</f>
        <v>70</v>
      </c>
      <c r="Q9" s="44">
        <v>96900</v>
      </c>
      <c r="R9" s="77">
        <f t="shared" ref="R9:R25" si="7">SUM(P9*(Q9/100))</f>
        <v>67830</v>
      </c>
      <c r="S9" s="45">
        <v>1200</v>
      </c>
      <c r="T9" s="45"/>
      <c r="U9" s="45"/>
      <c r="V9" s="45"/>
      <c r="W9" s="51">
        <f t="shared" ref="W9:W25" si="8">+S9+T9+U9+V9</f>
        <v>1200</v>
      </c>
      <c r="X9" s="81">
        <f t="shared" si="4"/>
        <v>69030</v>
      </c>
      <c r="Y9" s="81" t="e">
        <f>+X9+#REF!</f>
        <v>#REF!</v>
      </c>
      <c r="Z9" s="52"/>
    </row>
    <row r="10" spans="1:36" s="43" customFormat="1" ht="17.399999999999999" x14ac:dyDescent="0.3">
      <c r="A10" s="44"/>
      <c r="B10" s="73">
        <v>6</v>
      </c>
      <c r="C10" s="45">
        <v>51</v>
      </c>
      <c r="D10" s="99">
        <v>609820089</v>
      </c>
      <c r="E10" s="53" t="s">
        <v>131</v>
      </c>
      <c r="F10" s="47"/>
      <c r="G10" s="47">
        <v>69.62</v>
      </c>
      <c r="H10" s="47"/>
      <c r="I10" s="48">
        <f t="shared" si="5"/>
        <v>69.62</v>
      </c>
      <c r="J10" s="49">
        <f>81705/10</f>
        <v>8170.5</v>
      </c>
      <c r="K10" s="50">
        <f t="shared" si="2"/>
        <v>568830.21000000008</v>
      </c>
      <c r="L10" s="48"/>
      <c r="M10" s="65"/>
      <c r="N10" s="65"/>
      <c r="O10" s="45"/>
      <c r="P10" s="71"/>
      <c r="Q10" s="44"/>
      <c r="R10" s="77"/>
      <c r="S10" s="45"/>
      <c r="T10" s="45"/>
      <c r="U10" s="45"/>
      <c r="V10" s="45"/>
      <c r="W10" s="51"/>
      <c r="X10" s="81"/>
      <c r="Y10" s="81"/>
      <c r="Z10" s="52"/>
    </row>
    <row r="11" spans="1:36" s="43" customFormat="1" ht="17.399999999999999" x14ac:dyDescent="0.3">
      <c r="A11" s="44">
        <v>4</v>
      </c>
      <c r="B11" s="45">
        <v>7</v>
      </c>
      <c r="C11" s="45">
        <f>C9+1</f>
        <v>21</v>
      </c>
      <c r="D11" s="99"/>
      <c r="E11" s="53" t="s">
        <v>79</v>
      </c>
      <c r="F11" s="47"/>
      <c r="G11" s="47"/>
      <c r="H11" s="47"/>
      <c r="I11" s="48">
        <f t="shared" si="5"/>
        <v>0</v>
      </c>
      <c r="J11" s="49"/>
      <c r="K11" s="50">
        <f t="shared" si="2"/>
        <v>0</v>
      </c>
      <c r="L11" s="48"/>
      <c r="M11" s="65">
        <v>50.8</v>
      </c>
      <c r="N11" s="65">
        <v>6.5</v>
      </c>
      <c r="O11" s="45">
        <v>29.7</v>
      </c>
      <c r="P11" s="71">
        <f t="shared" si="6"/>
        <v>27.599999999999998</v>
      </c>
      <c r="Q11" s="44">
        <v>96100</v>
      </c>
      <c r="R11" s="77">
        <f t="shared" si="7"/>
        <v>26523.599999999999</v>
      </c>
      <c r="S11" s="45">
        <v>1200</v>
      </c>
      <c r="T11" s="45"/>
      <c r="U11" s="45"/>
      <c r="V11" s="45"/>
      <c r="W11" s="51">
        <f t="shared" si="8"/>
        <v>1200</v>
      </c>
      <c r="X11" s="81">
        <f t="shared" si="4"/>
        <v>27723.599999999999</v>
      </c>
      <c r="Y11" s="81" t="e">
        <f>+X11+#REF!</f>
        <v>#REF!</v>
      </c>
      <c r="Z11" s="52">
        <v>1</v>
      </c>
    </row>
    <row r="12" spans="1:36" s="43" customFormat="1" ht="17.399999999999999" x14ac:dyDescent="0.3">
      <c r="A12" s="44">
        <v>5</v>
      </c>
      <c r="B12" s="45">
        <v>7</v>
      </c>
      <c r="C12" s="45">
        <f t="shared" ref="C12:C25" si="9">C11+1</f>
        <v>22</v>
      </c>
      <c r="D12" s="99"/>
      <c r="E12" s="53" t="s">
        <v>79</v>
      </c>
      <c r="F12" s="47"/>
      <c r="G12" s="47"/>
      <c r="H12" s="47"/>
      <c r="I12" s="48">
        <f t="shared" si="5"/>
        <v>0</v>
      </c>
      <c r="J12" s="49"/>
      <c r="K12" s="50">
        <f t="shared" si="2"/>
        <v>0</v>
      </c>
      <c r="L12" s="48"/>
      <c r="M12" s="65">
        <v>50.7</v>
      </c>
      <c r="N12" s="65">
        <v>6.5</v>
      </c>
      <c r="O12" s="45"/>
      <c r="P12" s="71">
        <f t="shared" si="6"/>
        <v>57.2</v>
      </c>
      <c r="Q12" s="44">
        <v>95400</v>
      </c>
      <c r="R12" s="77">
        <f t="shared" si="7"/>
        <v>54568.800000000003</v>
      </c>
      <c r="S12" s="45">
        <v>1200</v>
      </c>
      <c r="T12" s="45"/>
      <c r="U12" s="45"/>
      <c r="V12" s="45"/>
      <c r="W12" s="51">
        <f t="shared" si="8"/>
        <v>1200</v>
      </c>
      <c r="X12" s="81">
        <f t="shared" si="4"/>
        <v>55768.800000000003</v>
      </c>
      <c r="Y12" s="81" t="e">
        <f>+X12+#REF!</f>
        <v>#REF!</v>
      </c>
      <c r="Z12" s="52">
        <v>1</v>
      </c>
    </row>
    <row r="13" spans="1:36" s="43" customFormat="1" ht="17.399999999999999" x14ac:dyDescent="0.3">
      <c r="A13" s="44">
        <v>6</v>
      </c>
      <c r="B13" s="45">
        <v>8</v>
      </c>
      <c r="C13" s="45">
        <f t="shared" si="9"/>
        <v>23</v>
      </c>
      <c r="D13" s="99"/>
      <c r="E13" s="53" t="s">
        <v>80</v>
      </c>
      <c r="F13" s="47"/>
      <c r="G13" s="47"/>
      <c r="H13" s="47"/>
      <c r="I13" s="48">
        <f t="shared" si="5"/>
        <v>0</v>
      </c>
      <c r="J13" s="49"/>
      <c r="K13" s="50">
        <f t="shared" si="2"/>
        <v>0</v>
      </c>
      <c r="L13" s="48"/>
      <c r="M13" s="65">
        <v>50.4</v>
      </c>
      <c r="N13" s="65">
        <v>4</v>
      </c>
      <c r="O13" s="45"/>
      <c r="P13" s="71">
        <f t="shared" si="6"/>
        <v>54.4</v>
      </c>
      <c r="Q13" s="44">
        <v>95500</v>
      </c>
      <c r="R13" s="77">
        <f t="shared" si="7"/>
        <v>51952</v>
      </c>
      <c r="S13" s="45">
        <v>600</v>
      </c>
      <c r="T13" s="45"/>
      <c r="U13" s="45"/>
      <c r="V13" s="45"/>
      <c r="W13" s="51">
        <f t="shared" si="8"/>
        <v>600</v>
      </c>
      <c r="X13" s="81">
        <f t="shared" si="4"/>
        <v>52552</v>
      </c>
      <c r="Y13" s="81" t="e">
        <f>+X13+#REF!</f>
        <v>#REF!</v>
      </c>
      <c r="Z13" s="52"/>
    </row>
    <row r="14" spans="1:36" s="43" customFormat="1" ht="17.399999999999999" x14ac:dyDescent="0.3">
      <c r="A14" s="44">
        <v>7</v>
      </c>
      <c r="B14" s="45">
        <v>12</v>
      </c>
      <c r="C14" s="45">
        <f t="shared" si="9"/>
        <v>24</v>
      </c>
      <c r="D14" s="99"/>
      <c r="E14" s="53" t="s">
        <v>81</v>
      </c>
      <c r="F14" s="47"/>
      <c r="G14" s="47"/>
      <c r="H14" s="47"/>
      <c r="I14" s="48">
        <f t="shared" si="5"/>
        <v>0</v>
      </c>
      <c r="J14" s="49"/>
      <c r="K14" s="50">
        <f t="shared" si="2"/>
        <v>0</v>
      </c>
      <c r="L14" s="48"/>
      <c r="M14" s="65">
        <f>200.3-6-2.6</f>
        <v>191.70000000000002</v>
      </c>
      <c r="N14" s="65">
        <v>20</v>
      </c>
      <c r="O14" s="45">
        <v>200</v>
      </c>
      <c r="P14" s="71">
        <f t="shared" si="6"/>
        <v>11.700000000000017</v>
      </c>
      <c r="Q14" s="44">
        <v>95300</v>
      </c>
      <c r="R14" s="77">
        <f t="shared" si="7"/>
        <v>11150.100000000017</v>
      </c>
      <c r="S14" s="45">
        <v>3000</v>
      </c>
      <c r="T14" s="45"/>
      <c r="U14" s="45">
        <v>1120</v>
      </c>
      <c r="V14" s="45"/>
      <c r="W14" s="51">
        <f t="shared" si="8"/>
        <v>4120</v>
      </c>
      <c r="X14" s="81">
        <f t="shared" si="4"/>
        <v>15270.100000000017</v>
      </c>
      <c r="Y14" s="81" t="e">
        <f>+X14+#REF!</f>
        <v>#REF!</v>
      </c>
      <c r="Z14" s="52"/>
    </row>
    <row r="15" spans="1:36" s="43" customFormat="1" ht="17.399999999999999" x14ac:dyDescent="0.3">
      <c r="A15" s="44">
        <v>8</v>
      </c>
      <c r="B15" s="45">
        <v>13</v>
      </c>
      <c r="C15" s="45">
        <f t="shared" si="9"/>
        <v>25</v>
      </c>
      <c r="D15" s="99"/>
      <c r="E15" s="53" t="s">
        <v>82</v>
      </c>
      <c r="F15" s="47"/>
      <c r="G15" s="47"/>
      <c r="H15" s="47"/>
      <c r="I15" s="48">
        <f t="shared" si="5"/>
        <v>0</v>
      </c>
      <c r="J15" s="49"/>
      <c r="K15" s="50">
        <f t="shared" si="2"/>
        <v>0</v>
      </c>
      <c r="L15" s="48"/>
      <c r="M15" s="65">
        <v>50.1</v>
      </c>
      <c r="N15" s="65">
        <v>6</v>
      </c>
      <c r="O15" s="45"/>
      <c r="P15" s="71">
        <f t="shared" si="6"/>
        <v>56.1</v>
      </c>
      <c r="Q15" s="44">
        <v>95600</v>
      </c>
      <c r="R15" s="77">
        <f t="shared" si="7"/>
        <v>53631.6</v>
      </c>
      <c r="S15" s="45">
        <v>1500</v>
      </c>
      <c r="T15" s="45"/>
      <c r="U15" s="45"/>
      <c r="V15" s="45"/>
      <c r="W15" s="51">
        <f t="shared" si="8"/>
        <v>1500</v>
      </c>
      <c r="X15" s="81">
        <f t="shared" si="4"/>
        <v>55131.6</v>
      </c>
      <c r="Y15" s="81" t="e">
        <f>+X15+#REF!</f>
        <v>#REF!</v>
      </c>
      <c r="Z15" s="52">
        <v>1</v>
      </c>
    </row>
    <row r="16" spans="1:36" s="43" customFormat="1" ht="17.399999999999999" x14ac:dyDescent="0.3">
      <c r="A16" s="44">
        <v>9</v>
      </c>
      <c r="B16" s="45">
        <v>14</v>
      </c>
      <c r="C16" s="45">
        <f t="shared" si="9"/>
        <v>26</v>
      </c>
      <c r="D16" s="99"/>
      <c r="E16" s="53" t="s">
        <v>72</v>
      </c>
      <c r="F16" s="47"/>
      <c r="G16" s="47"/>
      <c r="H16" s="47"/>
      <c r="I16" s="48">
        <f t="shared" si="5"/>
        <v>0</v>
      </c>
      <c r="J16" s="49"/>
      <c r="K16" s="50">
        <f t="shared" si="2"/>
        <v>0</v>
      </c>
      <c r="L16" s="48"/>
      <c r="M16" s="65">
        <v>200.7</v>
      </c>
      <c r="N16" s="65">
        <v>21.5</v>
      </c>
      <c r="O16" s="45"/>
      <c r="P16" s="71">
        <f t="shared" si="6"/>
        <v>222.2</v>
      </c>
      <c r="Q16" s="44">
        <v>97400</v>
      </c>
      <c r="R16" s="77">
        <f t="shared" si="7"/>
        <v>216422.8</v>
      </c>
      <c r="S16" s="45">
        <f>1500+1500</f>
        <v>3000</v>
      </c>
      <c r="T16" s="45"/>
      <c r="U16" s="45"/>
      <c r="V16" s="45"/>
      <c r="W16" s="51">
        <f t="shared" si="8"/>
        <v>3000</v>
      </c>
      <c r="X16" s="81">
        <f t="shared" si="4"/>
        <v>219422.8</v>
      </c>
      <c r="Y16" s="81" t="e">
        <f>+X16+#REF!</f>
        <v>#REF!</v>
      </c>
      <c r="Z16" s="52">
        <v>1</v>
      </c>
    </row>
    <row r="17" spans="1:26" s="43" customFormat="1" ht="17.399999999999999" x14ac:dyDescent="0.3">
      <c r="A17" s="44">
        <v>10</v>
      </c>
      <c r="B17" s="45">
        <v>14</v>
      </c>
      <c r="C17" s="45">
        <f t="shared" si="9"/>
        <v>27</v>
      </c>
      <c r="D17" s="99"/>
      <c r="E17" s="53" t="s">
        <v>73</v>
      </c>
      <c r="F17" s="47"/>
      <c r="G17" s="47"/>
      <c r="H17" s="47"/>
      <c r="I17" s="48">
        <f t="shared" si="5"/>
        <v>0</v>
      </c>
      <c r="J17" s="49"/>
      <c r="K17" s="50">
        <f t="shared" si="2"/>
        <v>0</v>
      </c>
      <c r="L17" s="48"/>
      <c r="M17" s="65">
        <v>52.7</v>
      </c>
      <c r="N17" s="65">
        <v>3</v>
      </c>
      <c r="O17" s="45">
        <v>34</v>
      </c>
      <c r="P17" s="71">
        <f t="shared" si="6"/>
        <v>21.700000000000003</v>
      </c>
      <c r="Q17" s="44">
        <v>95600</v>
      </c>
      <c r="R17" s="77">
        <f t="shared" si="7"/>
        <v>20745.200000000004</v>
      </c>
      <c r="S17" s="45">
        <v>1000</v>
      </c>
      <c r="T17" s="45"/>
      <c r="U17" s="45"/>
      <c r="V17" s="45"/>
      <c r="W17" s="51">
        <f t="shared" si="8"/>
        <v>1000</v>
      </c>
      <c r="X17" s="81">
        <f t="shared" si="4"/>
        <v>21745.200000000004</v>
      </c>
      <c r="Y17" s="81" t="e">
        <f>+X17+#REF!</f>
        <v>#REF!</v>
      </c>
      <c r="Z17" s="52"/>
    </row>
    <row r="18" spans="1:26" s="43" customFormat="1" ht="17.399999999999999" x14ac:dyDescent="0.3">
      <c r="A18" s="44">
        <v>11</v>
      </c>
      <c r="B18" s="45">
        <v>17</v>
      </c>
      <c r="C18" s="45">
        <f t="shared" si="9"/>
        <v>28</v>
      </c>
      <c r="D18" s="99"/>
      <c r="E18" s="53" t="s">
        <v>85</v>
      </c>
      <c r="F18" s="47"/>
      <c r="G18" s="47"/>
      <c r="H18" s="47"/>
      <c r="I18" s="48">
        <f t="shared" si="5"/>
        <v>0</v>
      </c>
      <c r="J18" s="49"/>
      <c r="K18" s="50">
        <f t="shared" si="2"/>
        <v>0</v>
      </c>
      <c r="L18" s="48"/>
      <c r="M18" s="65">
        <v>50.2</v>
      </c>
      <c r="N18" s="65">
        <v>7</v>
      </c>
      <c r="O18" s="45"/>
      <c r="P18" s="71">
        <f t="shared" si="6"/>
        <v>57.2</v>
      </c>
      <c r="Q18" s="44">
        <v>95300</v>
      </c>
      <c r="R18" s="77">
        <f t="shared" si="7"/>
        <v>54511.600000000006</v>
      </c>
      <c r="S18" s="45">
        <v>1200</v>
      </c>
      <c r="T18" s="45"/>
      <c r="U18" s="45">
        <v>200</v>
      </c>
      <c r="V18" s="45"/>
      <c r="W18" s="51">
        <f t="shared" si="8"/>
        <v>1400</v>
      </c>
      <c r="X18" s="81">
        <f t="shared" si="4"/>
        <v>55911.600000000006</v>
      </c>
      <c r="Y18" s="81" t="e">
        <f>+X18+#REF!</f>
        <v>#REF!</v>
      </c>
      <c r="Z18" s="52">
        <v>1</v>
      </c>
    </row>
    <row r="19" spans="1:26" s="43" customFormat="1" ht="17.399999999999999" x14ac:dyDescent="0.3">
      <c r="A19" s="44">
        <v>12</v>
      </c>
      <c r="B19" s="45">
        <v>21</v>
      </c>
      <c r="C19" s="45">
        <f t="shared" si="9"/>
        <v>29</v>
      </c>
      <c r="D19" s="99"/>
      <c r="E19" s="53" t="s">
        <v>78</v>
      </c>
      <c r="F19" s="47"/>
      <c r="G19" s="47"/>
      <c r="H19" s="47"/>
      <c r="I19" s="48">
        <f t="shared" si="5"/>
        <v>0</v>
      </c>
      <c r="J19" s="49"/>
      <c r="K19" s="50">
        <f t="shared" si="2"/>
        <v>0</v>
      </c>
      <c r="L19" s="48"/>
      <c r="M19" s="65">
        <v>108</v>
      </c>
      <c r="N19" s="65">
        <v>6</v>
      </c>
      <c r="O19" s="45"/>
      <c r="P19" s="71">
        <f t="shared" si="6"/>
        <v>114</v>
      </c>
      <c r="Q19" s="44">
        <v>97800</v>
      </c>
      <c r="R19" s="77">
        <f t="shared" si="7"/>
        <v>111492</v>
      </c>
      <c r="S19" s="45">
        <v>2000</v>
      </c>
      <c r="T19" s="45"/>
      <c r="U19" s="45"/>
      <c r="V19" s="45"/>
      <c r="W19" s="51">
        <f t="shared" si="8"/>
        <v>2000</v>
      </c>
      <c r="X19" s="81">
        <f t="shared" si="4"/>
        <v>113492</v>
      </c>
      <c r="Y19" s="81" t="e">
        <f>+X19+#REF!</f>
        <v>#REF!</v>
      </c>
      <c r="Z19" s="52"/>
    </row>
    <row r="20" spans="1:26" s="43" customFormat="1" ht="17.399999999999999" x14ac:dyDescent="0.3">
      <c r="A20" s="44">
        <v>13</v>
      </c>
      <c r="B20" s="45">
        <v>22</v>
      </c>
      <c r="C20" s="45">
        <f t="shared" si="9"/>
        <v>30</v>
      </c>
      <c r="D20" s="99"/>
      <c r="E20" s="53" t="s">
        <v>74</v>
      </c>
      <c r="F20" s="47"/>
      <c r="G20" s="47"/>
      <c r="H20" s="47"/>
      <c r="I20" s="48">
        <f t="shared" si="5"/>
        <v>0</v>
      </c>
      <c r="J20" s="49"/>
      <c r="K20" s="50">
        <f t="shared" si="2"/>
        <v>0</v>
      </c>
      <c r="L20" s="48"/>
      <c r="M20" s="65">
        <v>300</v>
      </c>
      <c r="N20" s="65">
        <v>27</v>
      </c>
      <c r="O20" s="45"/>
      <c r="P20" s="71">
        <f t="shared" si="6"/>
        <v>327</v>
      </c>
      <c r="Q20" s="44">
        <v>93100</v>
      </c>
      <c r="R20" s="77">
        <f t="shared" si="7"/>
        <v>304437</v>
      </c>
      <c r="S20" s="45">
        <v>1500</v>
      </c>
      <c r="T20" s="45"/>
      <c r="U20" s="45"/>
      <c r="V20" s="45"/>
      <c r="W20" s="51">
        <f t="shared" si="8"/>
        <v>1500</v>
      </c>
      <c r="X20" s="81">
        <f t="shared" si="4"/>
        <v>305937</v>
      </c>
      <c r="Y20" s="81" t="e">
        <f>+X20+#REF!</f>
        <v>#REF!</v>
      </c>
      <c r="Z20" s="52"/>
    </row>
    <row r="21" spans="1:26" s="43" customFormat="1" ht="17.399999999999999" x14ac:dyDescent="0.3">
      <c r="A21" s="44">
        <v>14</v>
      </c>
      <c r="B21" s="45">
        <v>22</v>
      </c>
      <c r="C21" s="45">
        <f t="shared" si="9"/>
        <v>31</v>
      </c>
      <c r="D21" s="99"/>
      <c r="E21" s="53" t="s">
        <v>84</v>
      </c>
      <c r="F21" s="47"/>
      <c r="G21" s="47"/>
      <c r="H21" s="47"/>
      <c r="I21" s="48">
        <f t="shared" si="5"/>
        <v>0</v>
      </c>
      <c r="J21" s="49"/>
      <c r="K21" s="50">
        <f t="shared" si="2"/>
        <v>0</v>
      </c>
      <c r="L21" s="48"/>
      <c r="M21" s="65">
        <v>20.2</v>
      </c>
      <c r="N21" s="65">
        <v>2</v>
      </c>
      <c r="O21" s="45"/>
      <c r="P21" s="71">
        <f t="shared" si="6"/>
        <v>22.2</v>
      </c>
      <c r="Q21" s="44">
        <v>93100</v>
      </c>
      <c r="R21" s="77">
        <f t="shared" si="7"/>
        <v>20668.2</v>
      </c>
      <c r="S21" s="45">
        <v>500</v>
      </c>
      <c r="T21" s="45"/>
      <c r="U21" s="45"/>
      <c r="V21" s="45"/>
      <c r="W21" s="51">
        <f t="shared" si="8"/>
        <v>500</v>
      </c>
      <c r="X21" s="81">
        <f t="shared" si="4"/>
        <v>21168.2</v>
      </c>
      <c r="Y21" s="81" t="e">
        <f>+X21+#REF!</f>
        <v>#REF!</v>
      </c>
      <c r="Z21" s="52"/>
    </row>
    <row r="22" spans="1:26" s="43" customFormat="1" ht="17.399999999999999" x14ac:dyDescent="0.3">
      <c r="A22" s="44">
        <v>15</v>
      </c>
      <c r="B22" s="45">
        <v>22</v>
      </c>
      <c r="C22" s="45">
        <f t="shared" si="9"/>
        <v>32</v>
      </c>
      <c r="D22" s="99"/>
      <c r="E22" s="53" t="s">
        <v>84</v>
      </c>
      <c r="F22" s="47"/>
      <c r="G22" s="47"/>
      <c r="H22" s="47"/>
      <c r="I22" s="48">
        <f t="shared" si="5"/>
        <v>0</v>
      </c>
      <c r="J22" s="49"/>
      <c r="K22" s="50">
        <f t="shared" si="2"/>
        <v>0</v>
      </c>
      <c r="L22" s="48"/>
      <c r="M22" s="65">
        <v>20.100000000000001</v>
      </c>
      <c r="N22" s="65">
        <v>2</v>
      </c>
      <c r="O22" s="45"/>
      <c r="P22" s="71">
        <f t="shared" si="6"/>
        <v>22.1</v>
      </c>
      <c r="Q22" s="44">
        <v>93100</v>
      </c>
      <c r="R22" s="77">
        <f t="shared" si="7"/>
        <v>20575.100000000002</v>
      </c>
      <c r="S22" s="45">
        <v>500</v>
      </c>
      <c r="T22" s="45"/>
      <c r="U22" s="45"/>
      <c r="V22" s="45"/>
      <c r="W22" s="51">
        <f t="shared" si="8"/>
        <v>500</v>
      </c>
      <c r="X22" s="81">
        <f t="shared" si="4"/>
        <v>21075.100000000002</v>
      </c>
      <c r="Y22" s="81" t="e">
        <f>+X22+#REF!</f>
        <v>#REF!</v>
      </c>
      <c r="Z22" s="52"/>
    </row>
    <row r="23" spans="1:26" s="43" customFormat="1" ht="17.399999999999999" x14ac:dyDescent="0.3">
      <c r="A23" s="44">
        <v>16</v>
      </c>
      <c r="B23" s="45">
        <v>23</v>
      </c>
      <c r="C23" s="45">
        <f t="shared" si="9"/>
        <v>33</v>
      </c>
      <c r="D23" s="99"/>
      <c r="E23" s="53" t="s">
        <v>77</v>
      </c>
      <c r="F23" s="47"/>
      <c r="G23" s="47"/>
      <c r="H23" s="47"/>
      <c r="I23" s="48">
        <f t="shared" si="5"/>
        <v>0</v>
      </c>
      <c r="J23" s="49"/>
      <c r="K23" s="50">
        <f t="shared" si="2"/>
        <v>0</v>
      </c>
      <c r="L23" s="48"/>
      <c r="M23" s="65">
        <v>25</v>
      </c>
      <c r="N23" s="65">
        <v>5.5</v>
      </c>
      <c r="O23" s="45"/>
      <c r="P23" s="71">
        <f t="shared" si="6"/>
        <v>30.5</v>
      </c>
      <c r="Q23" s="44">
        <v>93800</v>
      </c>
      <c r="R23" s="77">
        <f t="shared" si="7"/>
        <v>28609</v>
      </c>
      <c r="S23" s="45">
        <v>1500</v>
      </c>
      <c r="T23" s="45"/>
      <c r="U23" s="45"/>
      <c r="V23" s="45"/>
      <c r="W23" s="51">
        <f t="shared" si="8"/>
        <v>1500</v>
      </c>
      <c r="X23" s="81">
        <f t="shared" si="4"/>
        <v>30109</v>
      </c>
      <c r="Y23" s="81" t="e">
        <f>+X23+#REF!</f>
        <v>#REF!</v>
      </c>
      <c r="Z23" s="52"/>
    </row>
    <row r="24" spans="1:26" s="43" customFormat="1" ht="17.399999999999999" x14ac:dyDescent="0.3">
      <c r="A24" s="44">
        <v>17</v>
      </c>
      <c r="B24" s="45">
        <v>24</v>
      </c>
      <c r="C24" s="45">
        <f t="shared" si="9"/>
        <v>34</v>
      </c>
      <c r="D24" s="99"/>
      <c r="E24" s="53" t="s">
        <v>77</v>
      </c>
      <c r="F24" s="47"/>
      <c r="G24" s="47"/>
      <c r="H24" s="47"/>
      <c r="I24" s="48">
        <f t="shared" si="5"/>
        <v>0</v>
      </c>
      <c r="J24" s="49"/>
      <c r="K24" s="50">
        <f t="shared" si="2"/>
        <v>0</v>
      </c>
      <c r="L24" s="48"/>
      <c r="M24" s="65">
        <v>29.7</v>
      </c>
      <c r="N24" s="65">
        <v>7</v>
      </c>
      <c r="O24" s="45"/>
      <c r="P24" s="71">
        <f t="shared" si="6"/>
        <v>36.700000000000003</v>
      </c>
      <c r="Q24" s="44">
        <v>93800</v>
      </c>
      <c r="R24" s="77">
        <f t="shared" si="7"/>
        <v>34424.600000000006</v>
      </c>
      <c r="S24" s="45">
        <v>1500</v>
      </c>
      <c r="T24" s="45"/>
      <c r="U24" s="45"/>
      <c r="V24" s="45"/>
      <c r="W24" s="51">
        <f t="shared" si="8"/>
        <v>1500</v>
      </c>
      <c r="X24" s="81">
        <f t="shared" si="4"/>
        <v>35924.600000000006</v>
      </c>
      <c r="Y24" s="81" t="e">
        <f>+X24+#REF!</f>
        <v>#REF!</v>
      </c>
      <c r="Z24" s="52">
        <v>1</v>
      </c>
    </row>
    <row r="25" spans="1:26" s="43" customFormat="1" ht="17.399999999999999" x14ac:dyDescent="0.3">
      <c r="A25" s="44">
        <v>18</v>
      </c>
      <c r="B25" s="45">
        <v>25</v>
      </c>
      <c r="C25" s="45">
        <f t="shared" si="9"/>
        <v>35</v>
      </c>
      <c r="D25" s="99"/>
      <c r="E25" s="53" t="s">
        <v>76</v>
      </c>
      <c r="F25" s="47"/>
      <c r="G25" s="47"/>
      <c r="H25" s="47"/>
      <c r="I25" s="48">
        <f t="shared" si="5"/>
        <v>0</v>
      </c>
      <c r="J25" s="49"/>
      <c r="K25" s="50">
        <f t="shared" si="2"/>
        <v>0</v>
      </c>
      <c r="L25" s="48"/>
      <c r="M25" s="65">
        <v>49.6</v>
      </c>
      <c r="N25" s="65">
        <v>7</v>
      </c>
      <c r="O25" s="45"/>
      <c r="P25" s="71">
        <f t="shared" si="6"/>
        <v>56.6</v>
      </c>
      <c r="Q25" s="44">
        <v>95800</v>
      </c>
      <c r="R25" s="77">
        <f t="shared" si="7"/>
        <v>54222.8</v>
      </c>
      <c r="S25" s="45">
        <v>1200</v>
      </c>
      <c r="T25" s="45"/>
      <c r="U25" s="45"/>
      <c r="V25" s="45"/>
      <c r="W25" s="51">
        <f t="shared" si="8"/>
        <v>1200</v>
      </c>
      <c r="X25" s="81">
        <f t="shared" si="4"/>
        <v>55422.8</v>
      </c>
      <c r="Y25" s="81" t="e">
        <f>+X25+#REF!</f>
        <v>#REF!</v>
      </c>
      <c r="Z25" s="52">
        <v>1</v>
      </c>
    </row>
    <row r="26" spans="1:26" s="43" customFormat="1" ht="17.399999999999999" x14ac:dyDescent="0.3">
      <c r="A26" s="44">
        <v>19</v>
      </c>
      <c r="B26" s="45">
        <v>26</v>
      </c>
      <c r="C26" s="45">
        <f>C25+1</f>
        <v>36</v>
      </c>
      <c r="D26" s="99" t="s">
        <v>121</v>
      </c>
      <c r="E26" s="53" t="s">
        <v>85</v>
      </c>
      <c r="F26" s="47"/>
      <c r="G26" s="47"/>
      <c r="H26" s="47"/>
      <c r="I26" s="48">
        <f t="shared" si="5"/>
        <v>0</v>
      </c>
      <c r="J26" s="49"/>
      <c r="K26" s="50">
        <f t="shared" si="2"/>
        <v>0</v>
      </c>
      <c r="L26" s="48"/>
      <c r="M26" s="65">
        <v>39.6</v>
      </c>
      <c r="N26" s="65">
        <v>7</v>
      </c>
      <c r="O26" s="45">
        <v>29.6</v>
      </c>
      <c r="P26" s="71">
        <f>N26+M26-O26</f>
        <v>17</v>
      </c>
      <c r="Q26" s="44">
        <v>93800</v>
      </c>
      <c r="R26" s="77">
        <f>SUM(P26*(Q26/100))</f>
        <v>15946</v>
      </c>
      <c r="S26" s="45">
        <v>1500</v>
      </c>
      <c r="T26" s="45"/>
      <c r="U26" s="45"/>
      <c r="V26" s="45"/>
      <c r="W26" s="51">
        <f>+S26+T26+U26+V26</f>
        <v>1500</v>
      </c>
      <c r="X26" s="81">
        <f>+R26+W26</f>
        <v>17446</v>
      </c>
      <c r="Y26" s="81" t="e">
        <f>+X26+#REF!</f>
        <v>#REF!</v>
      </c>
      <c r="Z26" s="52"/>
    </row>
    <row r="27" spans="1:26" s="43" customFormat="1" ht="17.399999999999999" x14ac:dyDescent="0.3">
      <c r="A27" s="44">
        <v>20</v>
      </c>
      <c r="C27" s="45">
        <f>C26+1</f>
        <v>37</v>
      </c>
      <c r="D27" s="100" t="s">
        <v>124</v>
      </c>
      <c r="E27" s="86"/>
      <c r="F27" s="87"/>
      <c r="G27" s="87"/>
      <c r="H27" s="87"/>
      <c r="I27" s="48">
        <f t="shared" si="5"/>
        <v>0</v>
      </c>
      <c r="J27" s="89"/>
      <c r="K27" s="50">
        <f t="shared" si="2"/>
        <v>0</v>
      </c>
      <c r="L27" s="88"/>
      <c r="M27" s="65"/>
      <c r="N27" s="65"/>
      <c r="P27" s="71">
        <f t="shared" ref="P27" si="10">N27+M27-O27</f>
        <v>0</v>
      </c>
      <c r="Q27" s="85"/>
      <c r="R27" s="77">
        <f t="shared" ref="R27" si="11">SUM(P27*(Q27/100))</f>
        <v>0</v>
      </c>
      <c r="W27" s="51">
        <f t="shared" ref="W27" si="12">+S27+T27+U27+V27</f>
        <v>0</v>
      </c>
      <c r="X27" s="81">
        <f t="shared" ref="X27" si="13">+R27+W27</f>
        <v>0</v>
      </c>
      <c r="Y27" s="81" t="e">
        <f>+X27+#REF!</f>
        <v>#REF!</v>
      </c>
      <c r="Z27" s="52"/>
    </row>
    <row r="28" spans="1:26" s="43" customFormat="1" ht="17.399999999999999" x14ac:dyDescent="0.3">
      <c r="A28" s="102"/>
      <c r="B28" s="43">
        <v>30</v>
      </c>
      <c r="C28" s="101">
        <v>6</v>
      </c>
      <c r="D28" s="100">
        <v>606892971</v>
      </c>
      <c r="E28" s="86" t="s">
        <v>133</v>
      </c>
      <c r="F28" s="87"/>
      <c r="G28" s="87">
        <v>68.89</v>
      </c>
      <c r="H28" s="87"/>
      <c r="I28" s="48">
        <v>69.89</v>
      </c>
      <c r="J28" s="89">
        <f>79305/10</f>
        <v>7930.5</v>
      </c>
      <c r="K28" s="50">
        <f t="shared" si="2"/>
        <v>554262.64500000002</v>
      </c>
      <c r="L28" s="88"/>
      <c r="M28" s="103"/>
      <c r="N28" s="103"/>
      <c r="P28" s="71"/>
      <c r="Q28" s="85"/>
      <c r="R28" s="104"/>
      <c r="W28" s="105"/>
      <c r="X28" s="106"/>
      <c r="Y28" s="106"/>
      <c r="Z28" s="107"/>
    </row>
    <row r="29" spans="1:26" s="43" customFormat="1" ht="18" thickBot="1" x14ac:dyDescent="0.35">
      <c r="A29" s="54"/>
      <c r="B29" s="55"/>
      <c r="C29" s="55"/>
      <c r="D29" s="54"/>
      <c r="E29" s="56" t="s">
        <v>70</v>
      </c>
      <c r="F29" s="55">
        <f>SUM(F6:F26)</f>
        <v>0</v>
      </c>
      <c r="G29" s="55">
        <f>SUM(G6:G26)</f>
        <v>69.62</v>
      </c>
      <c r="H29" s="55">
        <f>SUM(H6:H26)</f>
        <v>0</v>
      </c>
      <c r="I29" s="48">
        <f t="shared" si="5"/>
        <v>69.62</v>
      </c>
      <c r="J29" s="55"/>
      <c r="K29" s="57">
        <f ca="1">SUM(K6:K26)</f>
        <v>1054320</v>
      </c>
      <c r="L29" s="57" t="e">
        <f>+#REF!</f>
        <v>#REF!</v>
      </c>
      <c r="M29" s="66">
        <f>SUM(M6:M26)</f>
        <v>1501.8</v>
      </c>
      <c r="N29" s="66">
        <f>SUM(N6:N26)</f>
        <v>154</v>
      </c>
      <c r="O29" s="55">
        <f>SUM(O6:O26)</f>
        <v>421.3</v>
      </c>
      <c r="P29" s="71">
        <f t="shared" si="6"/>
        <v>1234.5</v>
      </c>
      <c r="Q29" s="54">
        <f>+R29/P29</f>
        <v>953.52912110166051</v>
      </c>
      <c r="R29" s="78">
        <f t="shared" ref="R29:Y29" si="14">SUM(R6:R26)</f>
        <v>1177131.7</v>
      </c>
      <c r="S29" s="55">
        <f t="shared" si="14"/>
        <v>26100</v>
      </c>
      <c r="T29" s="55">
        <f t="shared" si="14"/>
        <v>0</v>
      </c>
      <c r="U29" s="55">
        <f t="shared" si="14"/>
        <v>1320</v>
      </c>
      <c r="V29" s="55">
        <f t="shared" si="14"/>
        <v>0</v>
      </c>
      <c r="W29" s="57" t="e">
        <f t="shared" si="14"/>
        <v>#VALUE!</v>
      </c>
      <c r="X29" s="54">
        <f>SUM(X8:X26)</f>
        <v>1204551.7</v>
      </c>
      <c r="Y29" s="54" t="e">
        <f t="shared" si="14"/>
        <v>#VALUE!</v>
      </c>
      <c r="Z29" s="57"/>
    </row>
    <row r="30" spans="1:26" s="43" customFormat="1" ht="18" thickTop="1" x14ac:dyDescent="0.3">
      <c r="A30" s="1"/>
      <c r="B30" s="2"/>
      <c r="C30" s="2"/>
      <c r="D30" s="1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1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1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1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1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1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1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1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1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1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1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1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1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1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1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1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1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1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1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1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1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1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1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1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1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1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1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1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1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1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1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1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1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1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1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1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1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1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1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1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1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1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1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1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1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1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1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1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1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1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1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1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1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1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1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1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1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1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1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1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1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1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1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1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1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1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1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1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1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1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1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1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1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1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1"/>
      <c r="R180" s="79"/>
      <c r="S180" s="2"/>
      <c r="T180" s="2"/>
      <c r="U180" s="2"/>
      <c r="V180" s="2"/>
      <c r="W180" s="3"/>
      <c r="X180" s="82"/>
      <c r="Y180" s="82"/>
      <c r="Z180" s="5"/>
    </row>
    <row r="181" spans="1:35" s="43" customFormat="1" ht="17.399999999999999" x14ac:dyDescent="0.3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3"/>
      <c r="L181" s="3"/>
      <c r="M181" s="60"/>
      <c r="N181" s="60"/>
      <c r="O181" s="2"/>
      <c r="P181" s="72"/>
      <c r="Q181" s="1"/>
      <c r="R181" s="79"/>
      <c r="S181" s="2"/>
      <c r="T181" s="2"/>
      <c r="U181" s="2"/>
      <c r="V181" s="2"/>
      <c r="W181" s="3"/>
      <c r="X181" s="82"/>
      <c r="Y181" s="82"/>
      <c r="Z181" s="5"/>
    </row>
    <row r="182" spans="1:35" s="43" customFormat="1" ht="17.399999999999999" x14ac:dyDescent="0.3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3"/>
      <c r="L182" s="3"/>
      <c r="M182" s="60"/>
      <c r="N182" s="60"/>
      <c r="O182" s="2"/>
      <c r="P182" s="72"/>
      <c r="Q182" s="1"/>
      <c r="R182" s="79"/>
      <c r="S182" s="2"/>
      <c r="T182" s="2"/>
      <c r="U182" s="2"/>
      <c r="V182" s="2"/>
      <c r="W182" s="3"/>
      <c r="X182" s="82"/>
      <c r="Y182" s="82"/>
      <c r="Z182" s="5"/>
    </row>
    <row r="183" spans="1:35" s="43" customFormat="1" ht="17.399999999999999" x14ac:dyDescent="0.3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3"/>
      <c r="L183" s="3"/>
      <c r="M183" s="60"/>
      <c r="N183" s="60"/>
      <c r="O183" s="2"/>
      <c r="P183" s="72"/>
      <c r="Q183" s="1"/>
      <c r="R183" s="79"/>
      <c r="S183" s="2"/>
      <c r="T183" s="2"/>
      <c r="U183" s="2"/>
      <c r="V183" s="2"/>
      <c r="W183" s="3"/>
      <c r="X183" s="82"/>
      <c r="Y183" s="82"/>
      <c r="Z183" s="5"/>
    </row>
    <row r="184" spans="1:35" s="43" customFormat="1" ht="17.399999999999999" x14ac:dyDescent="0.3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3"/>
      <c r="L184" s="3"/>
      <c r="M184" s="60"/>
      <c r="N184" s="60"/>
      <c r="O184" s="2"/>
      <c r="P184" s="72"/>
      <c r="Q184" s="1"/>
      <c r="R184" s="79"/>
      <c r="S184" s="2"/>
      <c r="T184" s="2"/>
      <c r="U184" s="2"/>
      <c r="V184" s="2"/>
      <c r="W184" s="3"/>
      <c r="X184" s="82"/>
      <c r="Y184" s="82"/>
      <c r="Z184" s="5"/>
    </row>
    <row r="185" spans="1:35" s="43" customFormat="1" ht="17.399999999999999" x14ac:dyDescent="0.3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3"/>
      <c r="L185" s="3"/>
      <c r="M185" s="60"/>
      <c r="N185" s="60"/>
      <c r="O185" s="2"/>
      <c r="P185" s="72"/>
      <c r="Q185" s="1"/>
      <c r="R185" s="79"/>
      <c r="S185" s="2"/>
      <c r="T185" s="2"/>
      <c r="U185" s="2"/>
      <c r="V185" s="2"/>
      <c r="W185" s="3"/>
      <c r="X185" s="82"/>
      <c r="Y185" s="82"/>
      <c r="Z185" s="5"/>
    </row>
    <row r="186" spans="1:35" s="43" customFormat="1" ht="17.399999999999999" x14ac:dyDescent="0.3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3"/>
      <c r="L186" s="3"/>
      <c r="M186" s="60"/>
      <c r="N186" s="60"/>
      <c r="O186" s="2"/>
      <c r="P186" s="72"/>
      <c r="Q186" s="1"/>
      <c r="R186" s="79"/>
      <c r="S186" s="2"/>
      <c r="T186" s="2"/>
      <c r="U186" s="2"/>
      <c r="V186" s="2"/>
      <c r="W186" s="3"/>
      <c r="X186" s="82"/>
      <c r="Y186" s="82"/>
      <c r="Z186" s="5"/>
      <c r="AB186" s="58"/>
      <c r="AC186" s="58"/>
      <c r="AD186" s="58"/>
      <c r="AE186" s="58"/>
      <c r="AF186" s="59"/>
      <c r="AG186" s="59"/>
      <c r="AH186" s="59"/>
      <c r="AI186" s="59"/>
    </row>
  </sheetData>
  <mergeCells count="1">
    <mergeCell ref="F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0626-DE87-4C05-86E2-0907DCAD11BC}">
  <dimension ref="A1:AN182"/>
  <sheetViews>
    <sheetView topLeftCell="O7" workbookViewId="0">
      <selection activeCell="X25" sqref="X25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6640625" style="2" bestFit="1" customWidth="1"/>
    <col min="4" max="4" width="10" style="2" bestFit="1" customWidth="1"/>
    <col min="5" max="5" width="13.5546875" style="2" bestFit="1" customWidth="1"/>
    <col min="6" max="6" width="10.6640625" style="2" customWidth="1"/>
    <col min="7" max="7" width="11.33203125" style="2" bestFit="1" customWidth="1"/>
    <col min="8" max="8" width="10.6640625" style="2" customWidth="1"/>
    <col min="9" max="9" width="18.109375" style="2" bestFit="1" customWidth="1"/>
    <col min="10" max="10" width="12.88671875" style="2" bestFit="1" customWidth="1"/>
    <col min="11" max="11" width="15.33203125" style="3" bestFit="1" customWidth="1"/>
    <col min="12" max="12" width="13.6640625" style="3" bestFit="1" customWidth="1"/>
    <col min="13" max="13" width="14.109375" style="60" bestFit="1" customWidth="1"/>
    <col min="14" max="14" width="15" style="60" bestFit="1" customWidth="1"/>
    <col min="15" max="15" width="11.5546875" style="2" customWidth="1"/>
    <col min="16" max="16" width="18" style="72" bestFit="1" customWidth="1"/>
    <col min="17" max="17" width="12.88671875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 s="1" t="e">
        <f>#REF!</f>
        <v>#REF!</v>
      </c>
      <c r="E1" s="2" t="str">
        <f t="shared" ref="E1:Y1" si="0">E25</f>
        <v>hDdf</v>
      </c>
      <c r="F1" s="2">
        <f t="shared" ref="F1:H1" si="1">+F25</f>
        <v>0</v>
      </c>
      <c r="G1" s="2">
        <f t="shared" si="1"/>
        <v>0</v>
      </c>
      <c r="H1" s="2">
        <f t="shared" si="1"/>
        <v>0</v>
      </c>
      <c r="I1" s="2">
        <f>+I25</f>
        <v>0</v>
      </c>
      <c r="J1" s="2">
        <f>+J25</f>
        <v>0</v>
      </c>
      <c r="K1" s="2">
        <f ca="1">+K25</f>
        <v>1054320</v>
      </c>
      <c r="L1" s="3" t="e">
        <f>L11:L18</f>
        <v>#VALUE!</v>
      </c>
      <c r="M1" s="60">
        <f t="shared" si="0"/>
        <v>1142.8</v>
      </c>
      <c r="N1" s="60">
        <f t="shared" si="0"/>
        <v>147</v>
      </c>
      <c r="O1" s="2">
        <f t="shared" si="0"/>
        <v>276</v>
      </c>
      <c r="P1" s="60">
        <f t="shared" si="0"/>
        <v>1013.8</v>
      </c>
      <c r="Q1" s="1">
        <f t="shared" si="0"/>
        <v>934.36762675083844</v>
      </c>
      <c r="R1" s="1">
        <f t="shared" si="0"/>
        <v>947261.9</v>
      </c>
      <c r="S1" s="2">
        <f t="shared" si="0"/>
        <v>28700</v>
      </c>
      <c r="T1" s="2">
        <f t="shared" si="0"/>
        <v>2500</v>
      </c>
      <c r="U1" s="2">
        <f t="shared" si="0"/>
        <v>2860</v>
      </c>
      <c r="V1" s="2">
        <f t="shared" si="0"/>
        <v>0</v>
      </c>
      <c r="W1" s="2" t="e">
        <f t="shared" si="0"/>
        <v>#VALUE!</v>
      </c>
      <c r="X1" s="1">
        <f t="shared" si="0"/>
        <v>981321.9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7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10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15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29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40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5"/>
      <c r="E7" s="46"/>
      <c r="F7" s="47"/>
      <c r="G7" s="47"/>
      <c r="H7" s="47"/>
      <c r="I7" s="48">
        <f ca="1">I7:L24=+H7+G7+F7</f>
        <v>0</v>
      </c>
      <c r="J7" s="49"/>
      <c r="K7" s="50">
        <f t="shared" ref="K7:K8" ca="1" si="2">+I7*J7</f>
        <v>0</v>
      </c>
      <c r="L7" s="48"/>
      <c r="M7" s="65"/>
      <c r="N7" s="65"/>
      <c r="O7" s="45"/>
      <c r="P7" s="71">
        <f t="shared" ref="P7" si="3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W8:W14</f>
        <v>#VALUE!</v>
      </c>
      <c r="X7" s="81" t="e">
        <f t="shared" ref="X7:X24" si="4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1</v>
      </c>
      <c r="C8" s="45">
        <v>38</v>
      </c>
      <c r="D8" s="45"/>
      <c r="E8" s="53" t="s">
        <v>86</v>
      </c>
      <c r="F8" s="47"/>
      <c r="G8" s="47"/>
      <c r="H8" s="47"/>
      <c r="I8" s="48">
        <f t="shared" ref="I8:I24" si="5">+H8+G8+F8</f>
        <v>0</v>
      </c>
      <c r="J8" s="49"/>
      <c r="K8" s="50">
        <f t="shared" si="2"/>
        <v>0</v>
      </c>
      <c r="L8" s="48"/>
      <c r="M8" s="65">
        <f>19+18.5+18.8</f>
        <v>56.3</v>
      </c>
      <c r="N8" s="65">
        <v>15</v>
      </c>
      <c r="P8" s="71">
        <f>N8+M8-O8</f>
        <v>71.3</v>
      </c>
      <c r="Q8" s="44">
        <v>95300</v>
      </c>
      <c r="R8" s="77">
        <f>SUM(P8*(Q8/100))</f>
        <v>67948.899999999994</v>
      </c>
      <c r="S8" s="45">
        <v>4500</v>
      </c>
      <c r="T8" s="45"/>
      <c r="U8" s="45"/>
      <c r="V8" s="45"/>
      <c r="W8" s="51">
        <f>+S8+T8+U8+V8</f>
        <v>4500</v>
      </c>
      <c r="X8" s="81">
        <f>+R8+W8</f>
        <v>72448.899999999994</v>
      </c>
      <c r="Y8" s="81" t="e">
        <f>+X8+#REF!</f>
        <v>#REF!</v>
      </c>
      <c r="Z8" s="52">
        <v>1</v>
      </c>
    </row>
    <row r="9" spans="1:36" s="43" customFormat="1" ht="17.399999999999999" x14ac:dyDescent="0.3">
      <c r="A9" s="44">
        <v>3</v>
      </c>
      <c r="B9" s="73">
        <v>2</v>
      </c>
      <c r="C9" s="45">
        <f>C8+1</f>
        <v>39</v>
      </c>
      <c r="D9" s="45"/>
      <c r="E9" s="53" t="s">
        <v>74</v>
      </c>
      <c r="F9" s="47"/>
      <c r="G9" s="47"/>
      <c r="H9" s="47"/>
      <c r="I9" s="48"/>
      <c r="J9" s="49"/>
      <c r="K9" s="50">
        <f>+I9*J9</f>
        <v>0</v>
      </c>
      <c r="L9" s="48"/>
      <c r="M9" s="65">
        <f>50.3-1.5</f>
        <v>48.8</v>
      </c>
      <c r="N9" s="65">
        <v>7</v>
      </c>
      <c r="O9" s="45"/>
      <c r="P9" s="71">
        <f t="shared" ref="P9:P25" si="6">N9+M9-O9</f>
        <v>55.8</v>
      </c>
      <c r="Q9" s="44">
        <v>91500</v>
      </c>
      <c r="R9" s="77">
        <f t="shared" ref="R9:R24" si="7">SUM(P9*(Q9/100))</f>
        <v>51057</v>
      </c>
      <c r="S9" s="45">
        <v>1500</v>
      </c>
      <c r="T9" s="45"/>
      <c r="U9" s="45"/>
      <c r="V9" s="45"/>
      <c r="W9" s="51">
        <f t="shared" ref="W9:W24" si="8">+S9+T9+U9+V9</f>
        <v>1500</v>
      </c>
      <c r="X9" s="81">
        <f t="shared" si="4"/>
        <v>52557</v>
      </c>
      <c r="Y9" s="81" t="e">
        <f>+X9+#REF!</f>
        <v>#REF!</v>
      </c>
      <c r="Z9" s="52"/>
    </row>
    <row r="10" spans="1:36" s="43" customFormat="1" ht="17.399999999999999" x14ac:dyDescent="0.3">
      <c r="A10" s="44">
        <v>4</v>
      </c>
      <c r="B10" s="45">
        <v>2</v>
      </c>
      <c r="C10" s="45">
        <f t="shared" ref="C10:C24" si="9">C9+1</f>
        <v>40</v>
      </c>
      <c r="D10" s="45"/>
      <c r="E10" s="53" t="s">
        <v>79</v>
      </c>
      <c r="F10" s="47"/>
      <c r="G10" s="47"/>
      <c r="H10" s="47"/>
      <c r="I10" s="48">
        <f t="shared" si="5"/>
        <v>0</v>
      </c>
      <c r="J10" s="49"/>
      <c r="K10" s="50">
        <f t="shared" ref="K10:K24" si="10">+I10*J10</f>
        <v>0</v>
      </c>
      <c r="L10" s="48"/>
      <c r="M10" s="65">
        <v>51.6</v>
      </c>
      <c r="N10" s="65">
        <v>6</v>
      </c>
      <c r="O10" s="45"/>
      <c r="P10" s="71">
        <f t="shared" si="6"/>
        <v>57.6</v>
      </c>
      <c r="Q10" s="44">
        <v>91500</v>
      </c>
      <c r="R10" s="77">
        <f t="shared" si="7"/>
        <v>52704</v>
      </c>
      <c r="S10" s="45">
        <v>1500</v>
      </c>
      <c r="T10" s="45"/>
      <c r="U10" s="45"/>
      <c r="V10" s="45"/>
      <c r="W10" s="51">
        <f t="shared" si="8"/>
        <v>1500</v>
      </c>
      <c r="X10" s="81">
        <f t="shared" si="4"/>
        <v>54204</v>
      </c>
      <c r="Y10" s="81" t="e">
        <f>+X10+#REF!</f>
        <v>#REF!</v>
      </c>
      <c r="Z10" s="52"/>
    </row>
    <row r="11" spans="1:36" s="43" customFormat="1" ht="17.399999999999999" x14ac:dyDescent="0.3">
      <c r="A11" s="44">
        <v>5</v>
      </c>
      <c r="B11" s="45">
        <v>3</v>
      </c>
      <c r="C11" s="45">
        <f t="shared" si="9"/>
        <v>41</v>
      </c>
      <c r="D11" s="45"/>
      <c r="E11" s="53" t="s">
        <v>88</v>
      </c>
      <c r="F11" s="47"/>
      <c r="G11" s="47"/>
      <c r="H11" s="47"/>
      <c r="I11" s="48">
        <f t="shared" si="5"/>
        <v>0</v>
      </c>
      <c r="J11" s="49"/>
      <c r="K11" s="50">
        <f t="shared" si="10"/>
        <v>0</v>
      </c>
      <c r="L11" s="48"/>
      <c r="M11" s="65">
        <v>49.6</v>
      </c>
      <c r="N11" s="65">
        <v>8</v>
      </c>
      <c r="O11" s="45"/>
      <c r="P11" s="71">
        <f t="shared" si="6"/>
        <v>57.6</v>
      </c>
      <c r="Q11" s="44">
        <v>93500</v>
      </c>
      <c r="R11" s="77">
        <f t="shared" si="7"/>
        <v>53856</v>
      </c>
      <c r="S11" s="45">
        <v>1500</v>
      </c>
      <c r="T11" s="45"/>
      <c r="U11" s="45"/>
      <c r="V11" s="45"/>
      <c r="W11" s="51">
        <f t="shared" si="8"/>
        <v>1500</v>
      </c>
      <c r="X11" s="81">
        <f t="shared" si="4"/>
        <v>55356</v>
      </c>
      <c r="Y11" s="81" t="e">
        <f>+X11+#REF!</f>
        <v>#REF!</v>
      </c>
      <c r="Z11" s="52"/>
    </row>
    <row r="12" spans="1:36" s="43" customFormat="1" ht="17.399999999999999" x14ac:dyDescent="0.3">
      <c r="A12" s="44">
        <v>6</v>
      </c>
      <c r="B12" s="45">
        <v>6</v>
      </c>
      <c r="C12" s="45">
        <f t="shared" si="9"/>
        <v>42</v>
      </c>
      <c r="D12" s="45"/>
      <c r="E12" s="53" t="s">
        <v>87</v>
      </c>
      <c r="F12" s="47"/>
      <c r="G12" s="47"/>
      <c r="H12" s="47"/>
      <c r="I12" s="48">
        <f t="shared" si="5"/>
        <v>0</v>
      </c>
      <c r="J12" s="49"/>
      <c r="K12" s="50">
        <f t="shared" si="10"/>
        <v>0</v>
      </c>
      <c r="L12" s="48"/>
      <c r="M12" s="65">
        <v>82.8</v>
      </c>
      <c r="N12" s="65">
        <v>8</v>
      </c>
      <c r="O12" s="45"/>
      <c r="P12" s="71">
        <f t="shared" si="6"/>
        <v>90.8</v>
      </c>
      <c r="Q12" s="44">
        <v>93000</v>
      </c>
      <c r="R12" s="77">
        <f t="shared" si="7"/>
        <v>84444</v>
      </c>
      <c r="S12" s="45">
        <v>1500</v>
      </c>
      <c r="T12" s="45"/>
      <c r="U12" s="45"/>
      <c r="V12" s="45"/>
      <c r="W12" s="51">
        <f t="shared" si="8"/>
        <v>1500</v>
      </c>
      <c r="X12" s="81">
        <f t="shared" si="4"/>
        <v>85944</v>
      </c>
      <c r="Y12" s="81" t="e">
        <f>+X12+#REF!</f>
        <v>#REF!</v>
      </c>
      <c r="Z12" s="52"/>
    </row>
    <row r="13" spans="1:36" s="43" customFormat="1" ht="17.399999999999999" x14ac:dyDescent="0.3">
      <c r="A13" s="44">
        <v>7</v>
      </c>
      <c r="B13" s="45">
        <v>7</v>
      </c>
      <c r="C13" s="45">
        <f t="shared" si="9"/>
        <v>43</v>
      </c>
      <c r="D13" s="45"/>
      <c r="E13" s="53" t="s">
        <v>89</v>
      </c>
      <c r="F13" s="47"/>
      <c r="G13" s="47"/>
      <c r="H13" s="47"/>
      <c r="I13" s="48">
        <f t="shared" si="5"/>
        <v>0</v>
      </c>
      <c r="J13" s="49"/>
      <c r="K13" s="50">
        <f t="shared" si="10"/>
        <v>0</v>
      </c>
      <c r="L13" s="48"/>
      <c r="M13" s="65">
        <v>109.7</v>
      </c>
      <c r="N13" s="65">
        <v>8</v>
      </c>
      <c r="O13" s="45"/>
      <c r="P13" s="71">
        <f t="shared" si="6"/>
        <v>117.7</v>
      </c>
      <c r="Q13" s="44">
        <v>93800</v>
      </c>
      <c r="R13" s="77">
        <f t="shared" si="7"/>
        <v>110402.6</v>
      </c>
      <c r="S13" s="45">
        <v>2000</v>
      </c>
      <c r="T13" s="45"/>
      <c r="U13" s="45"/>
      <c r="V13" s="45"/>
      <c r="W13" s="51">
        <f t="shared" si="8"/>
        <v>2000</v>
      </c>
      <c r="X13" s="81">
        <f t="shared" si="4"/>
        <v>112402.6</v>
      </c>
      <c r="Y13" s="81" t="e">
        <f>+X13+#REF!</f>
        <v>#REF!</v>
      </c>
      <c r="Z13" s="52">
        <v>1</v>
      </c>
    </row>
    <row r="14" spans="1:36" s="43" customFormat="1" ht="17.399999999999999" x14ac:dyDescent="0.3">
      <c r="A14" s="44">
        <v>8</v>
      </c>
      <c r="B14" s="45">
        <v>11</v>
      </c>
      <c r="C14" s="45">
        <f t="shared" si="9"/>
        <v>44</v>
      </c>
      <c r="D14" s="91" t="s">
        <v>121</v>
      </c>
      <c r="E14" s="53" t="s">
        <v>74</v>
      </c>
      <c r="F14" s="47"/>
      <c r="G14" s="47"/>
      <c r="H14" s="47"/>
      <c r="I14" s="48">
        <f t="shared" si="5"/>
        <v>0</v>
      </c>
      <c r="J14" s="49"/>
      <c r="K14" s="50">
        <f t="shared" si="10"/>
        <v>0</v>
      </c>
      <c r="L14" s="48"/>
      <c r="M14" s="65">
        <v>150</v>
      </c>
      <c r="N14" s="65">
        <v>15</v>
      </c>
      <c r="O14" s="45">
        <v>144</v>
      </c>
      <c r="P14" s="71">
        <f t="shared" si="6"/>
        <v>21</v>
      </c>
      <c r="Q14" s="44">
        <v>92500</v>
      </c>
      <c r="R14" s="77">
        <f t="shared" si="7"/>
        <v>19425</v>
      </c>
      <c r="S14" s="45">
        <v>1500</v>
      </c>
      <c r="T14" s="45"/>
      <c r="U14" s="45"/>
      <c r="V14" s="45"/>
      <c r="W14" s="51">
        <f t="shared" si="8"/>
        <v>1500</v>
      </c>
      <c r="X14" s="81">
        <f t="shared" si="4"/>
        <v>20925</v>
      </c>
      <c r="Y14" s="81" t="e">
        <f>+X14+#REF!</f>
        <v>#REF!</v>
      </c>
      <c r="Z14" s="52"/>
    </row>
    <row r="15" spans="1:36" s="43" customFormat="1" ht="17.399999999999999" x14ac:dyDescent="0.3">
      <c r="A15" s="44">
        <v>9</v>
      </c>
      <c r="B15" s="45">
        <v>11</v>
      </c>
      <c r="C15" s="45">
        <f t="shared" si="9"/>
        <v>45</v>
      </c>
      <c r="D15" s="45"/>
      <c r="E15" s="53" t="s">
        <v>90</v>
      </c>
      <c r="F15" s="47"/>
      <c r="G15" s="47"/>
      <c r="H15" s="47"/>
      <c r="I15" s="48">
        <f t="shared" si="5"/>
        <v>0</v>
      </c>
      <c r="J15" s="49"/>
      <c r="K15" s="50">
        <f t="shared" si="10"/>
        <v>0</v>
      </c>
      <c r="L15" s="48"/>
      <c r="M15" s="65">
        <v>53.8</v>
      </c>
      <c r="N15" s="65">
        <v>6.5</v>
      </c>
      <c r="O15" s="45">
        <v>53.8</v>
      </c>
      <c r="P15" s="71">
        <f t="shared" si="6"/>
        <v>6.5</v>
      </c>
      <c r="Q15" s="44">
        <v>92500</v>
      </c>
      <c r="R15" s="77">
        <f t="shared" si="7"/>
        <v>6012.5</v>
      </c>
      <c r="S15" s="45">
        <v>1200</v>
      </c>
      <c r="T15" s="45">
        <v>1500</v>
      </c>
      <c r="U15" s="45">
        <v>500</v>
      </c>
      <c r="V15" s="45"/>
      <c r="W15" s="51">
        <f t="shared" si="8"/>
        <v>3200</v>
      </c>
      <c r="X15" s="81">
        <f t="shared" si="4"/>
        <v>9212.5</v>
      </c>
      <c r="Y15" s="81" t="e">
        <f>+X15+#REF!</f>
        <v>#REF!</v>
      </c>
      <c r="Z15" s="52">
        <v>1</v>
      </c>
    </row>
    <row r="16" spans="1:36" s="43" customFormat="1" ht="17.399999999999999" x14ac:dyDescent="0.3">
      <c r="A16" s="44">
        <v>10</v>
      </c>
      <c r="B16" s="45">
        <v>12</v>
      </c>
      <c r="C16" s="45">
        <f t="shared" si="9"/>
        <v>46</v>
      </c>
      <c r="D16" s="45"/>
      <c r="E16" s="53" t="s">
        <v>79</v>
      </c>
      <c r="F16" s="47"/>
      <c r="G16" s="47"/>
      <c r="H16" s="47"/>
      <c r="I16" s="48">
        <f t="shared" si="5"/>
        <v>0</v>
      </c>
      <c r="J16" s="49"/>
      <c r="K16" s="50">
        <f t="shared" si="10"/>
        <v>0</v>
      </c>
      <c r="L16" s="48"/>
      <c r="M16" s="65">
        <v>57.2</v>
      </c>
      <c r="N16" s="65">
        <v>7.5</v>
      </c>
      <c r="O16" s="45"/>
      <c r="P16" s="71">
        <f t="shared" si="6"/>
        <v>64.7</v>
      </c>
      <c r="Q16" s="44">
        <v>91400</v>
      </c>
      <c r="R16" s="77">
        <f t="shared" si="7"/>
        <v>59135.8</v>
      </c>
      <c r="S16" s="45">
        <v>1500</v>
      </c>
      <c r="T16" s="45"/>
      <c r="U16" s="45"/>
      <c r="V16" s="45"/>
      <c r="W16" s="51">
        <f t="shared" si="8"/>
        <v>1500</v>
      </c>
      <c r="X16" s="81">
        <f t="shared" si="4"/>
        <v>60635.8</v>
      </c>
      <c r="Y16" s="81" t="e">
        <f>+X16+#REF!</f>
        <v>#REF!</v>
      </c>
      <c r="Z16" s="52">
        <v>1</v>
      </c>
    </row>
    <row r="17" spans="1:26" s="43" customFormat="1" ht="17.399999999999999" x14ac:dyDescent="0.3">
      <c r="A17" s="44">
        <v>11</v>
      </c>
      <c r="B17" s="45">
        <v>12</v>
      </c>
      <c r="C17" s="45">
        <f t="shared" si="9"/>
        <v>47</v>
      </c>
      <c r="D17" s="45"/>
      <c r="E17" s="53" t="s">
        <v>77</v>
      </c>
      <c r="F17" s="47"/>
      <c r="G17" s="47"/>
      <c r="H17" s="47"/>
      <c r="I17" s="48">
        <f t="shared" si="5"/>
        <v>0</v>
      </c>
      <c r="J17" s="49"/>
      <c r="K17" s="50">
        <f t="shared" si="10"/>
        <v>0</v>
      </c>
      <c r="L17" s="48"/>
      <c r="M17" s="65">
        <v>25.2</v>
      </c>
      <c r="N17" s="65">
        <v>6</v>
      </c>
      <c r="O17" s="45"/>
      <c r="P17" s="71">
        <f t="shared" si="6"/>
        <v>31.2</v>
      </c>
      <c r="Q17" s="44">
        <v>91600</v>
      </c>
      <c r="R17" s="77">
        <f t="shared" si="7"/>
        <v>28579.200000000001</v>
      </c>
      <c r="S17" s="45">
        <v>1500</v>
      </c>
      <c r="T17" s="45"/>
      <c r="U17" s="45"/>
      <c r="V17" s="45"/>
      <c r="W17" s="51">
        <f t="shared" si="8"/>
        <v>1500</v>
      </c>
      <c r="X17" s="81">
        <f t="shared" si="4"/>
        <v>30079.200000000001</v>
      </c>
      <c r="Y17" s="81" t="e">
        <f>+X17+#REF!</f>
        <v>#REF!</v>
      </c>
      <c r="Z17" s="52"/>
    </row>
    <row r="18" spans="1:26" s="43" customFormat="1" ht="17.399999999999999" x14ac:dyDescent="0.3">
      <c r="A18" s="44">
        <v>12</v>
      </c>
      <c r="B18" s="45">
        <v>12</v>
      </c>
      <c r="C18" s="45">
        <f t="shared" si="9"/>
        <v>48</v>
      </c>
      <c r="D18" s="45"/>
      <c r="E18" s="53" t="s">
        <v>87</v>
      </c>
      <c r="F18" s="47"/>
      <c r="G18" s="47"/>
      <c r="H18" s="47"/>
      <c r="I18" s="48">
        <f t="shared" si="5"/>
        <v>0</v>
      </c>
      <c r="J18" s="49"/>
      <c r="K18" s="50">
        <f t="shared" si="10"/>
        <v>0</v>
      </c>
      <c r="L18" s="48"/>
      <c r="M18" s="65">
        <v>153</v>
      </c>
      <c r="N18" s="65">
        <v>14.5</v>
      </c>
      <c r="O18" s="45"/>
      <c r="P18" s="71">
        <f t="shared" si="6"/>
        <v>167.5</v>
      </c>
      <c r="Q18" s="44">
        <v>95800</v>
      </c>
      <c r="R18" s="77">
        <f t="shared" si="7"/>
        <v>160465</v>
      </c>
      <c r="S18" s="45">
        <v>1800</v>
      </c>
      <c r="T18" s="45"/>
      <c r="U18" s="45"/>
      <c r="V18" s="45"/>
      <c r="W18" s="51">
        <f t="shared" si="8"/>
        <v>1800</v>
      </c>
      <c r="X18" s="81">
        <f t="shared" si="4"/>
        <v>162265</v>
      </c>
      <c r="Y18" s="81" t="e">
        <f>+X18+#REF!</f>
        <v>#REF!</v>
      </c>
      <c r="Z18" s="52"/>
    </row>
    <row r="19" spans="1:26" s="43" customFormat="1" ht="17.399999999999999" x14ac:dyDescent="0.3">
      <c r="A19" s="44">
        <v>13</v>
      </c>
      <c r="B19" s="45">
        <v>12</v>
      </c>
      <c r="C19" s="45">
        <f t="shared" si="9"/>
        <v>49</v>
      </c>
      <c r="D19" s="45"/>
      <c r="E19" s="53" t="s">
        <v>72</v>
      </c>
      <c r="F19" s="47"/>
      <c r="G19" s="47"/>
      <c r="H19" s="47"/>
      <c r="I19" s="48">
        <f t="shared" si="5"/>
        <v>0</v>
      </c>
      <c r="J19" s="49"/>
      <c r="K19" s="50">
        <f t="shared" si="10"/>
        <v>0</v>
      </c>
      <c r="L19" s="48"/>
      <c r="M19" s="65">
        <f>60.4-1.8</f>
        <v>58.6</v>
      </c>
      <c r="N19" s="65">
        <v>9.5</v>
      </c>
      <c r="O19" s="45"/>
      <c r="P19" s="71">
        <f t="shared" si="6"/>
        <v>68.099999999999994</v>
      </c>
      <c r="Q19" s="44">
        <v>93800</v>
      </c>
      <c r="R19" s="77">
        <f t="shared" si="7"/>
        <v>63877.799999999996</v>
      </c>
      <c r="S19" s="45">
        <f>1200+1000</f>
        <v>2200</v>
      </c>
      <c r="T19" s="45"/>
      <c r="U19" s="45">
        <v>550</v>
      </c>
      <c r="V19" s="45"/>
      <c r="W19" s="51">
        <f t="shared" si="8"/>
        <v>2750</v>
      </c>
      <c r="X19" s="81">
        <f t="shared" si="4"/>
        <v>66627.799999999988</v>
      </c>
      <c r="Y19" s="81" t="e">
        <f>+X19+#REF!</f>
        <v>#REF!</v>
      </c>
      <c r="Z19" s="52">
        <v>1</v>
      </c>
    </row>
    <row r="20" spans="1:26" s="43" customFormat="1" ht="17.399999999999999" x14ac:dyDescent="0.3">
      <c r="A20" s="44">
        <v>14</v>
      </c>
      <c r="B20" s="45">
        <v>12</v>
      </c>
      <c r="C20" s="45">
        <f t="shared" si="9"/>
        <v>50</v>
      </c>
      <c r="D20" s="45"/>
      <c r="E20" s="53" t="s">
        <v>77</v>
      </c>
      <c r="F20" s="47"/>
      <c r="G20" s="47"/>
      <c r="H20" s="47"/>
      <c r="I20" s="48">
        <f t="shared" si="5"/>
        <v>0</v>
      </c>
      <c r="J20" s="49"/>
      <c r="K20" s="50">
        <f t="shared" si="10"/>
        <v>0</v>
      </c>
      <c r="L20" s="48"/>
      <c r="M20" s="65">
        <v>25.1</v>
      </c>
      <c r="N20" s="65">
        <v>6</v>
      </c>
      <c r="O20" s="45"/>
      <c r="P20" s="71">
        <f t="shared" si="6"/>
        <v>31.1</v>
      </c>
      <c r="Q20" s="44">
        <v>93800</v>
      </c>
      <c r="R20" s="77">
        <f t="shared" si="7"/>
        <v>29171.800000000003</v>
      </c>
      <c r="S20" s="45">
        <v>1500</v>
      </c>
      <c r="T20" s="45"/>
      <c r="U20" s="45"/>
      <c r="V20" s="45"/>
      <c r="W20" s="51">
        <f t="shared" si="8"/>
        <v>1500</v>
      </c>
      <c r="X20" s="81">
        <f t="shared" si="4"/>
        <v>30671.800000000003</v>
      </c>
      <c r="Y20" s="81" t="e">
        <f>+X20+#REF!</f>
        <v>#REF!</v>
      </c>
      <c r="Z20" s="52">
        <v>1</v>
      </c>
    </row>
    <row r="21" spans="1:26" s="43" customFormat="1" ht="17.399999999999999" x14ac:dyDescent="0.3">
      <c r="A21" s="44">
        <v>15</v>
      </c>
      <c r="B21" s="45">
        <v>14</v>
      </c>
      <c r="C21" s="45">
        <f t="shared" si="9"/>
        <v>51</v>
      </c>
      <c r="D21" s="45"/>
      <c r="E21" s="53" t="s">
        <v>73</v>
      </c>
      <c r="F21" s="47"/>
      <c r="G21" s="47"/>
      <c r="H21" s="47"/>
      <c r="I21" s="48">
        <f t="shared" si="5"/>
        <v>0</v>
      </c>
      <c r="J21" s="49"/>
      <c r="K21" s="50">
        <f t="shared" si="10"/>
        <v>0</v>
      </c>
      <c r="L21" s="48"/>
      <c r="M21" s="65">
        <f>56-5.8-1.5</f>
        <v>48.7</v>
      </c>
      <c r="N21" s="65">
        <v>7.5</v>
      </c>
      <c r="O21" s="45"/>
      <c r="P21" s="71">
        <f t="shared" si="6"/>
        <v>56.2</v>
      </c>
      <c r="Q21" s="44">
        <v>91800</v>
      </c>
      <c r="R21" s="77">
        <f t="shared" si="7"/>
        <v>51591.600000000006</v>
      </c>
      <c r="S21" s="45">
        <v>1500</v>
      </c>
      <c r="T21" s="45"/>
      <c r="U21" s="45">
        <f>150+700</f>
        <v>850</v>
      </c>
      <c r="V21" s="45"/>
      <c r="W21" s="51">
        <f t="shared" si="8"/>
        <v>2350</v>
      </c>
      <c r="X21" s="81">
        <f t="shared" si="4"/>
        <v>53941.600000000006</v>
      </c>
      <c r="Y21" s="81" t="e">
        <f>+X21+#REF!</f>
        <v>#REF!</v>
      </c>
      <c r="Z21" s="52">
        <v>1</v>
      </c>
    </row>
    <row r="22" spans="1:26" s="43" customFormat="1" ht="17.399999999999999" x14ac:dyDescent="0.3">
      <c r="A22" s="44">
        <v>16</v>
      </c>
      <c r="B22" s="45">
        <v>15</v>
      </c>
      <c r="C22" s="45">
        <f t="shared" si="9"/>
        <v>52</v>
      </c>
      <c r="D22" s="45"/>
      <c r="E22" s="53" t="s">
        <v>91</v>
      </c>
      <c r="F22" s="47"/>
      <c r="G22" s="47"/>
      <c r="H22" s="47"/>
      <c r="I22" s="48">
        <f t="shared" si="5"/>
        <v>0</v>
      </c>
      <c r="J22" s="49"/>
      <c r="K22" s="50">
        <f t="shared" si="10"/>
        <v>0</v>
      </c>
      <c r="L22" s="48"/>
      <c r="M22" s="65">
        <v>25.5</v>
      </c>
      <c r="N22" s="65">
        <v>5</v>
      </c>
      <c r="O22" s="45"/>
      <c r="P22" s="71">
        <f t="shared" si="6"/>
        <v>30.5</v>
      </c>
      <c r="Q22" s="44">
        <v>91500</v>
      </c>
      <c r="R22" s="77">
        <f t="shared" si="7"/>
        <v>27907.5</v>
      </c>
      <c r="S22" s="45">
        <v>1000</v>
      </c>
      <c r="T22" s="45"/>
      <c r="U22" s="45"/>
      <c r="V22" s="45"/>
      <c r="W22" s="51">
        <f t="shared" si="8"/>
        <v>1000</v>
      </c>
      <c r="X22" s="81">
        <f t="shared" si="4"/>
        <v>28907.5</v>
      </c>
      <c r="Y22" s="81" t="e">
        <f>+X22+#REF!</f>
        <v>#REF!</v>
      </c>
      <c r="Z22" s="52">
        <v>1</v>
      </c>
    </row>
    <row r="23" spans="1:26" s="43" customFormat="1" ht="17.399999999999999" x14ac:dyDescent="0.3">
      <c r="A23" s="44">
        <v>17</v>
      </c>
      <c r="B23" s="45">
        <v>16</v>
      </c>
      <c r="C23" s="45">
        <f t="shared" si="9"/>
        <v>53</v>
      </c>
      <c r="D23" s="45"/>
      <c r="E23" s="53" t="s">
        <v>92</v>
      </c>
      <c r="F23" s="47"/>
      <c r="G23" s="47"/>
      <c r="H23" s="47"/>
      <c r="I23" s="48">
        <f t="shared" si="5"/>
        <v>0</v>
      </c>
      <c r="J23" s="49"/>
      <c r="K23" s="50">
        <f t="shared" si="10"/>
        <v>0</v>
      </c>
      <c r="L23" s="48"/>
      <c r="M23" s="65">
        <f>115.3-10.2</f>
        <v>105.1</v>
      </c>
      <c r="N23" s="65">
        <v>12</v>
      </c>
      <c r="O23" s="45">
        <v>40</v>
      </c>
      <c r="P23" s="71">
        <f t="shared" si="6"/>
        <v>77.099999999999994</v>
      </c>
      <c r="Q23" s="44">
        <v>93600</v>
      </c>
      <c r="R23" s="77">
        <f t="shared" si="7"/>
        <v>72165.599999999991</v>
      </c>
      <c r="S23" s="45">
        <v>1500</v>
      </c>
      <c r="T23" s="45">
        <v>1000</v>
      </c>
      <c r="U23" s="45">
        <v>960</v>
      </c>
      <c r="V23" s="45"/>
      <c r="W23" s="51">
        <f t="shared" si="8"/>
        <v>3460</v>
      </c>
      <c r="X23" s="81">
        <f t="shared" si="4"/>
        <v>75625.599999999991</v>
      </c>
      <c r="Y23" s="81" t="e">
        <f>+X23+#REF!</f>
        <v>#REF!</v>
      </c>
      <c r="Z23" s="52">
        <v>1</v>
      </c>
    </row>
    <row r="24" spans="1:26" s="43" customFormat="1" ht="17.399999999999999" x14ac:dyDescent="0.3">
      <c r="A24" s="44">
        <v>18</v>
      </c>
      <c r="B24" s="45">
        <v>30</v>
      </c>
      <c r="C24" s="45">
        <f t="shared" si="9"/>
        <v>54</v>
      </c>
      <c r="D24" s="45"/>
      <c r="E24" s="53" t="s">
        <v>93</v>
      </c>
      <c r="F24" s="47"/>
      <c r="G24" s="47"/>
      <c r="H24" s="47"/>
      <c r="I24" s="48">
        <f t="shared" si="5"/>
        <v>0</v>
      </c>
      <c r="J24" s="49"/>
      <c r="K24" s="50">
        <f t="shared" si="10"/>
        <v>0</v>
      </c>
      <c r="L24" s="48"/>
      <c r="M24" s="65">
        <v>41.8</v>
      </c>
      <c r="N24" s="65">
        <v>5.5</v>
      </c>
      <c r="O24" s="45">
        <v>38.200000000000003</v>
      </c>
      <c r="P24" s="71">
        <f t="shared" si="6"/>
        <v>9.0999999999999943</v>
      </c>
      <c r="Q24" s="44">
        <v>93600</v>
      </c>
      <c r="R24" s="77">
        <f t="shared" si="7"/>
        <v>8517.5999999999949</v>
      </c>
      <c r="S24" s="45">
        <v>1000</v>
      </c>
      <c r="T24" s="45"/>
      <c r="U24" s="45"/>
      <c r="V24" s="45"/>
      <c r="W24" s="51">
        <f t="shared" si="8"/>
        <v>1000</v>
      </c>
      <c r="X24" s="81">
        <f t="shared" si="4"/>
        <v>9517.5999999999949</v>
      </c>
      <c r="Y24" s="81" t="e">
        <f>+X24+#REF!</f>
        <v>#REF!</v>
      </c>
      <c r="Z24" s="52">
        <v>1</v>
      </c>
    </row>
    <row r="25" spans="1:26" s="43" customFormat="1" ht="18" thickBot="1" x14ac:dyDescent="0.35">
      <c r="A25" s="54"/>
      <c r="B25" s="55"/>
      <c r="C25" s="55"/>
      <c r="D25" s="55"/>
      <c r="E25" s="56" t="s">
        <v>70</v>
      </c>
      <c r="F25" s="55">
        <f>SUM(F6:F24)</f>
        <v>0</v>
      </c>
      <c r="G25" s="55">
        <f>SUM(G6:G24)</f>
        <v>0</v>
      </c>
      <c r="H25" s="55">
        <f>SUM(H6:H24)</f>
        <v>0</v>
      </c>
      <c r="I25" s="57"/>
      <c r="J25" s="55"/>
      <c r="K25" s="57">
        <f ca="1">SUM(K6:K24)</f>
        <v>1054320</v>
      </c>
      <c r="L25" s="57" t="e">
        <f>+#REF!</f>
        <v>#REF!</v>
      </c>
      <c r="M25" s="66">
        <f>SUM(M6:M24)</f>
        <v>1142.8</v>
      </c>
      <c r="N25" s="66">
        <f>SUM(N6:N24)</f>
        <v>147</v>
      </c>
      <c r="O25" s="55">
        <f>SUM(O6:O24)</f>
        <v>276</v>
      </c>
      <c r="P25" s="71">
        <f t="shared" si="6"/>
        <v>1013.8</v>
      </c>
      <c r="Q25" s="54">
        <f>+R25/P25</f>
        <v>934.36762675083844</v>
      </c>
      <c r="R25" s="78">
        <f t="shared" ref="R25:Y25" si="11">SUM(R6:R24)</f>
        <v>947261.9</v>
      </c>
      <c r="S25" s="55">
        <f t="shared" si="11"/>
        <v>28700</v>
      </c>
      <c r="T25" s="55">
        <f t="shared" si="11"/>
        <v>2500</v>
      </c>
      <c r="U25" s="55">
        <f t="shared" si="11"/>
        <v>2860</v>
      </c>
      <c r="V25" s="55">
        <f t="shared" si="11"/>
        <v>0</v>
      </c>
      <c r="W25" s="57" t="e">
        <f t="shared" si="11"/>
        <v>#VALUE!</v>
      </c>
      <c r="X25" s="54">
        <f>SUM(X8:X24)</f>
        <v>981321.9</v>
      </c>
      <c r="Y25" s="54" t="e">
        <f t="shared" si="11"/>
        <v>#VALUE!</v>
      </c>
      <c r="Z25" s="57"/>
    </row>
    <row r="26" spans="1:26" s="43" customFormat="1" ht="18" thickTop="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60"/>
      <c r="N26" s="60"/>
      <c r="O26" s="2"/>
      <c r="P26" s="72"/>
      <c r="Q26" s="1"/>
      <c r="R26" s="79"/>
      <c r="S26" s="2"/>
      <c r="T26" s="2"/>
      <c r="U26" s="2"/>
      <c r="V26" s="2"/>
      <c r="W26" s="3"/>
      <c r="X26" s="82"/>
      <c r="Y26" s="82"/>
      <c r="Z26" s="5"/>
    </row>
    <row r="27" spans="1:26" s="43" customFormat="1" ht="17.399999999999999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1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1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1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1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1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1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1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1"/>
      <c r="R180" s="79"/>
      <c r="S180" s="2"/>
      <c r="T180" s="2"/>
      <c r="U180" s="2"/>
      <c r="V180" s="2"/>
      <c r="W180" s="3"/>
      <c r="X180" s="82"/>
      <c r="Y180" s="82"/>
      <c r="Z180" s="5"/>
    </row>
    <row r="181" spans="1:35" s="43" customFormat="1" ht="17.399999999999999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60"/>
      <c r="N181" s="60"/>
      <c r="O181" s="2"/>
      <c r="P181" s="72"/>
      <c r="Q181" s="1"/>
      <c r="R181" s="79"/>
      <c r="S181" s="2"/>
      <c r="T181" s="2"/>
      <c r="U181" s="2"/>
      <c r="V181" s="2"/>
      <c r="W181" s="3"/>
      <c r="X181" s="82"/>
      <c r="Y181" s="82"/>
      <c r="Z181" s="5"/>
    </row>
    <row r="182" spans="1:35" s="43" customFormat="1" ht="17.399999999999999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60"/>
      <c r="N182" s="60"/>
      <c r="O182" s="2"/>
      <c r="P182" s="72"/>
      <c r="Q182" s="1"/>
      <c r="R182" s="79"/>
      <c r="S182" s="2"/>
      <c r="T182" s="2"/>
      <c r="U182" s="2"/>
      <c r="V182" s="2"/>
      <c r="W182" s="3"/>
      <c r="X182" s="82"/>
      <c r="Y182" s="82"/>
      <c r="Z182" s="5"/>
      <c r="AB182" s="58"/>
      <c r="AC182" s="58"/>
      <c r="AD182" s="58"/>
      <c r="AE182" s="58"/>
      <c r="AF182" s="59"/>
      <c r="AG182" s="59"/>
      <c r="AH182" s="59"/>
      <c r="AI182" s="59"/>
    </row>
  </sheetData>
  <mergeCells count="1">
    <mergeCell ref="F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195E-1519-4E5A-BD4D-BC6BA4BFACA1}">
  <dimension ref="A1:AN183"/>
  <sheetViews>
    <sheetView workbookViewId="0">
      <selection activeCell="J8" sqref="J8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6640625" style="2" bestFit="1" customWidth="1"/>
    <col min="4" max="4" width="15.5546875" style="1" bestFit="1" customWidth="1"/>
    <col min="5" max="5" width="13.5546875" style="2" bestFit="1" customWidth="1"/>
    <col min="6" max="6" width="10.6640625" style="2" customWidth="1"/>
    <col min="7" max="7" width="11.33203125" style="2" bestFit="1" customWidth="1"/>
    <col min="8" max="8" width="10.6640625" style="2" customWidth="1"/>
    <col min="9" max="9" width="18.109375" style="2" bestFit="1" customWidth="1"/>
    <col min="10" max="10" width="12.88671875" style="2" bestFit="1" customWidth="1"/>
    <col min="11" max="11" width="15.33203125" style="3" bestFit="1" customWidth="1"/>
    <col min="12" max="12" width="13.6640625" style="3" bestFit="1" customWidth="1"/>
    <col min="13" max="13" width="14.109375" style="60" bestFit="1" customWidth="1"/>
    <col min="14" max="14" width="15" style="60" bestFit="1" customWidth="1"/>
    <col min="15" max="15" width="11.5546875" style="2" customWidth="1"/>
    <col min="16" max="16" width="18" style="72" bestFit="1" customWidth="1"/>
    <col min="17" max="17" width="12.88671875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886718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 s="1" t="e">
        <f>#REF!</f>
        <v>#REF!</v>
      </c>
      <c r="E1" s="2" t="str">
        <f t="shared" ref="E1:Y1" si="0">E19</f>
        <v>hDdf</v>
      </c>
      <c r="F1" s="2">
        <f t="shared" ref="F1:H1" si="1">+F19</f>
        <v>0</v>
      </c>
      <c r="G1" s="2">
        <f t="shared" si="1"/>
        <v>70.08</v>
      </c>
      <c r="H1" s="2">
        <f t="shared" si="1"/>
        <v>0</v>
      </c>
      <c r="I1" s="2">
        <f>+I19</f>
        <v>0</v>
      </c>
      <c r="J1" s="2">
        <f>+J19</f>
        <v>0</v>
      </c>
      <c r="K1" s="2">
        <f>+K19</f>
        <v>562392</v>
      </c>
      <c r="L1" s="3" t="e">
        <f>L11:L18</f>
        <v>#VALUE!</v>
      </c>
      <c r="M1" s="60">
        <f t="shared" si="0"/>
        <v>652.50000000000011</v>
      </c>
      <c r="N1" s="60">
        <f t="shared" si="0"/>
        <v>84.5</v>
      </c>
      <c r="O1" s="2">
        <f t="shared" si="0"/>
        <v>203.20000000000002</v>
      </c>
      <c r="P1" s="60">
        <f t="shared" si="0"/>
        <v>533.80000000000007</v>
      </c>
      <c r="Q1" s="1">
        <f t="shared" si="0"/>
        <v>924.41682278006749</v>
      </c>
      <c r="R1" s="1">
        <f t="shared" si="0"/>
        <v>493453.70000000007</v>
      </c>
      <c r="S1" s="2">
        <f t="shared" si="0"/>
        <v>17400</v>
      </c>
      <c r="T1" s="2">
        <f t="shared" si="0"/>
        <v>0</v>
      </c>
      <c r="U1" s="2">
        <f t="shared" si="0"/>
        <v>1340</v>
      </c>
      <c r="V1" s="2">
        <f t="shared" si="0"/>
        <v>0</v>
      </c>
      <c r="W1" s="2" t="e">
        <f t="shared" si="0"/>
        <v>#VALUE!</v>
      </c>
      <c r="X1" s="1">
        <f t="shared" si="0"/>
        <v>512193.70000000007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95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96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97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98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39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>
        <v>1</v>
      </c>
      <c r="C7" s="45">
        <v>173</v>
      </c>
      <c r="D7" s="44">
        <v>600673707</v>
      </c>
      <c r="E7" s="91" t="s">
        <v>134</v>
      </c>
      <c r="F7" s="47"/>
      <c r="G7" s="47">
        <v>70.08</v>
      </c>
      <c r="H7" s="47"/>
      <c r="I7" s="48">
        <f t="shared" ref="I7:I18" si="2">+H7+G7+F7</f>
        <v>70.08</v>
      </c>
      <c r="J7" s="49">
        <v>8025</v>
      </c>
      <c r="K7" s="50">
        <f t="shared" ref="K7:K8" si="3">+I7*J7</f>
        <v>562392</v>
      </c>
      <c r="L7" s="48"/>
      <c r="M7" s="65"/>
      <c r="N7" s="65"/>
      <c r="O7" s="45"/>
      <c r="P7" s="71">
        <f t="shared" ref="P7" si="4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W8:W14</f>
        <v>#VALUE!</v>
      </c>
      <c r="X7" s="81" t="e">
        <f t="shared" ref="X7:X18" si="5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3</v>
      </c>
      <c r="C8" s="45">
        <v>55</v>
      </c>
      <c r="D8" s="44"/>
      <c r="E8" s="53" t="s">
        <v>94</v>
      </c>
      <c r="F8" s="47"/>
      <c r="G8" s="47"/>
      <c r="H8" s="47"/>
      <c r="I8" s="48">
        <f t="shared" si="2"/>
        <v>0</v>
      </c>
      <c r="J8" s="49"/>
      <c r="K8" s="50">
        <f t="shared" si="3"/>
        <v>0</v>
      </c>
      <c r="L8" s="48"/>
      <c r="M8" s="65">
        <v>10.5</v>
      </c>
      <c r="N8" s="65">
        <v>1</v>
      </c>
      <c r="O8" s="43">
        <v>4.9000000000000004</v>
      </c>
      <c r="P8" s="71">
        <f>N8+M8-O8</f>
        <v>6.6</v>
      </c>
      <c r="Q8" s="44">
        <v>93400</v>
      </c>
      <c r="R8" s="77">
        <f>SUM(P8*(Q8/100))</f>
        <v>6164.4</v>
      </c>
      <c r="S8" s="45">
        <v>500</v>
      </c>
      <c r="T8" s="45"/>
      <c r="U8" s="45"/>
      <c r="V8" s="45"/>
      <c r="W8" s="51">
        <f>+S8+T8+U8+V8</f>
        <v>500</v>
      </c>
      <c r="X8" s="81">
        <f>+R8+W8</f>
        <v>6664.4</v>
      </c>
      <c r="Y8" s="81" t="e">
        <f>+X8+#REF!</f>
        <v>#REF!</v>
      </c>
      <c r="Z8" s="52"/>
    </row>
    <row r="9" spans="1:36" s="43" customFormat="1" ht="17.399999999999999" x14ac:dyDescent="0.3">
      <c r="A9" s="44">
        <v>3</v>
      </c>
      <c r="B9" s="73">
        <v>4</v>
      </c>
      <c r="C9" s="45">
        <f>C8+1</f>
        <v>56</v>
      </c>
      <c r="D9" s="44"/>
      <c r="E9" s="53" t="s">
        <v>84</v>
      </c>
      <c r="F9" s="47"/>
      <c r="G9" s="47"/>
      <c r="H9" s="47"/>
      <c r="I9" s="48"/>
      <c r="J9" s="49"/>
      <c r="K9" s="50">
        <f>+I9*J9</f>
        <v>0</v>
      </c>
      <c r="L9" s="48"/>
      <c r="M9" s="65">
        <v>20.100000000000001</v>
      </c>
      <c r="N9" s="65">
        <v>4.5</v>
      </c>
      <c r="O9" s="45"/>
      <c r="P9" s="71">
        <f t="shared" ref="P9:P19" si="6">N9+M9-O9</f>
        <v>24.6</v>
      </c>
      <c r="Q9" s="44">
        <v>93400</v>
      </c>
      <c r="R9" s="77">
        <f t="shared" ref="R9:R18" si="7">SUM(P9*(Q9/100))</f>
        <v>22976.400000000001</v>
      </c>
      <c r="S9" s="45">
        <v>800</v>
      </c>
      <c r="T9" s="45"/>
      <c r="U9" s="45"/>
      <c r="V9" s="45"/>
      <c r="W9" s="51">
        <f t="shared" ref="W9:W18" si="8">+S9+T9+U9+V9</f>
        <v>800</v>
      </c>
      <c r="X9" s="81">
        <f t="shared" si="5"/>
        <v>23776.400000000001</v>
      </c>
      <c r="Y9" s="81" t="e">
        <f>+X9+#REF!</f>
        <v>#REF!</v>
      </c>
      <c r="Z9" s="52"/>
    </row>
    <row r="10" spans="1:36" s="43" customFormat="1" ht="17.399999999999999" x14ac:dyDescent="0.3">
      <c r="A10" s="44">
        <v>4</v>
      </c>
      <c r="B10" s="45">
        <v>4</v>
      </c>
      <c r="C10" s="45">
        <f t="shared" ref="C10:C18" si="9">C9+1</f>
        <v>57</v>
      </c>
      <c r="D10" s="44"/>
      <c r="E10" s="53" t="s">
        <v>75</v>
      </c>
      <c r="F10" s="47"/>
      <c r="G10" s="47"/>
      <c r="H10" s="47"/>
      <c r="I10" s="48">
        <f t="shared" si="2"/>
        <v>0</v>
      </c>
      <c r="J10" s="49"/>
      <c r="K10" s="50">
        <f t="shared" ref="K10:K18" si="10">+I10*J10</f>
        <v>0</v>
      </c>
      <c r="L10" s="48"/>
      <c r="M10" s="65">
        <v>10.5</v>
      </c>
      <c r="N10" s="65">
        <v>2</v>
      </c>
      <c r="O10" s="45"/>
      <c r="P10" s="71">
        <f t="shared" si="6"/>
        <v>12.5</v>
      </c>
      <c r="Q10" s="44">
        <v>92500</v>
      </c>
      <c r="R10" s="77">
        <f t="shared" si="7"/>
        <v>11562.5</v>
      </c>
      <c r="S10" s="45">
        <v>1000</v>
      </c>
      <c r="T10" s="45"/>
      <c r="U10" s="45">
        <v>500</v>
      </c>
      <c r="V10" s="45"/>
      <c r="W10" s="51">
        <f t="shared" si="8"/>
        <v>1500</v>
      </c>
      <c r="X10" s="81">
        <f t="shared" si="5"/>
        <v>13062.5</v>
      </c>
      <c r="Y10" s="81" t="e">
        <f>+X10+#REF!</f>
        <v>#REF!</v>
      </c>
      <c r="Z10" s="52">
        <v>1</v>
      </c>
    </row>
    <row r="11" spans="1:36" s="43" customFormat="1" ht="17.399999999999999" x14ac:dyDescent="0.3">
      <c r="A11" s="44">
        <v>5</v>
      </c>
      <c r="B11" s="45">
        <v>4</v>
      </c>
      <c r="C11" s="45">
        <f t="shared" si="9"/>
        <v>58</v>
      </c>
      <c r="D11" s="44"/>
      <c r="E11" s="53" t="s">
        <v>76</v>
      </c>
      <c r="F11" s="47"/>
      <c r="G11" s="47"/>
      <c r="H11" s="47"/>
      <c r="I11" s="48">
        <f t="shared" si="2"/>
        <v>0</v>
      </c>
      <c r="J11" s="49"/>
      <c r="K11" s="50">
        <f t="shared" si="10"/>
        <v>0</v>
      </c>
      <c r="L11" s="48"/>
      <c r="M11" s="65">
        <f>33.2-7</f>
        <v>26.200000000000003</v>
      </c>
      <c r="N11" s="65">
        <v>4.5</v>
      </c>
      <c r="O11" s="45">
        <v>23</v>
      </c>
      <c r="P11" s="71">
        <f t="shared" si="6"/>
        <v>7.7000000000000028</v>
      </c>
      <c r="Q11" s="44">
        <v>91400</v>
      </c>
      <c r="R11" s="77">
        <f t="shared" si="7"/>
        <v>7037.8000000000029</v>
      </c>
      <c r="S11" s="45">
        <v>1200</v>
      </c>
      <c r="T11" s="45"/>
      <c r="U11" s="45">
        <v>840</v>
      </c>
      <c r="V11" s="45"/>
      <c r="W11" s="51">
        <f t="shared" si="8"/>
        <v>2040</v>
      </c>
      <c r="X11" s="81">
        <f t="shared" si="5"/>
        <v>9077.8000000000029</v>
      </c>
      <c r="Y11" s="81" t="e">
        <f>+X11+#REF!</f>
        <v>#REF!</v>
      </c>
      <c r="Z11" s="52">
        <v>1</v>
      </c>
    </row>
    <row r="12" spans="1:36" s="43" customFormat="1" ht="17.399999999999999" x14ac:dyDescent="0.3">
      <c r="A12" s="44">
        <v>6</v>
      </c>
      <c r="B12" s="45">
        <v>7</v>
      </c>
      <c r="C12" s="45">
        <f t="shared" si="9"/>
        <v>59</v>
      </c>
      <c r="D12" s="44"/>
      <c r="E12" s="53" t="s">
        <v>100</v>
      </c>
      <c r="F12" s="47"/>
      <c r="G12" s="47"/>
      <c r="H12" s="47"/>
      <c r="I12" s="48">
        <f t="shared" si="2"/>
        <v>0</v>
      </c>
      <c r="J12" s="49"/>
      <c r="K12" s="50">
        <f t="shared" si="10"/>
        <v>0</v>
      </c>
      <c r="L12" s="48"/>
      <c r="M12" s="65">
        <f>60.3+25.1</f>
        <v>85.4</v>
      </c>
      <c r="N12" s="65">
        <f>6+5</f>
        <v>11</v>
      </c>
      <c r="O12" s="45"/>
      <c r="P12" s="71">
        <f t="shared" si="6"/>
        <v>96.4</v>
      </c>
      <c r="Q12" s="44">
        <v>91400</v>
      </c>
      <c r="R12" s="77">
        <f t="shared" si="7"/>
        <v>88109.6</v>
      </c>
      <c r="S12" s="45">
        <f>1500+1200</f>
        <v>2700</v>
      </c>
      <c r="T12" s="45"/>
      <c r="U12" s="45"/>
      <c r="V12" s="45"/>
      <c r="W12" s="51">
        <f t="shared" si="8"/>
        <v>2700</v>
      </c>
      <c r="X12" s="81">
        <f t="shared" si="5"/>
        <v>90809.600000000006</v>
      </c>
      <c r="Y12" s="81" t="e">
        <f>+X12+#REF!</f>
        <v>#REF!</v>
      </c>
      <c r="Z12" s="52">
        <v>1</v>
      </c>
    </row>
    <row r="13" spans="1:36" s="43" customFormat="1" ht="17.399999999999999" x14ac:dyDescent="0.3">
      <c r="A13" s="44">
        <v>7</v>
      </c>
      <c r="B13" s="45">
        <v>14</v>
      </c>
      <c r="C13" s="45">
        <f t="shared" si="9"/>
        <v>60</v>
      </c>
      <c r="D13" s="44"/>
      <c r="E13" s="53" t="s">
        <v>74</v>
      </c>
      <c r="F13" s="47"/>
      <c r="G13" s="47"/>
      <c r="H13" s="47"/>
      <c r="I13" s="48">
        <f t="shared" si="2"/>
        <v>0</v>
      </c>
      <c r="J13" s="49"/>
      <c r="K13" s="50">
        <f t="shared" si="10"/>
        <v>0</v>
      </c>
      <c r="L13" s="48"/>
      <c r="M13" s="65">
        <v>200.4</v>
      </c>
      <c r="N13" s="65">
        <v>18</v>
      </c>
      <c r="O13" s="45"/>
      <c r="P13" s="71">
        <f t="shared" si="6"/>
        <v>218.4</v>
      </c>
      <c r="Q13" s="44">
        <v>91800</v>
      </c>
      <c r="R13" s="77">
        <f t="shared" si="7"/>
        <v>200491.2</v>
      </c>
      <c r="S13" s="45">
        <v>1500</v>
      </c>
      <c r="T13" s="45"/>
      <c r="U13" s="45"/>
      <c r="V13" s="45"/>
      <c r="W13" s="51">
        <f t="shared" si="8"/>
        <v>1500</v>
      </c>
      <c r="X13" s="81">
        <f t="shared" si="5"/>
        <v>201991.2</v>
      </c>
      <c r="Y13" s="81" t="e">
        <f>+X13+#REF!</f>
        <v>#REF!</v>
      </c>
      <c r="Z13" s="52"/>
    </row>
    <row r="14" spans="1:36" s="43" customFormat="1" ht="17.399999999999999" x14ac:dyDescent="0.3">
      <c r="A14" s="44">
        <v>8</v>
      </c>
      <c r="B14" s="45">
        <v>20</v>
      </c>
      <c r="C14" s="45">
        <f t="shared" si="9"/>
        <v>61</v>
      </c>
      <c r="D14" s="99" t="s">
        <v>121</v>
      </c>
      <c r="E14" s="53" t="s">
        <v>76</v>
      </c>
      <c r="F14" s="47"/>
      <c r="G14" s="47"/>
      <c r="H14" s="47"/>
      <c r="I14" s="48">
        <f t="shared" si="2"/>
        <v>0</v>
      </c>
      <c r="J14" s="49"/>
      <c r="K14" s="50">
        <f t="shared" si="10"/>
        <v>0</v>
      </c>
      <c r="L14" s="48"/>
      <c r="M14" s="65">
        <v>25.1</v>
      </c>
      <c r="N14" s="65">
        <v>5.5</v>
      </c>
      <c r="O14" s="45"/>
      <c r="P14" s="71">
        <f t="shared" si="6"/>
        <v>30.6</v>
      </c>
      <c r="Q14" s="44">
        <v>91400</v>
      </c>
      <c r="R14" s="77">
        <f t="shared" si="7"/>
        <v>27968.400000000001</v>
      </c>
      <c r="S14" s="45">
        <v>1500</v>
      </c>
      <c r="T14" s="45"/>
      <c r="U14" s="45"/>
      <c r="V14" s="45"/>
      <c r="W14" s="51">
        <f t="shared" si="8"/>
        <v>1500</v>
      </c>
      <c r="X14" s="81">
        <f t="shared" si="5"/>
        <v>29468.400000000001</v>
      </c>
      <c r="Y14" s="81" t="e">
        <f>+X14+#REF!</f>
        <v>#REF!</v>
      </c>
      <c r="Z14" s="52"/>
    </row>
    <row r="15" spans="1:36" s="43" customFormat="1" ht="17.399999999999999" x14ac:dyDescent="0.3">
      <c r="A15" s="44">
        <v>9</v>
      </c>
      <c r="B15" s="45">
        <v>23</v>
      </c>
      <c r="C15" s="45">
        <f t="shared" si="9"/>
        <v>62</v>
      </c>
      <c r="D15" s="44"/>
      <c r="E15" s="53" t="s">
        <v>95</v>
      </c>
      <c r="F15" s="47"/>
      <c r="G15" s="47"/>
      <c r="H15" s="47"/>
      <c r="I15" s="48">
        <f t="shared" si="2"/>
        <v>0</v>
      </c>
      <c r="J15" s="49"/>
      <c r="K15" s="50">
        <f t="shared" si="10"/>
        <v>0</v>
      </c>
      <c r="L15" s="48"/>
      <c r="M15" s="65">
        <f>136.7+24.9</f>
        <v>161.6</v>
      </c>
      <c r="N15" s="65">
        <f>17+5.5</f>
        <v>22.5</v>
      </c>
      <c r="O15" s="45">
        <v>166</v>
      </c>
      <c r="P15" s="71">
        <f t="shared" si="6"/>
        <v>18.099999999999994</v>
      </c>
      <c r="Q15" s="44">
        <v>93000</v>
      </c>
      <c r="R15" s="77">
        <f t="shared" si="7"/>
        <v>16832.999999999996</v>
      </c>
      <c r="S15" s="45">
        <f>1500+1500+1200</f>
        <v>4200</v>
      </c>
      <c r="T15" s="45"/>
      <c r="U15" s="45"/>
      <c r="V15" s="45"/>
      <c r="W15" s="51">
        <f t="shared" si="8"/>
        <v>4200</v>
      </c>
      <c r="X15" s="81">
        <f t="shared" si="5"/>
        <v>21032.999999999996</v>
      </c>
      <c r="Y15" s="81" t="e">
        <f>+X15+#REF!</f>
        <v>#REF!</v>
      </c>
      <c r="Z15" s="52">
        <v>1</v>
      </c>
    </row>
    <row r="16" spans="1:36" s="43" customFormat="1" ht="17.399999999999999" x14ac:dyDescent="0.3">
      <c r="A16" s="44">
        <v>10</v>
      </c>
      <c r="B16" s="45">
        <v>24</v>
      </c>
      <c r="C16" s="45">
        <f t="shared" si="9"/>
        <v>63</v>
      </c>
      <c r="D16" s="44"/>
      <c r="E16" s="53" t="s">
        <v>77</v>
      </c>
      <c r="F16" s="47"/>
      <c r="G16" s="47"/>
      <c r="H16" s="47"/>
      <c r="I16" s="48">
        <f t="shared" si="2"/>
        <v>0</v>
      </c>
      <c r="J16" s="49"/>
      <c r="K16" s="50">
        <f t="shared" si="10"/>
        <v>0</v>
      </c>
      <c r="L16" s="48"/>
      <c r="M16" s="65">
        <v>25</v>
      </c>
      <c r="N16" s="65">
        <v>6</v>
      </c>
      <c r="O16" s="45"/>
      <c r="P16" s="71">
        <f t="shared" si="6"/>
        <v>31</v>
      </c>
      <c r="Q16" s="44">
        <v>93600</v>
      </c>
      <c r="R16" s="77">
        <f t="shared" si="7"/>
        <v>29016</v>
      </c>
      <c r="S16" s="45">
        <v>1500</v>
      </c>
      <c r="T16" s="45"/>
      <c r="U16" s="45"/>
      <c r="V16" s="45"/>
      <c r="W16" s="51">
        <f t="shared" si="8"/>
        <v>1500</v>
      </c>
      <c r="X16" s="81">
        <f t="shared" si="5"/>
        <v>30516</v>
      </c>
      <c r="Y16" s="81" t="e">
        <f>+X16+#REF!</f>
        <v>#REF!</v>
      </c>
      <c r="Z16" s="52">
        <v>1</v>
      </c>
    </row>
    <row r="17" spans="1:26" s="43" customFormat="1" ht="17.399999999999999" x14ac:dyDescent="0.3">
      <c r="A17" s="44">
        <v>11</v>
      </c>
      <c r="B17" s="45">
        <v>25</v>
      </c>
      <c r="C17" s="45">
        <f t="shared" si="9"/>
        <v>64</v>
      </c>
      <c r="D17" s="44"/>
      <c r="E17" s="53" t="s">
        <v>73</v>
      </c>
      <c r="F17" s="47"/>
      <c r="G17" s="47"/>
      <c r="H17" s="47"/>
      <c r="I17" s="48">
        <f t="shared" si="2"/>
        <v>0</v>
      </c>
      <c r="J17" s="49"/>
      <c r="K17" s="50">
        <f t="shared" si="10"/>
        <v>0</v>
      </c>
      <c r="L17" s="48"/>
      <c r="M17" s="65">
        <v>50.2</v>
      </c>
      <c r="N17" s="65">
        <v>5.5</v>
      </c>
      <c r="O17" s="45"/>
      <c r="P17" s="71">
        <f t="shared" si="6"/>
        <v>55.7</v>
      </c>
      <c r="Q17" s="44">
        <v>95200</v>
      </c>
      <c r="R17" s="77">
        <f t="shared" si="7"/>
        <v>53026.400000000001</v>
      </c>
      <c r="S17" s="45">
        <v>1500</v>
      </c>
      <c r="T17" s="45"/>
      <c r="U17" s="45"/>
      <c r="V17" s="45"/>
      <c r="W17" s="51">
        <f t="shared" si="8"/>
        <v>1500</v>
      </c>
      <c r="X17" s="81">
        <f t="shared" si="5"/>
        <v>54526.400000000001</v>
      </c>
      <c r="Y17" s="81" t="e">
        <f>+X17+#REF!</f>
        <v>#REF!</v>
      </c>
      <c r="Z17" s="52"/>
    </row>
    <row r="18" spans="1:26" s="43" customFormat="1" ht="17.399999999999999" x14ac:dyDescent="0.3">
      <c r="A18" s="44">
        <v>12</v>
      </c>
      <c r="B18" s="45">
        <v>27</v>
      </c>
      <c r="C18" s="45">
        <f t="shared" si="9"/>
        <v>65</v>
      </c>
      <c r="D18" s="44"/>
      <c r="E18" s="53" t="s">
        <v>101</v>
      </c>
      <c r="F18" s="47"/>
      <c r="G18" s="47"/>
      <c r="H18" s="47"/>
      <c r="I18" s="48">
        <f t="shared" si="2"/>
        <v>0</v>
      </c>
      <c r="J18" s="49"/>
      <c r="K18" s="50">
        <f t="shared" si="10"/>
        <v>0</v>
      </c>
      <c r="L18" s="48"/>
      <c r="M18" s="65">
        <f>25+12.5</f>
        <v>37.5</v>
      </c>
      <c r="N18" s="65">
        <f>3+1</f>
        <v>4</v>
      </c>
      <c r="O18" s="45">
        <v>9.3000000000000007</v>
      </c>
      <c r="P18" s="71">
        <f t="shared" si="6"/>
        <v>32.200000000000003</v>
      </c>
      <c r="Q18" s="44">
        <v>94000</v>
      </c>
      <c r="R18" s="77">
        <f t="shared" si="7"/>
        <v>30268.000000000004</v>
      </c>
      <c r="S18" s="45">
        <f>500+500</f>
        <v>1000</v>
      </c>
      <c r="T18" s="45"/>
      <c r="U18" s="45"/>
      <c r="V18" s="45"/>
      <c r="W18" s="51">
        <f t="shared" si="8"/>
        <v>1000</v>
      </c>
      <c r="X18" s="81">
        <f t="shared" si="5"/>
        <v>31268.000000000004</v>
      </c>
      <c r="Y18" s="81" t="e">
        <f>+X18+#REF!</f>
        <v>#REF!</v>
      </c>
      <c r="Z18" s="52"/>
    </row>
    <row r="19" spans="1:26" s="43" customFormat="1" ht="18" thickBot="1" x14ac:dyDescent="0.35">
      <c r="A19" s="54"/>
      <c r="B19" s="55"/>
      <c r="C19" s="55"/>
      <c r="D19" s="54"/>
      <c r="E19" s="56" t="s">
        <v>70</v>
      </c>
      <c r="F19" s="55">
        <f>SUM(F6:F18)</f>
        <v>0</v>
      </c>
      <c r="G19" s="55">
        <f>SUM(G6:G18)</f>
        <v>70.08</v>
      </c>
      <c r="H19" s="55">
        <f>SUM(H6:H18)</f>
        <v>0</v>
      </c>
      <c r="I19" s="57"/>
      <c r="J19" s="55"/>
      <c r="K19" s="57">
        <f>SUM(K6:K18)</f>
        <v>562392</v>
      </c>
      <c r="L19" s="57" t="e">
        <f>+#REF!</f>
        <v>#REF!</v>
      </c>
      <c r="M19" s="66">
        <f>SUM(M6:M18)</f>
        <v>652.50000000000011</v>
      </c>
      <c r="N19" s="66">
        <f>SUM(N6:N18)</f>
        <v>84.5</v>
      </c>
      <c r="O19" s="55">
        <f>SUM(O6:O18)</f>
        <v>203.20000000000002</v>
      </c>
      <c r="P19" s="71">
        <f t="shared" si="6"/>
        <v>533.80000000000007</v>
      </c>
      <c r="Q19" s="54">
        <f>+R19/P19</f>
        <v>924.41682278006749</v>
      </c>
      <c r="R19" s="78">
        <f t="shared" ref="R19:Y19" si="11">SUM(R6:R18)</f>
        <v>493453.70000000007</v>
      </c>
      <c r="S19" s="55">
        <f t="shared" si="11"/>
        <v>17400</v>
      </c>
      <c r="T19" s="55">
        <f t="shared" si="11"/>
        <v>0</v>
      </c>
      <c r="U19" s="55">
        <f t="shared" si="11"/>
        <v>1340</v>
      </c>
      <c r="V19" s="55">
        <f t="shared" si="11"/>
        <v>0</v>
      </c>
      <c r="W19" s="57" t="e">
        <f t="shared" si="11"/>
        <v>#VALUE!</v>
      </c>
      <c r="X19" s="54">
        <f>SUM(X8:X18)</f>
        <v>512193.70000000007</v>
      </c>
      <c r="Y19" s="54" t="e">
        <f t="shared" si="11"/>
        <v>#VALUE!</v>
      </c>
      <c r="Z19" s="57"/>
    </row>
    <row r="20" spans="1:26" s="43" customFormat="1" ht="18" thickTop="1" x14ac:dyDescent="0.3">
      <c r="A20" s="1"/>
      <c r="B20" s="2"/>
      <c r="C20" s="2"/>
      <c r="D20" s="1"/>
      <c r="E20" s="2"/>
      <c r="F20" s="2"/>
      <c r="G20" s="2"/>
      <c r="H20" s="2"/>
      <c r="I20" s="2"/>
      <c r="J20" s="2"/>
      <c r="K20" s="3"/>
      <c r="L20" s="3"/>
      <c r="M20" s="60"/>
      <c r="N20" s="60"/>
      <c r="O20" s="2"/>
      <c r="P20" s="72"/>
      <c r="Q20" s="1"/>
      <c r="R20" s="79"/>
      <c r="S20" s="2"/>
      <c r="T20" s="2"/>
      <c r="U20" s="2"/>
      <c r="V20" s="2"/>
      <c r="W20" s="3"/>
      <c r="X20" s="82"/>
      <c r="Y20" s="82"/>
      <c r="Z20" s="5"/>
    </row>
    <row r="21" spans="1:26" s="43" customFormat="1" ht="17.399999999999999" x14ac:dyDescent="0.3">
      <c r="A21" s="1"/>
      <c r="B21" s="2"/>
      <c r="C21" s="2"/>
      <c r="D21" s="1"/>
      <c r="E21" s="2"/>
      <c r="F21" s="2"/>
      <c r="G21" s="2"/>
      <c r="H21" s="2"/>
      <c r="I21" s="2"/>
      <c r="J21" s="2"/>
      <c r="K21" s="3"/>
      <c r="L21" s="3"/>
      <c r="M21" s="60"/>
      <c r="N21" s="60"/>
      <c r="O21" s="2"/>
      <c r="P21" s="72"/>
      <c r="Q21" s="1"/>
      <c r="R21" s="79"/>
      <c r="S21" s="2"/>
      <c r="T21" s="2"/>
      <c r="U21" s="2"/>
      <c r="V21" s="2"/>
      <c r="W21" s="3"/>
      <c r="X21" s="82"/>
      <c r="Y21" s="82"/>
      <c r="Z21" s="5"/>
    </row>
    <row r="22" spans="1:26" s="43" customFormat="1" ht="17.399999999999999" x14ac:dyDescent="0.3">
      <c r="A22" s="1"/>
      <c r="B22" s="2"/>
      <c r="C22" s="2"/>
      <c r="D22" s="1"/>
      <c r="E22" s="2"/>
      <c r="F22" s="2"/>
      <c r="G22" s="2"/>
      <c r="H22" s="2"/>
      <c r="I22" s="2"/>
      <c r="J22" s="2"/>
      <c r="K22" s="3"/>
      <c r="L22" s="3"/>
      <c r="M22" s="60"/>
      <c r="N22" s="60"/>
      <c r="O22" s="2"/>
      <c r="P22" s="72"/>
      <c r="Q22" s="1"/>
      <c r="R22" s="79"/>
      <c r="S22" s="2"/>
      <c r="T22" s="2"/>
      <c r="U22" s="2"/>
      <c r="V22" s="2"/>
      <c r="W22" s="3"/>
      <c r="X22" s="82"/>
      <c r="Y22" s="82"/>
      <c r="Z22" s="5"/>
    </row>
    <row r="23" spans="1:26" s="43" customFormat="1" ht="17.399999999999999" x14ac:dyDescent="0.3">
      <c r="A23" s="1"/>
      <c r="B23" s="2"/>
      <c r="C23" s="2"/>
      <c r="D23" s="1"/>
      <c r="E23" s="2"/>
      <c r="F23" s="2"/>
      <c r="G23" s="2"/>
      <c r="H23" s="2"/>
      <c r="I23" s="2"/>
      <c r="J23" s="2"/>
      <c r="K23" s="3"/>
      <c r="L23" s="3"/>
      <c r="M23" s="60"/>
      <c r="N23" s="60"/>
      <c r="O23" s="2"/>
      <c r="P23" s="72"/>
      <c r="Q23" s="1"/>
      <c r="R23" s="79"/>
      <c r="S23" s="2"/>
      <c r="T23" s="2"/>
      <c r="U23" s="2"/>
      <c r="V23" s="2"/>
      <c r="W23" s="3"/>
      <c r="X23" s="82"/>
      <c r="Y23" s="82"/>
      <c r="Z23" s="5"/>
    </row>
    <row r="24" spans="1:26" s="43" customFormat="1" ht="17.399999999999999" x14ac:dyDescent="0.3">
      <c r="A24" s="1"/>
      <c r="B24" s="2"/>
      <c r="C24" s="2"/>
      <c r="D24" s="1"/>
      <c r="E24" s="2"/>
      <c r="F24" s="2"/>
      <c r="G24" s="2"/>
      <c r="H24" s="2"/>
      <c r="I24" s="2"/>
      <c r="J24" s="2"/>
      <c r="K24" s="3"/>
      <c r="L24" s="3"/>
      <c r="M24" s="60"/>
      <c r="N24" s="60"/>
      <c r="O24" s="2"/>
      <c r="P24" s="72"/>
      <c r="Q24" s="1"/>
      <c r="R24" s="79"/>
      <c r="S24" s="2"/>
      <c r="T24" s="2"/>
      <c r="U24" s="2"/>
      <c r="V24" s="2"/>
      <c r="W24" s="3"/>
      <c r="X24" s="82"/>
      <c r="Y24" s="82"/>
      <c r="Z24" s="5"/>
    </row>
    <row r="25" spans="1:26" s="43" customFormat="1" ht="17.399999999999999" x14ac:dyDescent="0.3">
      <c r="A25" s="1"/>
      <c r="B25" s="2"/>
      <c r="C25" s="2"/>
      <c r="D25" s="1"/>
      <c r="E25" s="2"/>
      <c r="F25" s="2"/>
      <c r="G25" s="2"/>
      <c r="H25" s="2"/>
      <c r="I25" s="2"/>
      <c r="J25" s="2"/>
      <c r="K25" s="3"/>
      <c r="L25" s="3"/>
      <c r="M25" s="60"/>
      <c r="N25" s="60"/>
      <c r="O25" s="2"/>
      <c r="P25" s="72"/>
      <c r="Q25" s="1"/>
      <c r="R25" s="79"/>
      <c r="S25" s="2"/>
      <c r="T25" s="2"/>
      <c r="U25" s="2"/>
      <c r="V25" s="2"/>
      <c r="W25" s="3"/>
      <c r="X25" s="82"/>
      <c r="Y25" s="82"/>
      <c r="Z25" s="5"/>
    </row>
    <row r="26" spans="1:26" s="43" customFormat="1" ht="17.399999999999999" x14ac:dyDescent="0.3">
      <c r="A26" s="1"/>
      <c r="B26" s="2"/>
      <c r="C26" s="2"/>
      <c r="D26" s="1"/>
      <c r="E26" s="2"/>
      <c r="F26" s="2"/>
      <c r="G26" s="2"/>
      <c r="H26" s="2"/>
      <c r="I26" s="2"/>
      <c r="J26" s="2"/>
      <c r="K26" s="3"/>
      <c r="L26" s="3"/>
      <c r="M26" s="60"/>
      <c r="N26" s="60"/>
      <c r="O26" s="2"/>
      <c r="P26" s="72"/>
      <c r="Q26" s="1"/>
      <c r="R26" s="79"/>
      <c r="S26" s="2"/>
      <c r="T26" s="2"/>
      <c r="U26" s="2"/>
      <c r="V26" s="2"/>
      <c r="W26" s="3"/>
      <c r="X26" s="82"/>
      <c r="Y26" s="82"/>
      <c r="Z26" s="5"/>
    </row>
    <row r="27" spans="1:26" s="43" customFormat="1" ht="17.399999999999999" x14ac:dyDescent="0.3">
      <c r="A27" s="1"/>
      <c r="B27" s="2"/>
      <c r="C27" s="2"/>
      <c r="D27" s="1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1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1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1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1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1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1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1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1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1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1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1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1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1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1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1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1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1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1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1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1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1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1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1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1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1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1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1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1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1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1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1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1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1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1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1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1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1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1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1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1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1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1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1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1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1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1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1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1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1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1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1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1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1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1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1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1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1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1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1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1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1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1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1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1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1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1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1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1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1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1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1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1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1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1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1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1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1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1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1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1"/>
      <c r="R180" s="79"/>
      <c r="S180" s="2"/>
      <c r="T180" s="2"/>
      <c r="U180" s="2"/>
      <c r="V180" s="2"/>
      <c r="W180" s="3"/>
      <c r="X180" s="82"/>
      <c r="Y180" s="82"/>
      <c r="Z180" s="5"/>
    </row>
    <row r="181" spans="1:35" s="43" customFormat="1" ht="17.399999999999999" x14ac:dyDescent="0.3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3"/>
      <c r="L181" s="3"/>
      <c r="M181" s="60"/>
      <c r="N181" s="60"/>
      <c r="O181" s="2"/>
      <c r="P181" s="72"/>
      <c r="Q181" s="1"/>
      <c r="R181" s="79"/>
      <c r="S181" s="2"/>
      <c r="T181" s="2"/>
      <c r="U181" s="2"/>
      <c r="V181" s="2"/>
      <c r="W181" s="3"/>
      <c r="X181" s="82"/>
      <c r="Y181" s="82"/>
      <c r="Z181" s="5"/>
    </row>
    <row r="182" spans="1:35" s="43" customFormat="1" ht="17.399999999999999" x14ac:dyDescent="0.3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3"/>
      <c r="L182" s="3"/>
      <c r="M182" s="60"/>
      <c r="N182" s="60"/>
      <c r="O182" s="2"/>
      <c r="P182" s="72"/>
      <c r="Q182" s="1"/>
      <c r="R182" s="79"/>
      <c r="S182" s="2"/>
      <c r="T182" s="2"/>
      <c r="U182" s="2"/>
      <c r="V182" s="2"/>
      <c r="W182" s="3"/>
      <c r="X182" s="82"/>
      <c r="Y182" s="82"/>
      <c r="Z182" s="5"/>
    </row>
    <row r="183" spans="1:35" s="43" customFormat="1" ht="17.399999999999999" x14ac:dyDescent="0.3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3"/>
      <c r="L183" s="3"/>
      <c r="M183" s="60"/>
      <c r="N183" s="60"/>
      <c r="O183" s="2"/>
      <c r="P183" s="72"/>
      <c r="Q183" s="1"/>
      <c r="R183" s="79"/>
      <c r="S183" s="2"/>
      <c r="T183" s="2"/>
      <c r="U183" s="2"/>
      <c r="V183" s="2"/>
      <c r="W183" s="3"/>
      <c r="X183" s="82"/>
      <c r="Y183" s="82"/>
      <c r="Z183" s="5"/>
      <c r="AB183" s="58"/>
      <c r="AC183" s="58"/>
      <c r="AD183" s="58"/>
      <c r="AE183" s="58"/>
      <c r="AF183" s="59"/>
      <c r="AG183" s="59"/>
      <c r="AH183" s="59"/>
      <c r="AI183" s="59"/>
    </row>
  </sheetData>
  <mergeCells count="1">
    <mergeCell ref="F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3760-D1AD-4D5B-A927-DB380EC7BCD0}">
  <dimension ref="A1:AN181"/>
  <sheetViews>
    <sheetView zoomScale="84" workbookViewId="0">
      <selection activeCell="L22" sqref="L22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77734375" style="2" bestFit="1" customWidth="1"/>
    <col min="4" max="4" width="19.109375" style="1" bestFit="1" customWidth="1"/>
    <col min="5" max="5" width="13.5546875" style="2" bestFit="1" customWidth="1"/>
    <col min="6" max="6" width="10.6640625" style="2" customWidth="1"/>
    <col min="7" max="7" width="11.44140625" style="2" bestFit="1" customWidth="1"/>
    <col min="8" max="8" width="10.6640625" style="2" customWidth="1"/>
    <col min="9" max="9" width="18.21875" style="2" bestFit="1" customWidth="1"/>
    <col min="10" max="10" width="12.88671875" style="2" bestFit="1" customWidth="1"/>
    <col min="11" max="11" width="16.21875" style="3" bestFit="1" customWidth="1"/>
    <col min="12" max="12" width="13.77734375" style="3" bestFit="1" customWidth="1"/>
    <col min="13" max="13" width="14.21875" style="60" bestFit="1" customWidth="1"/>
    <col min="14" max="14" width="15.109375" style="60" bestFit="1" customWidth="1"/>
    <col min="15" max="15" width="11.5546875" style="2" customWidth="1"/>
    <col min="16" max="16" width="18.109375" style="72" bestFit="1" customWidth="1"/>
    <col min="17" max="17" width="13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/>
      <c r="E1" s="2" t="str">
        <f t="shared" ref="E1:Y1" si="0">E24</f>
        <v>hDdf</v>
      </c>
      <c r="F1" s="2">
        <f t="shared" ref="F1:H1" si="1">+F24</f>
        <v>0</v>
      </c>
      <c r="G1" s="2">
        <f t="shared" si="1"/>
        <v>140.01999999999998</v>
      </c>
      <c r="H1" s="2">
        <f t="shared" si="1"/>
        <v>0</v>
      </c>
      <c r="I1" s="2">
        <f>+I24</f>
        <v>0</v>
      </c>
      <c r="J1" s="2">
        <f>+J24</f>
        <v>0</v>
      </c>
      <c r="K1" s="2">
        <f ca="1">+K24</f>
        <v>1054320</v>
      </c>
      <c r="L1" s="3" t="e">
        <f>L11:L19</f>
        <v>#VALUE!</v>
      </c>
      <c r="M1" s="60">
        <f t="shared" si="0"/>
        <v>2207.4999999999995</v>
      </c>
      <c r="N1" s="60">
        <f t="shared" si="0"/>
        <v>265.5</v>
      </c>
      <c r="O1" s="2">
        <f t="shared" si="0"/>
        <v>542.70000000000005</v>
      </c>
      <c r="P1" s="60">
        <f t="shared" si="0"/>
        <v>1930.2999999999995</v>
      </c>
      <c r="Q1" s="1">
        <f t="shared" si="0"/>
        <v>941.48536496917609</v>
      </c>
      <c r="R1" s="1">
        <f t="shared" si="0"/>
        <v>1817349.2000000002</v>
      </c>
      <c r="S1" s="2">
        <f t="shared" si="0"/>
        <v>46000</v>
      </c>
      <c r="T1" s="2">
        <f t="shared" si="0"/>
        <v>4800</v>
      </c>
      <c r="U1" s="2">
        <f t="shared" si="0"/>
        <v>4710</v>
      </c>
      <c r="V1" s="2">
        <f t="shared" si="0"/>
        <v>0</v>
      </c>
      <c r="W1" s="2" t="e">
        <f t="shared" si="0"/>
        <v>#VALUE!</v>
      </c>
      <c r="X1" s="1">
        <f t="shared" si="0"/>
        <v>1872859.2000000002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95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96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97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98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39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4"/>
      <c r="E7" s="46"/>
      <c r="F7" s="47"/>
      <c r="G7" s="47"/>
      <c r="H7" s="47"/>
      <c r="I7" s="48">
        <f ca="1">I7:L23=+H7+G7+F7</f>
        <v>0</v>
      </c>
      <c r="J7" s="49"/>
      <c r="K7" s="50">
        <f t="shared" ref="K7:K8" ca="1" si="2">+I7*J7</f>
        <v>0</v>
      </c>
      <c r="L7" s="48"/>
      <c r="M7" s="65"/>
      <c r="N7" s="65"/>
      <c r="O7" s="45"/>
      <c r="P7" s="71">
        <f t="shared" ref="P7" si="3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W8:W15</f>
        <v>#VALUE!</v>
      </c>
      <c r="X7" s="81" t="e">
        <f t="shared" ref="X7:X23" si="4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1</v>
      </c>
      <c r="C8" s="45">
        <v>66</v>
      </c>
      <c r="D8" s="99"/>
      <c r="E8" s="53" t="s">
        <v>105</v>
      </c>
      <c r="F8" s="47"/>
      <c r="G8" s="47"/>
      <c r="H8" s="47"/>
      <c r="I8" s="48"/>
      <c r="J8" s="49"/>
      <c r="K8" s="50">
        <f t="shared" si="2"/>
        <v>0</v>
      </c>
      <c r="L8" s="48"/>
      <c r="M8" s="65">
        <v>59.8</v>
      </c>
      <c r="N8" s="65">
        <v>4.5</v>
      </c>
      <c r="P8" s="71">
        <f>N8+M8-O8</f>
        <v>64.3</v>
      </c>
      <c r="Q8" s="44">
        <v>93400</v>
      </c>
      <c r="R8" s="77">
        <f>SUM(P8*(Q8/100))</f>
        <v>60056.2</v>
      </c>
      <c r="S8" s="45">
        <v>500</v>
      </c>
      <c r="T8" s="45"/>
      <c r="U8" s="45"/>
      <c r="V8" s="45"/>
      <c r="W8" s="51">
        <f>+S8+T8+U8+V8</f>
        <v>500</v>
      </c>
      <c r="X8" s="81">
        <f>+R8+W8</f>
        <v>60556.2</v>
      </c>
      <c r="Y8" s="81" t="e">
        <f>+X8+#REF!</f>
        <v>#REF!</v>
      </c>
      <c r="Z8" s="52"/>
    </row>
    <row r="9" spans="1:36" s="43" customFormat="1" ht="17.399999999999999" x14ac:dyDescent="0.3">
      <c r="A9" s="44">
        <v>3</v>
      </c>
      <c r="B9" s="73">
        <v>3</v>
      </c>
      <c r="C9" s="45">
        <f>C8+1</f>
        <v>67</v>
      </c>
      <c r="D9" s="99"/>
      <c r="E9" s="53" t="s">
        <v>96</v>
      </c>
      <c r="F9" s="47"/>
      <c r="G9" s="47"/>
      <c r="H9" s="47"/>
      <c r="I9" s="48"/>
      <c r="J9" s="49"/>
      <c r="K9" s="50">
        <f>+I9*J9</f>
        <v>0</v>
      </c>
      <c r="L9" s="48"/>
      <c r="M9" s="65">
        <f>355-4.5</f>
        <v>350.5</v>
      </c>
      <c r="N9" s="65">
        <v>34</v>
      </c>
      <c r="O9" s="45">
        <v>382</v>
      </c>
      <c r="P9" s="71">
        <f t="shared" ref="P9:P24" si="5">N9+M9-O9</f>
        <v>2.5</v>
      </c>
      <c r="Q9" s="44">
        <v>94000</v>
      </c>
      <c r="R9" s="77">
        <f t="shared" ref="R9:R23" si="6">SUM(P9*(Q9/100))</f>
        <v>2350</v>
      </c>
      <c r="S9" s="45">
        <f>2250+2250+1200</f>
        <v>5700</v>
      </c>
      <c r="T9" s="45"/>
      <c r="U9" s="45"/>
      <c r="V9" s="45"/>
      <c r="W9" s="51">
        <f t="shared" ref="W9:W23" si="7">+S9+T9+U9+V9</f>
        <v>5700</v>
      </c>
      <c r="X9" s="81">
        <f t="shared" si="4"/>
        <v>8050</v>
      </c>
      <c r="Y9" s="81" t="e">
        <f>+X9+#REF!</f>
        <v>#REF!</v>
      </c>
      <c r="Z9" s="52"/>
    </row>
    <row r="10" spans="1:36" s="43" customFormat="1" ht="17.399999999999999" x14ac:dyDescent="0.3">
      <c r="A10" s="44">
        <v>4</v>
      </c>
      <c r="B10" s="45">
        <v>3</v>
      </c>
      <c r="C10" s="45">
        <f t="shared" ref="C10:C21" si="8">C9+1</f>
        <v>68</v>
      </c>
      <c r="D10" s="99"/>
      <c r="E10" s="53" t="s">
        <v>97</v>
      </c>
      <c r="F10" s="47"/>
      <c r="G10" s="47"/>
      <c r="H10" s="47"/>
      <c r="I10" s="48">
        <f t="shared" ref="I10:I23" si="9">+H10+G10+F10</f>
        <v>0</v>
      </c>
      <c r="J10" s="49"/>
      <c r="K10" s="50">
        <f t="shared" ref="K10:K23" si="10">+I10*J10</f>
        <v>0</v>
      </c>
      <c r="L10" s="48"/>
      <c r="M10" s="65">
        <f>83.8-1.5</f>
        <v>82.3</v>
      </c>
      <c r="N10" s="65">
        <v>11.5</v>
      </c>
      <c r="O10" s="45"/>
      <c r="P10" s="71">
        <f t="shared" si="5"/>
        <v>93.8</v>
      </c>
      <c r="Q10" s="44">
        <v>94000</v>
      </c>
      <c r="R10" s="77">
        <f t="shared" si="6"/>
        <v>88172</v>
      </c>
      <c r="S10" s="45">
        <f>1500+1200</f>
        <v>2700</v>
      </c>
      <c r="T10" s="45"/>
      <c r="U10" s="45"/>
      <c r="V10" s="45"/>
      <c r="W10" s="51">
        <f t="shared" si="7"/>
        <v>2700</v>
      </c>
      <c r="X10" s="81">
        <f t="shared" si="4"/>
        <v>90872</v>
      </c>
      <c r="Y10" s="81" t="e">
        <f>+X10+#REF!</f>
        <v>#REF!</v>
      </c>
      <c r="Z10" s="52"/>
    </row>
    <row r="11" spans="1:36" s="43" customFormat="1" ht="17.399999999999999" x14ac:dyDescent="0.3">
      <c r="A11" s="44">
        <v>5</v>
      </c>
      <c r="B11" s="45">
        <v>6</v>
      </c>
      <c r="C11" s="45">
        <f t="shared" si="8"/>
        <v>69</v>
      </c>
      <c r="D11" s="99"/>
      <c r="E11" s="53" t="s">
        <v>74</v>
      </c>
      <c r="F11" s="47"/>
      <c r="G11" s="47"/>
      <c r="H11" s="47"/>
      <c r="I11" s="48">
        <f t="shared" si="9"/>
        <v>0</v>
      </c>
      <c r="J11" s="49"/>
      <c r="K11" s="50">
        <f>+I11*J11</f>
        <v>0</v>
      </c>
      <c r="L11" s="48"/>
      <c r="M11" s="65">
        <v>100.1</v>
      </c>
      <c r="N11" s="65">
        <v>11</v>
      </c>
      <c r="O11" s="45"/>
      <c r="P11" s="71">
        <f t="shared" si="5"/>
        <v>111.1</v>
      </c>
      <c r="Q11" s="44">
        <v>93000</v>
      </c>
      <c r="R11" s="77">
        <f t="shared" si="6"/>
        <v>103323</v>
      </c>
      <c r="S11" s="45">
        <v>1200</v>
      </c>
      <c r="T11" s="45"/>
      <c r="U11" s="45"/>
      <c r="V11" s="45"/>
      <c r="W11" s="51">
        <f t="shared" si="7"/>
        <v>1200</v>
      </c>
      <c r="X11" s="81">
        <f t="shared" si="4"/>
        <v>104523</v>
      </c>
      <c r="Y11" s="81" t="e">
        <f>+X11+#REF!</f>
        <v>#REF!</v>
      </c>
      <c r="Z11" s="52"/>
    </row>
    <row r="12" spans="1:36" s="43" customFormat="1" ht="17.399999999999999" x14ac:dyDescent="0.3">
      <c r="A12" s="44"/>
      <c r="B12" s="45">
        <v>7</v>
      </c>
      <c r="C12" s="45">
        <v>169</v>
      </c>
      <c r="D12" s="99">
        <v>606905712</v>
      </c>
      <c r="E12" s="53" t="s">
        <v>135</v>
      </c>
      <c r="F12" s="47"/>
      <c r="G12" s="47">
        <v>70</v>
      </c>
      <c r="H12" s="47"/>
      <c r="I12" s="48">
        <f t="shared" si="9"/>
        <v>70</v>
      </c>
      <c r="J12" s="49">
        <v>8299</v>
      </c>
      <c r="K12" s="50">
        <f>+I12*J12</f>
        <v>580930</v>
      </c>
      <c r="L12" s="48"/>
      <c r="M12" s="65"/>
      <c r="N12" s="65"/>
      <c r="O12" s="45"/>
      <c r="P12" s="71"/>
      <c r="Q12" s="44"/>
      <c r="R12" s="77"/>
      <c r="S12" s="45"/>
      <c r="T12" s="45"/>
      <c r="U12" s="45"/>
      <c r="V12" s="45"/>
      <c r="W12" s="51"/>
      <c r="X12" s="81"/>
      <c r="Y12" s="81"/>
      <c r="Z12" s="52"/>
    </row>
    <row r="13" spans="1:36" s="43" customFormat="1" ht="17.399999999999999" x14ac:dyDescent="0.3">
      <c r="A13" s="44">
        <v>6</v>
      </c>
      <c r="B13" s="45">
        <v>11</v>
      </c>
      <c r="C13" s="45">
        <f>C11+1</f>
        <v>70</v>
      </c>
      <c r="D13" s="99"/>
      <c r="E13" s="53" t="s">
        <v>77</v>
      </c>
      <c r="F13" s="47"/>
      <c r="G13" s="47"/>
      <c r="H13" s="47"/>
      <c r="I13" s="48">
        <f t="shared" si="9"/>
        <v>0</v>
      </c>
      <c r="J13" s="49"/>
      <c r="K13" s="50">
        <f t="shared" si="10"/>
        <v>0</v>
      </c>
      <c r="L13" s="48"/>
      <c r="M13" s="65">
        <v>19.8</v>
      </c>
      <c r="N13" s="65">
        <v>5</v>
      </c>
      <c r="O13" s="45"/>
      <c r="P13" s="71">
        <f t="shared" si="5"/>
        <v>24.8</v>
      </c>
      <c r="Q13" s="44">
        <v>97800</v>
      </c>
      <c r="R13" s="77">
        <f t="shared" si="6"/>
        <v>24254.400000000001</v>
      </c>
      <c r="S13" s="45">
        <v>1500</v>
      </c>
      <c r="T13" s="45"/>
      <c r="U13" s="45"/>
      <c r="V13" s="45"/>
      <c r="W13" s="51">
        <f t="shared" si="7"/>
        <v>1500</v>
      </c>
      <c r="X13" s="81">
        <f t="shared" si="4"/>
        <v>25754.400000000001</v>
      </c>
      <c r="Y13" s="81" t="e">
        <f>+X13+#REF!</f>
        <v>#REF!</v>
      </c>
      <c r="Z13" s="52"/>
    </row>
    <row r="14" spans="1:36" s="43" customFormat="1" ht="17.399999999999999" x14ac:dyDescent="0.3">
      <c r="A14" s="44">
        <v>7</v>
      </c>
      <c r="B14" s="45">
        <v>11</v>
      </c>
      <c r="C14" s="45">
        <f t="shared" si="8"/>
        <v>71</v>
      </c>
      <c r="D14" s="99" t="s">
        <v>121</v>
      </c>
      <c r="E14" s="53" t="s">
        <v>98</v>
      </c>
      <c r="F14" s="47"/>
      <c r="G14" s="47"/>
      <c r="H14" s="47"/>
      <c r="I14" s="48">
        <f t="shared" si="9"/>
        <v>0</v>
      </c>
      <c r="J14" s="49"/>
      <c r="K14" s="50">
        <f t="shared" si="10"/>
        <v>0</v>
      </c>
      <c r="L14" s="48"/>
      <c r="M14" s="65">
        <f>150.4+49+412.4+49.4+25+105.2</f>
        <v>791.4</v>
      </c>
      <c r="N14" s="65">
        <v>98</v>
      </c>
      <c r="O14" s="45"/>
      <c r="P14" s="71">
        <f t="shared" si="5"/>
        <v>889.4</v>
      </c>
      <c r="Q14" s="44">
        <v>93300</v>
      </c>
      <c r="R14" s="77">
        <f t="shared" si="6"/>
        <v>829810.2</v>
      </c>
      <c r="S14" s="45">
        <v>17850</v>
      </c>
      <c r="T14" s="45">
        <f>4500+300</f>
        <v>4800</v>
      </c>
      <c r="U14" s="45">
        <v>2870</v>
      </c>
      <c r="V14" s="45"/>
      <c r="W14" s="94">
        <f t="shared" si="7"/>
        <v>25520</v>
      </c>
      <c r="X14" s="81">
        <f t="shared" si="4"/>
        <v>855330.2</v>
      </c>
      <c r="Y14" s="81" t="e">
        <f>+X14+#REF!</f>
        <v>#REF!</v>
      </c>
      <c r="Z14" s="52"/>
    </row>
    <row r="15" spans="1:36" s="43" customFormat="1" ht="17.399999999999999" x14ac:dyDescent="0.3">
      <c r="A15" s="44">
        <v>8</v>
      </c>
      <c r="B15" s="45">
        <v>11</v>
      </c>
      <c r="C15" s="45">
        <f t="shared" si="8"/>
        <v>72</v>
      </c>
      <c r="D15" s="99"/>
      <c r="E15" s="53" t="s">
        <v>99</v>
      </c>
      <c r="F15" s="47"/>
      <c r="G15" s="47"/>
      <c r="H15" s="47"/>
      <c r="I15" s="48">
        <f t="shared" si="9"/>
        <v>0</v>
      </c>
      <c r="J15" s="49"/>
      <c r="K15" s="50">
        <f t="shared" si="10"/>
        <v>0</v>
      </c>
      <c r="L15" s="48"/>
      <c r="M15" s="65">
        <f>299.8+50+47.1</f>
        <v>396.90000000000003</v>
      </c>
      <c r="N15" s="65">
        <v>50</v>
      </c>
      <c r="O15" s="45"/>
      <c r="P15" s="71">
        <f t="shared" si="5"/>
        <v>446.90000000000003</v>
      </c>
      <c r="Q15" s="44">
        <v>93300</v>
      </c>
      <c r="R15" s="77">
        <f t="shared" si="6"/>
        <v>416957.7</v>
      </c>
      <c r="S15" s="45">
        <f>4500+1200+1500</f>
        <v>7200</v>
      </c>
      <c r="T15" s="45"/>
      <c r="U15" s="45">
        <v>1840</v>
      </c>
      <c r="V15" s="45"/>
      <c r="W15" s="51">
        <f t="shared" si="7"/>
        <v>9040</v>
      </c>
      <c r="X15" s="81">
        <f t="shared" si="4"/>
        <v>425997.7</v>
      </c>
      <c r="Y15" s="81" t="e">
        <f>+X15+#REF!</f>
        <v>#REF!</v>
      </c>
      <c r="Z15" s="52">
        <v>1</v>
      </c>
    </row>
    <row r="16" spans="1:36" s="43" customFormat="1" ht="17.399999999999999" x14ac:dyDescent="0.3">
      <c r="A16" s="44">
        <v>9</v>
      </c>
      <c r="B16" s="45">
        <v>14</v>
      </c>
      <c r="C16" s="45">
        <f t="shared" si="8"/>
        <v>73</v>
      </c>
      <c r="D16" s="99"/>
      <c r="E16" s="53" t="s">
        <v>93</v>
      </c>
      <c r="F16" s="47"/>
      <c r="G16" s="47"/>
      <c r="H16" s="47"/>
      <c r="I16" s="48">
        <f t="shared" si="9"/>
        <v>0</v>
      </c>
      <c r="J16" s="49"/>
      <c r="K16" s="50">
        <f t="shared" si="10"/>
        <v>0</v>
      </c>
      <c r="L16" s="48"/>
      <c r="M16" s="65">
        <v>56.7</v>
      </c>
      <c r="N16" s="65">
        <v>7</v>
      </c>
      <c r="O16" s="45">
        <v>59</v>
      </c>
      <c r="P16" s="71">
        <f t="shared" si="5"/>
        <v>4.7000000000000028</v>
      </c>
      <c r="Q16" s="44">
        <v>98000</v>
      </c>
      <c r="R16" s="77">
        <f t="shared" si="6"/>
        <v>4606.0000000000027</v>
      </c>
      <c r="S16" s="45">
        <v>1200</v>
      </c>
      <c r="T16" s="45"/>
      <c r="U16" s="45"/>
      <c r="V16" s="45"/>
      <c r="W16" s="51">
        <f t="shared" si="7"/>
        <v>1200</v>
      </c>
      <c r="X16" s="81">
        <f t="shared" si="4"/>
        <v>5806.0000000000027</v>
      </c>
      <c r="Y16" s="81" t="e">
        <f>+X16+#REF!</f>
        <v>#REF!</v>
      </c>
      <c r="Z16" s="52"/>
    </row>
    <row r="17" spans="1:26" s="43" customFormat="1" ht="17.399999999999999" x14ac:dyDescent="0.3">
      <c r="A17" s="44">
        <v>10</v>
      </c>
      <c r="B17" s="45">
        <v>15</v>
      </c>
      <c r="C17" s="45">
        <f t="shared" si="8"/>
        <v>74</v>
      </c>
      <c r="D17" s="99"/>
      <c r="E17" s="53" t="s">
        <v>102</v>
      </c>
      <c r="F17" s="47"/>
      <c r="G17" s="47"/>
      <c r="H17" s="47"/>
      <c r="I17" s="48">
        <f t="shared" si="9"/>
        <v>0</v>
      </c>
      <c r="J17" s="49"/>
      <c r="K17" s="50">
        <f t="shared" si="10"/>
        <v>0</v>
      </c>
      <c r="L17" s="48"/>
      <c r="M17" s="65">
        <f>150.4-4.5</f>
        <v>145.9</v>
      </c>
      <c r="N17" s="65">
        <v>18</v>
      </c>
      <c r="O17" s="45"/>
      <c r="P17" s="71">
        <f t="shared" si="5"/>
        <v>163.9</v>
      </c>
      <c r="Q17" s="44">
        <v>97800</v>
      </c>
      <c r="R17" s="77">
        <f t="shared" si="6"/>
        <v>160294.20000000001</v>
      </c>
      <c r="S17" s="45">
        <v>2250</v>
      </c>
      <c r="T17" s="45"/>
      <c r="U17" s="45"/>
      <c r="V17" s="45"/>
      <c r="W17" s="51">
        <f t="shared" si="7"/>
        <v>2250</v>
      </c>
      <c r="X17" s="81">
        <f t="shared" si="4"/>
        <v>162544.20000000001</v>
      </c>
      <c r="Y17" s="81" t="e">
        <f>+X17+#REF!</f>
        <v>#REF!</v>
      </c>
      <c r="Z17" s="52"/>
    </row>
    <row r="18" spans="1:26" s="43" customFormat="1" ht="17.399999999999999" x14ac:dyDescent="0.3">
      <c r="A18" s="44">
        <v>11</v>
      </c>
      <c r="B18" s="45">
        <v>20</v>
      </c>
      <c r="C18" s="45">
        <f t="shared" si="8"/>
        <v>75</v>
      </c>
      <c r="D18" s="99"/>
      <c r="E18" s="53" t="s">
        <v>84</v>
      </c>
      <c r="F18" s="47"/>
      <c r="G18" s="47"/>
      <c r="H18" s="47"/>
      <c r="I18" s="48">
        <f t="shared" si="9"/>
        <v>0</v>
      </c>
      <c r="J18" s="49"/>
      <c r="K18" s="50">
        <f t="shared" si="10"/>
        <v>0</v>
      </c>
      <c r="L18" s="48"/>
      <c r="M18" s="65">
        <v>34.6</v>
      </c>
      <c r="N18" s="65">
        <v>4</v>
      </c>
      <c r="O18" s="45"/>
      <c r="P18" s="71">
        <f t="shared" si="5"/>
        <v>38.6</v>
      </c>
      <c r="Q18" s="44">
        <v>98100</v>
      </c>
      <c r="R18" s="77">
        <f t="shared" si="6"/>
        <v>37866.6</v>
      </c>
      <c r="S18" s="45">
        <v>800</v>
      </c>
      <c r="T18" s="45"/>
      <c r="U18" s="45"/>
      <c r="V18" s="45"/>
      <c r="W18" s="51">
        <f t="shared" si="7"/>
        <v>800</v>
      </c>
      <c r="X18" s="81">
        <f t="shared" si="4"/>
        <v>38666.6</v>
      </c>
      <c r="Y18" s="81" t="e">
        <f>+X18+#REF!</f>
        <v>#REF!</v>
      </c>
      <c r="Z18" s="52">
        <v>1</v>
      </c>
    </row>
    <row r="19" spans="1:26" s="43" customFormat="1" ht="17.399999999999999" x14ac:dyDescent="0.3">
      <c r="A19" s="44">
        <v>12</v>
      </c>
      <c r="B19" s="45">
        <v>21</v>
      </c>
      <c r="C19" s="45">
        <f t="shared" si="8"/>
        <v>76</v>
      </c>
      <c r="D19" s="99"/>
      <c r="E19" s="53" t="s">
        <v>93</v>
      </c>
      <c r="F19" s="47"/>
      <c r="G19" s="47"/>
      <c r="H19" s="47"/>
      <c r="I19" s="48">
        <f t="shared" si="9"/>
        <v>0</v>
      </c>
      <c r="J19" s="49"/>
      <c r="K19" s="50">
        <f t="shared" si="10"/>
        <v>0</v>
      </c>
      <c r="L19" s="48"/>
      <c r="M19" s="65">
        <v>29</v>
      </c>
      <c r="N19" s="65">
        <v>5</v>
      </c>
      <c r="O19" s="45"/>
      <c r="P19" s="71">
        <f t="shared" si="5"/>
        <v>34</v>
      </c>
      <c r="Q19" s="44">
        <v>99500</v>
      </c>
      <c r="R19" s="77">
        <f t="shared" si="6"/>
        <v>33830</v>
      </c>
      <c r="S19" s="45">
        <v>1200</v>
      </c>
      <c r="T19" s="45"/>
      <c r="U19" s="45"/>
      <c r="V19" s="45"/>
      <c r="W19" s="51">
        <f t="shared" si="7"/>
        <v>1200</v>
      </c>
      <c r="X19" s="81">
        <f t="shared" si="4"/>
        <v>35030</v>
      </c>
      <c r="Y19" s="81" t="e">
        <f>+X19+#REF!</f>
        <v>#REF!</v>
      </c>
      <c r="Z19" s="52"/>
    </row>
    <row r="20" spans="1:26" s="43" customFormat="1" ht="17.399999999999999" x14ac:dyDescent="0.3">
      <c r="A20" s="44">
        <v>13</v>
      </c>
      <c r="B20" s="45">
        <v>21</v>
      </c>
      <c r="C20" s="45">
        <f t="shared" si="8"/>
        <v>77</v>
      </c>
      <c r="D20" s="99" t="s">
        <v>121</v>
      </c>
      <c r="E20" s="53" t="s">
        <v>73</v>
      </c>
      <c r="F20" s="47"/>
      <c r="G20" s="47"/>
      <c r="H20" s="47"/>
      <c r="I20" s="48">
        <f t="shared" si="9"/>
        <v>0</v>
      </c>
      <c r="J20" s="49"/>
      <c r="K20" s="50">
        <f t="shared" si="10"/>
        <v>0</v>
      </c>
      <c r="L20" s="48"/>
      <c r="M20" s="65">
        <v>94.7</v>
      </c>
      <c r="N20" s="65">
        <v>7</v>
      </c>
      <c r="O20" s="45">
        <v>101.7</v>
      </c>
      <c r="P20" s="71">
        <f t="shared" si="5"/>
        <v>0</v>
      </c>
      <c r="Q20" s="44"/>
      <c r="R20" s="77">
        <f t="shared" si="6"/>
        <v>0</v>
      </c>
      <c r="S20" s="45">
        <v>1200</v>
      </c>
      <c r="T20" s="45"/>
      <c r="U20" s="45"/>
      <c r="V20" s="45"/>
      <c r="W20" s="51">
        <f t="shared" si="7"/>
        <v>1200</v>
      </c>
      <c r="X20" s="81">
        <f t="shared" si="4"/>
        <v>1200</v>
      </c>
      <c r="Y20" s="81" t="e">
        <f>+X20+#REF!</f>
        <v>#REF!</v>
      </c>
      <c r="Z20" s="52"/>
    </row>
    <row r="21" spans="1:26" s="43" customFormat="1" ht="17.399999999999999" x14ac:dyDescent="0.3">
      <c r="A21" s="44">
        <v>14</v>
      </c>
      <c r="B21" s="45">
        <v>21</v>
      </c>
      <c r="C21" s="45">
        <f t="shared" si="8"/>
        <v>78</v>
      </c>
      <c r="D21" s="99"/>
      <c r="E21" s="53" t="s">
        <v>103</v>
      </c>
      <c r="F21" s="47"/>
      <c r="G21" s="47"/>
      <c r="H21" s="47"/>
      <c r="I21" s="48">
        <f t="shared" si="9"/>
        <v>0</v>
      </c>
      <c r="J21" s="49"/>
      <c r="K21" s="50">
        <f t="shared" si="10"/>
        <v>0</v>
      </c>
      <c r="L21" s="48"/>
      <c r="M21" s="65">
        <v>20.6</v>
      </c>
      <c r="N21" s="65">
        <v>5</v>
      </c>
      <c r="O21" s="45"/>
      <c r="P21" s="71">
        <f t="shared" si="5"/>
        <v>25.6</v>
      </c>
      <c r="Q21" s="44">
        <v>97800</v>
      </c>
      <c r="R21" s="77">
        <f t="shared" si="6"/>
        <v>25036.800000000003</v>
      </c>
      <c r="S21" s="45">
        <v>1200</v>
      </c>
      <c r="T21" s="45"/>
      <c r="U21" s="45"/>
      <c r="V21" s="45"/>
      <c r="W21" s="51">
        <f t="shared" si="7"/>
        <v>1200</v>
      </c>
      <c r="X21" s="81">
        <f t="shared" si="4"/>
        <v>26236.800000000003</v>
      </c>
      <c r="Y21" s="81" t="e">
        <f>+X21+#REF!</f>
        <v>#REF!</v>
      </c>
      <c r="Z21" s="52">
        <v>1</v>
      </c>
    </row>
    <row r="22" spans="1:26" s="43" customFormat="1" ht="17.399999999999999" x14ac:dyDescent="0.3">
      <c r="A22" s="44"/>
      <c r="B22" s="45">
        <v>26</v>
      </c>
      <c r="C22" s="45">
        <v>145</v>
      </c>
      <c r="D22" s="99">
        <v>607344668</v>
      </c>
      <c r="E22" s="53" t="s">
        <v>136</v>
      </c>
      <c r="F22" s="47"/>
      <c r="G22" s="47">
        <v>70.02</v>
      </c>
      <c r="H22" s="47"/>
      <c r="I22" s="48">
        <f t="shared" si="9"/>
        <v>70.02</v>
      </c>
      <c r="J22" s="49">
        <f>85905/10</f>
        <v>8590.5</v>
      </c>
      <c r="K22" s="50">
        <f t="shared" si="10"/>
        <v>601506.80999999994</v>
      </c>
      <c r="L22" s="48"/>
      <c r="M22" s="65"/>
      <c r="N22" s="65"/>
      <c r="O22" s="45"/>
      <c r="P22" s="71"/>
      <c r="Q22" s="44"/>
      <c r="R22" s="77"/>
      <c r="S22" s="45"/>
      <c r="T22" s="45"/>
      <c r="U22" s="45"/>
      <c r="V22" s="45"/>
      <c r="W22" s="51"/>
      <c r="X22" s="81"/>
      <c r="Y22" s="81"/>
      <c r="Z22" s="52"/>
    </row>
    <row r="23" spans="1:26" s="43" customFormat="1" ht="17.399999999999999" x14ac:dyDescent="0.3">
      <c r="A23" s="44">
        <v>15</v>
      </c>
      <c r="B23" s="45">
        <v>29</v>
      </c>
      <c r="C23" s="45">
        <f>C21+1</f>
        <v>79</v>
      </c>
      <c r="D23" s="99"/>
      <c r="E23" s="53" t="s">
        <v>77</v>
      </c>
      <c r="F23" s="47"/>
      <c r="G23" s="47"/>
      <c r="H23" s="47"/>
      <c r="I23" s="48">
        <f t="shared" si="9"/>
        <v>0</v>
      </c>
      <c r="J23" s="49"/>
      <c r="K23" s="50">
        <f t="shared" si="10"/>
        <v>0</v>
      </c>
      <c r="L23" s="48"/>
      <c r="M23" s="65">
        <v>25.2</v>
      </c>
      <c r="N23" s="65">
        <v>5.5</v>
      </c>
      <c r="O23" s="45"/>
      <c r="P23" s="71">
        <f t="shared" si="5"/>
        <v>30.7</v>
      </c>
      <c r="Q23" s="44">
        <v>100300</v>
      </c>
      <c r="R23" s="77">
        <f t="shared" si="6"/>
        <v>30792.1</v>
      </c>
      <c r="S23" s="45">
        <v>1500</v>
      </c>
      <c r="T23" s="45"/>
      <c r="U23" s="45"/>
      <c r="V23" s="45"/>
      <c r="W23" s="51">
        <f t="shared" si="7"/>
        <v>1500</v>
      </c>
      <c r="X23" s="81">
        <f t="shared" si="4"/>
        <v>32292.1</v>
      </c>
      <c r="Y23" s="81" t="e">
        <f>+X23+#REF!</f>
        <v>#REF!</v>
      </c>
      <c r="Z23" s="52"/>
    </row>
    <row r="24" spans="1:26" s="43" customFormat="1" ht="18" thickBot="1" x14ac:dyDescent="0.35">
      <c r="A24" s="54"/>
      <c r="B24" s="55"/>
      <c r="C24" s="55"/>
      <c r="D24" s="54"/>
      <c r="E24" s="56" t="s">
        <v>70</v>
      </c>
      <c r="F24" s="55">
        <f>SUM(F6:F23)</f>
        <v>0</v>
      </c>
      <c r="G24" s="55">
        <f>SUM(G6:G23)</f>
        <v>140.01999999999998</v>
      </c>
      <c r="H24" s="55">
        <f>SUM(H6:H23)</f>
        <v>0</v>
      </c>
      <c r="I24" s="57"/>
      <c r="J24" s="55"/>
      <c r="K24" s="57">
        <f ca="1">SUM(K6:K23)</f>
        <v>1054320</v>
      </c>
      <c r="L24" s="57" t="e">
        <f>+#REF!</f>
        <v>#REF!</v>
      </c>
      <c r="M24" s="66">
        <f>SUM(M6:M23)</f>
        <v>2207.4999999999995</v>
      </c>
      <c r="N24" s="66">
        <f>SUM(N6:N23)</f>
        <v>265.5</v>
      </c>
      <c r="O24" s="55">
        <f>SUM(O6:O23)</f>
        <v>542.70000000000005</v>
      </c>
      <c r="P24" s="71">
        <f t="shared" si="5"/>
        <v>1930.2999999999995</v>
      </c>
      <c r="Q24" s="54">
        <f>+R24/P24</f>
        <v>941.48536496917609</v>
      </c>
      <c r="R24" s="78">
        <f t="shared" ref="R24:Y24" si="11">SUM(R6:R23)</f>
        <v>1817349.2000000002</v>
      </c>
      <c r="S24" s="55">
        <f t="shared" si="11"/>
        <v>46000</v>
      </c>
      <c r="T24" s="55">
        <f t="shared" si="11"/>
        <v>4800</v>
      </c>
      <c r="U24" s="55">
        <f t="shared" si="11"/>
        <v>4710</v>
      </c>
      <c r="V24" s="55">
        <f t="shared" si="11"/>
        <v>0</v>
      </c>
      <c r="W24" s="57" t="e">
        <f t="shared" si="11"/>
        <v>#VALUE!</v>
      </c>
      <c r="X24" s="54">
        <f>SUM(X8:X23)</f>
        <v>1872859.2000000002</v>
      </c>
      <c r="Y24" s="54" t="e">
        <f t="shared" si="11"/>
        <v>#VALUE!</v>
      </c>
      <c r="Z24" s="57"/>
    </row>
    <row r="25" spans="1:26" s="43" customFormat="1" ht="18" thickTop="1" x14ac:dyDescent="0.3">
      <c r="A25" s="1"/>
      <c r="B25" s="2"/>
      <c r="C25" s="2"/>
      <c r="D25" s="1"/>
      <c r="E25" s="2"/>
      <c r="F25" s="2"/>
      <c r="G25" s="2"/>
      <c r="H25" s="2"/>
      <c r="I25" s="2"/>
      <c r="J25" s="2"/>
      <c r="K25" s="3"/>
      <c r="L25" s="3"/>
      <c r="M25" s="60"/>
      <c r="N25" s="60"/>
      <c r="O25" s="2"/>
      <c r="P25" s="72"/>
      <c r="Q25" s="1"/>
      <c r="R25" s="79"/>
      <c r="S25" s="2"/>
      <c r="T25" s="2"/>
      <c r="U25" s="2"/>
      <c r="V25" s="2"/>
      <c r="W25" s="3"/>
      <c r="X25" s="82"/>
      <c r="Y25" s="82"/>
      <c r="Z25" s="5"/>
    </row>
    <row r="26" spans="1:26" s="43" customFormat="1" ht="17.399999999999999" x14ac:dyDescent="0.3">
      <c r="A26" s="1"/>
      <c r="B26" s="2"/>
      <c r="C26" s="2"/>
      <c r="D26" s="1"/>
      <c r="E26" s="2"/>
      <c r="F26" s="2"/>
      <c r="G26" s="2"/>
      <c r="H26" s="2"/>
      <c r="I26" s="2"/>
      <c r="J26" s="2"/>
      <c r="K26" s="3"/>
      <c r="L26" s="3"/>
      <c r="M26" s="60"/>
      <c r="N26" s="60"/>
      <c r="O26" s="2"/>
      <c r="P26" s="72"/>
      <c r="Q26" s="1"/>
      <c r="R26" s="79"/>
      <c r="S26" s="2"/>
      <c r="T26" s="2"/>
      <c r="U26" s="2"/>
      <c r="V26" s="2"/>
      <c r="W26" s="3"/>
      <c r="X26" s="82"/>
      <c r="Y26" s="82"/>
      <c r="Z26" s="5"/>
    </row>
    <row r="27" spans="1:26" s="43" customFormat="1" ht="17.399999999999999" x14ac:dyDescent="0.3">
      <c r="A27" s="1"/>
      <c r="B27" s="2"/>
      <c r="C27" s="2"/>
      <c r="D27" s="1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1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1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1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1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1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1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1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1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1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1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1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1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1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1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1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1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1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1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1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1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1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1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1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1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1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1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1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1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1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1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1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1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1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1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1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1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1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1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1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1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1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1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1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1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1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1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1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1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1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1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1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1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1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1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1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1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1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1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1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1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1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1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1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1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1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1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1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1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1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1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1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1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1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1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1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1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1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1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1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1"/>
      <c r="R180" s="79"/>
      <c r="S180" s="2"/>
      <c r="T180" s="2"/>
      <c r="U180" s="2"/>
      <c r="V180" s="2"/>
      <c r="W180" s="3"/>
      <c r="X180" s="82"/>
      <c r="Y180" s="82"/>
      <c r="Z180" s="5"/>
    </row>
    <row r="181" spans="1:35" s="43" customFormat="1" ht="17.399999999999999" x14ac:dyDescent="0.3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3"/>
      <c r="L181" s="3"/>
      <c r="M181" s="60"/>
      <c r="N181" s="60"/>
      <c r="O181" s="2"/>
      <c r="P181" s="72"/>
      <c r="Q181" s="1"/>
      <c r="R181" s="79"/>
      <c r="S181" s="2"/>
      <c r="T181" s="2"/>
      <c r="U181" s="2"/>
      <c r="V181" s="2"/>
      <c r="W181" s="3"/>
      <c r="X181" s="82"/>
      <c r="Y181" s="82"/>
      <c r="Z181" s="5"/>
      <c r="AB181" s="58"/>
      <c r="AC181" s="58"/>
      <c r="AD181" s="58"/>
      <c r="AE181" s="58"/>
      <c r="AF181" s="59"/>
      <c r="AG181" s="59"/>
      <c r="AH181" s="59"/>
      <c r="AI181" s="59"/>
    </row>
  </sheetData>
  <mergeCells count="1">
    <mergeCell ref="F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1C5B-49CB-4988-9F30-5DDE5C6F7947}">
  <dimension ref="A1:AN175"/>
  <sheetViews>
    <sheetView topLeftCell="I2" zoomScale="70" zoomScaleNormal="70" workbookViewId="0">
      <selection activeCell="X18" sqref="X18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77734375" style="2" bestFit="1" customWidth="1"/>
    <col min="4" max="4" width="10" style="2" bestFit="1" customWidth="1"/>
    <col min="5" max="5" width="13.5546875" style="2" bestFit="1" customWidth="1"/>
    <col min="6" max="6" width="10.6640625" style="2" customWidth="1"/>
    <col min="7" max="7" width="11.44140625" style="2" bestFit="1" customWidth="1"/>
    <col min="8" max="8" width="10.6640625" style="2" customWidth="1"/>
    <col min="9" max="9" width="18.21875" style="2" bestFit="1" customWidth="1"/>
    <col min="10" max="10" width="12.88671875" style="2" bestFit="1" customWidth="1"/>
    <col min="11" max="11" width="16.21875" style="3" bestFit="1" customWidth="1"/>
    <col min="12" max="12" width="13.77734375" style="3" bestFit="1" customWidth="1"/>
    <col min="13" max="13" width="14.21875" style="60" bestFit="1" customWidth="1"/>
    <col min="14" max="14" width="15.109375" style="60" bestFit="1" customWidth="1"/>
    <col min="15" max="15" width="11.5546875" style="2" customWidth="1"/>
    <col min="16" max="16" width="18.109375" style="72" bestFit="1" customWidth="1"/>
    <col min="17" max="17" width="13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/>
      <c r="E1" s="2" t="str">
        <f t="shared" ref="E1:Y1" si="0">E18</f>
        <v>hDdf</v>
      </c>
      <c r="F1" s="2">
        <f t="shared" ref="F1:H1" si="1">+F18</f>
        <v>0</v>
      </c>
      <c r="G1" s="2">
        <f t="shared" si="1"/>
        <v>0</v>
      </c>
      <c r="H1" s="2">
        <f t="shared" si="1"/>
        <v>0</v>
      </c>
      <c r="I1" s="2">
        <f>+I18</f>
        <v>0</v>
      </c>
      <c r="J1" s="2">
        <f>+J18</f>
        <v>0</v>
      </c>
      <c r="K1" s="2">
        <f ca="1">+K18</f>
        <v>1054320</v>
      </c>
      <c r="L1" s="3" t="e">
        <f>L11:L17</f>
        <v>#VALUE!</v>
      </c>
      <c r="M1" s="60">
        <f t="shared" si="0"/>
        <v>765.9</v>
      </c>
      <c r="N1" s="60">
        <f t="shared" si="0"/>
        <v>97</v>
      </c>
      <c r="O1" s="2">
        <f t="shared" si="0"/>
        <v>111.5</v>
      </c>
      <c r="P1" s="60">
        <f t="shared" si="0"/>
        <v>751.4</v>
      </c>
      <c r="Q1" s="1">
        <f t="shared" si="0"/>
        <v>979.53965930263507</v>
      </c>
      <c r="R1" s="1">
        <f t="shared" si="0"/>
        <v>736026.1</v>
      </c>
      <c r="S1" s="2">
        <f t="shared" si="0"/>
        <v>18250</v>
      </c>
      <c r="T1" s="2">
        <f t="shared" si="0"/>
        <v>0</v>
      </c>
      <c r="U1" s="2">
        <f t="shared" si="0"/>
        <v>0</v>
      </c>
      <c r="V1" s="2">
        <f t="shared" si="0"/>
        <v>0</v>
      </c>
      <c r="W1" s="2" t="e">
        <f t="shared" si="0"/>
        <v>#VALUE!</v>
      </c>
      <c r="X1" s="1">
        <f t="shared" si="0"/>
        <v>754276.1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7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10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15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29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40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5"/>
      <c r="E7" s="46"/>
      <c r="F7" s="47"/>
      <c r="G7" s="47"/>
      <c r="H7" s="47"/>
      <c r="I7" s="48">
        <f ca="1">I7:L17=+H7+G7+F7</f>
        <v>0</v>
      </c>
      <c r="J7" s="49"/>
      <c r="K7" s="50">
        <f t="shared" ref="K7:K8" ca="1" si="2">+I7*J7</f>
        <v>0</v>
      </c>
      <c r="L7" s="48"/>
      <c r="M7" s="65"/>
      <c r="N7" s="65"/>
      <c r="O7" s="45"/>
      <c r="P7" s="71">
        <f t="shared" ref="P7" si="3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W8:W14</f>
        <v>#VALUE!</v>
      </c>
      <c r="X7" s="81" t="e">
        <f t="shared" ref="X7:X17" si="4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4</v>
      </c>
      <c r="C8" s="45">
        <v>80</v>
      </c>
      <c r="D8" s="45"/>
      <c r="E8" s="53" t="s">
        <v>84</v>
      </c>
      <c r="F8" s="47"/>
      <c r="G8" s="47"/>
      <c r="H8" s="47"/>
      <c r="I8" s="48">
        <f t="shared" ref="I8:I17" si="5">+H8+G8+F8</f>
        <v>0</v>
      </c>
      <c r="J8" s="49"/>
      <c r="K8" s="50">
        <f t="shared" si="2"/>
        <v>0</v>
      </c>
      <c r="L8" s="48"/>
      <c r="M8" s="65">
        <v>14.7</v>
      </c>
      <c r="N8" s="65">
        <v>3</v>
      </c>
      <c r="P8" s="71">
        <f>N8+M8-O8</f>
        <v>17.7</v>
      </c>
      <c r="Q8" s="44">
        <v>100500</v>
      </c>
      <c r="R8" s="77">
        <f>SUM(P8*(Q8/100))</f>
        <v>17788.5</v>
      </c>
      <c r="S8" s="45">
        <v>600</v>
      </c>
      <c r="T8" s="45"/>
      <c r="U8" s="45"/>
      <c r="V8" s="45"/>
      <c r="W8" s="51">
        <f>+S8+T8+U8+V8</f>
        <v>600</v>
      </c>
      <c r="X8" s="81">
        <f>+R8+W8</f>
        <v>18388.5</v>
      </c>
      <c r="Y8" s="81" t="e">
        <f>+X8+#REF!</f>
        <v>#REF!</v>
      </c>
      <c r="Z8" s="52">
        <v>1</v>
      </c>
    </row>
    <row r="9" spans="1:36" s="43" customFormat="1" ht="17.399999999999999" x14ac:dyDescent="0.3">
      <c r="A9" s="44">
        <v>3</v>
      </c>
      <c r="B9" s="73">
        <v>7</v>
      </c>
      <c r="C9" s="45">
        <f>C8+1</f>
        <v>81</v>
      </c>
      <c r="D9" s="45"/>
      <c r="E9" s="53" t="s">
        <v>77</v>
      </c>
      <c r="F9" s="47"/>
      <c r="G9" s="47"/>
      <c r="H9" s="47"/>
      <c r="I9" s="48"/>
      <c r="J9" s="49"/>
      <c r="K9" s="50">
        <f>+I9*J9</f>
        <v>0</v>
      </c>
      <c r="L9" s="48"/>
      <c r="M9" s="65">
        <v>20.100000000000001</v>
      </c>
      <c r="N9" s="65">
        <v>5</v>
      </c>
      <c r="O9" s="45"/>
      <c r="P9" s="71">
        <f t="shared" ref="P9:P18" si="6">N9+M9-O9</f>
        <v>25.1</v>
      </c>
      <c r="Q9" s="44">
        <v>101500</v>
      </c>
      <c r="R9" s="77">
        <f t="shared" ref="R9:R17" si="7">SUM(P9*(Q9/100))</f>
        <v>25476.5</v>
      </c>
      <c r="S9" s="45">
        <v>1500</v>
      </c>
      <c r="T9" s="45"/>
      <c r="U9" s="45"/>
      <c r="V9" s="45"/>
      <c r="W9" s="51">
        <f t="shared" ref="W9:W17" si="8">+S9+T9+U9+V9</f>
        <v>1500</v>
      </c>
      <c r="X9" s="81">
        <f t="shared" si="4"/>
        <v>26976.5</v>
      </c>
      <c r="Y9" s="81" t="e">
        <f>+X9+#REF!</f>
        <v>#REF!</v>
      </c>
      <c r="Z9" s="52">
        <v>1</v>
      </c>
    </row>
    <row r="10" spans="1:36" s="43" customFormat="1" ht="17.399999999999999" x14ac:dyDescent="0.3">
      <c r="A10" s="44">
        <v>4</v>
      </c>
      <c r="B10" s="45">
        <v>14</v>
      </c>
      <c r="C10" s="45">
        <f t="shared" ref="C10:C17" si="9">C9+1</f>
        <v>82</v>
      </c>
      <c r="D10" s="45"/>
      <c r="E10" s="53" t="s">
        <v>93</v>
      </c>
      <c r="F10" s="47"/>
      <c r="G10" s="47"/>
      <c r="H10" s="47"/>
      <c r="I10" s="48">
        <f t="shared" si="5"/>
        <v>0</v>
      </c>
      <c r="J10" s="49"/>
      <c r="K10" s="50">
        <f t="shared" ref="K10:K17" si="10">+I10*J10</f>
        <v>0</v>
      </c>
      <c r="L10" s="48"/>
      <c r="M10" s="65">
        <v>13.1</v>
      </c>
      <c r="N10" s="65">
        <v>3</v>
      </c>
      <c r="O10" s="45">
        <v>14.5</v>
      </c>
      <c r="P10" s="71">
        <f t="shared" si="6"/>
        <v>1.6000000000000014</v>
      </c>
      <c r="Q10" s="44">
        <v>105000</v>
      </c>
      <c r="R10" s="77">
        <f t="shared" si="7"/>
        <v>1680.0000000000016</v>
      </c>
      <c r="S10" s="45">
        <v>800</v>
      </c>
      <c r="T10" s="45"/>
      <c r="U10" s="45"/>
      <c r="V10" s="45"/>
      <c r="W10" s="51">
        <f t="shared" si="8"/>
        <v>800</v>
      </c>
      <c r="X10" s="81">
        <f t="shared" si="4"/>
        <v>2480.0000000000018</v>
      </c>
      <c r="Y10" s="81" t="e">
        <f>+X10+#REF!</f>
        <v>#REF!</v>
      </c>
      <c r="Z10" s="52">
        <f>2480-X10</f>
        <v>0</v>
      </c>
    </row>
    <row r="11" spans="1:36" s="43" customFormat="1" ht="17.399999999999999" x14ac:dyDescent="0.3">
      <c r="A11" s="44">
        <v>5</v>
      </c>
      <c r="B11" s="45">
        <v>17</v>
      </c>
      <c r="C11" s="45">
        <f t="shared" si="9"/>
        <v>83</v>
      </c>
      <c r="D11" s="45"/>
      <c r="E11" s="53" t="s">
        <v>102</v>
      </c>
      <c r="F11" s="47"/>
      <c r="G11" s="47"/>
      <c r="H11" s="47"/>
      <c r="I11" s="48">
        <f t="shared" si="5"/>
        <v>0</v>
      </c>
      <c r="J11" s="49"/>
      <c r="K11" s="50">
        <f t="shared" si="10"/>
        <v>0</v>
      </c>
      <c r="L11" s="48"/>
      <c r="M11" s="65">
        <v>111.8</v>
      </c>
      <c r="N11" s="65">
        <v>6</v>
      </c>
      <c r="O11" s="45">
        <v>97</v>
      </c>
      <c r="P11" s="71">
        <f t="shared" si="6"/>
        <v>20.799999999999997</v>
      </c>
      <c r="Q11" s="44">
        <v>98100</v>
      </c>
      <c r="R11" s="77">
        <f t="shared" si="7"/>
        <v>20404.799999999996</v>
      </c>
      <c r="S11" s="45">
        <v>2000</v>
      </c>
      <c r="T11" s="45"/>
      <c r="U11" s="45"/>
      <c r="V11" s="45"/>
      <c r="W11" s="51">
        <f t="shared" si="8"/>
        <v>2000</v>
      </c>
      <c r="X11" s="81">
        <f t="shared" si="4"/>
        <v>22404.799999999996</v>
      </c>
      <c r="Y11" s="81" t="e">
        <f>+X11+#REF!</f>
        <v>#REF!</v>
      </c>
      <c r="Z11" s="52">
        <v>1</v>
      </c>
    </row>
    <row r="12" spans="1:36" s="43" customFormat="1" ht="17.399999999999999" x14ac:dyDescent="0.3">
      <c r="A12" s="44">
        <v>6</v>
      </c>
      <c r="B12" s="45">
        <v>18</v>
      </c>
      <c r="C12" s="45">
        <f t="shared" si="9"/>
        <v>84</v>
      </c>
      <c r="D12" s="45"/>
      <c r="E12" s="53" t="s">
        <v>102</v>
      </c>
      <c r="F12" s="47"/>
      <c r="G12" s="47"/>
      <c r="H12" s="47"/>
      <c r="I12" s="48">
        <f t="shared" si="5"/>
        <v>0</v>
      </c>
      <c r="J12" s="49"/>
      <c r="K12" s="50">
        <f t="shared" si="10"/>
        <v>0</v>
      </c>
      <c r="L12" s="48"/>
      <c r="M12" s="65">
        <v>49.7</v>
      </c>
      <c r="N12" s="65">
        <v>6.5</v>
      </c>
      <c r="O12" s="45"/>
      <c r="P12" s="71">
        <f t="shared" si="6"/>
        <v>56.2</v>
      </c>
      <c r="Q12" s="44">
        <v>100500</v>
      </c>
      <c r="R12" s="77">
        <f t="shared" si="7"/>
        <v>56481</v>
      </c>
      <c r="S12" s="45">
        <v>2000</v>
      </c>
      <c r="T12" s="45"/>
      <c r="U12" s="45"/>
      <c r="V12" s="45"/>
      <c r="W12" s="51">
        <f t="shared" si="8"/>
        <v>2000</v>
      </c>
      <c r="X12" s="81">
        <f t="shared" si="4"/>
        <v>58481</v>
      </c>
      <c r="Y12" s="81" t="e">
        <f>+X12+#REF!</f>
        <v>#REF!</v>
      </c>
      <c r="Z12" s="52"/>
    </row>
    <row r="13" spans="1:36" s="43" customFormat="1" ht="17.399999999999999" x14ac:dyDescent="0.3">
      <c r="A13" s="44">
        <v>7</v>
      </c>
      <c r="B13" s="45">
        <v>20</v>
      </c>
      <c r="C13" s="45">
        <f t="shared" si="9"/>
        <v>85</v>
      </c>
      <c r="D13" s="45"/>
      <c r="E13" s="53" t="s">
        <v>77</v>
      </c>
      <c r="F13" s="47"/>
      <c r="G13" s="47"/>
      <c r="H13" s="47"/>
      <c r="I13" s="48">
        <f t="shared" si="5"/>
        <v>0</v>
      </c>
      <c r="J13" s="49"/>
      <c r="K13" s="50">
        <f t="shared" si="10"/>
        <v>0</v>
      </c>
      <c r="L13" s="48"/>
      <c r="M13" s="65">
        <v>50.3</v>
      </c>
      <c r="N13" s="65">
        <v>7</v>
      </c>
      <c r="O13" s="45"/>
      <c r="P13" s="71">
        <f t="shared" si="6"/>
        <v>57.3</v>
      </c>
      <c r="Q13" s="44">
        <v>100500</v>
      </c>
      <c r="R13" s="77">
        <f t="shared" si="7"/>
        <v>57586.5</v>
      </c>
      <c r="S13" s="45">
        <v>1500</v>
      </c>
      <c r="T13" s="45"/>
      <c r="U13" s="45"/>
      <c r="V13" s="45"/>
      <c r="W13" s="51">
        <f t="shared" si="8"/>
        <v>1500</v>
      </c>
      <c r="X13" s="81">
        <f t="shared" si="4"/>
        <v>59086.5</v>
      </c>
      <c r="Y13" s="81" t="e">
        <f>+X13+#REF!</f>
        <v>#REF!</v>
      </c>
      <c r="Z13" s="52">
        <v>1</v>
      </c>
    </row>
    <row r="14" spans="1:36" s="43" customFormat="1" ht="17.399999999999999" x14ac:dyDescent="0.3">
      <c r="A14" s="44">
        <v>8</v>
      </c>
      <c r="B14" s="45">
        <v>20</v>
      </c>
      <c r="C14" s="45">
        <f t="shared" si="9"/>
        <v>86</v>
      </c>
      <c r="D14" s="45"/>
      <c r="E14" s="53" t="s">
        <v>102</v>
      </c>
      <c r="F14" s="47"/>
      <c r="G14" s="47"/>
      <c r="H14" s="47"/>
      <c r="I14" s="48">
        <f t="shared" si="5"/>
        <v>0</v>
      </c>
      <c r="J14" s="49"/>
      <c r="K14" s="50">
        <f t="shared" si="10"/>
        <v>0</v>
      </c>
      <c r="L14" s="48"/>
      <c r="M14" s="65">
        <v>282.5</v>
      </c>
      <c r="N14" s="65">
        <v>36</v>
      </c>
      <c r="O14" s="45"/>
      <c r="P14" s="71">
        <f t="shared" si="6"/>
        <v>318.5</v>
      </c>
      <c r="Q14" s="44">
        <v>94000</v>
      </c>
      <c r="R14" s="77">
        <f t="shared" si="7"/>
        <v>299390</v>
      </c>
      <c r="S14" s="45">
        <v>4500</v>
      </c>
      <c r="T14" s="45"/>
      <c r="U14" s="45"/>
      <c r="V14" s="45"/>
      <c r="W14" s="51">
        <f t="shared" si="8"/>
        <v>4500</v>
      </c>
      <c r="X14" s="81">
        <f t="shared" si="4"/>
        <v>303890</v>
      </c>
      <c r="Y14" s="81" t="e">
        <f>+X14+#REF!</f>
        <v>#REF!</v>
      </c>
      <c r="Z14" s="52"/>
    </row>
    <row r="15" spans="1:36" s="43" customFormat="1" ht="17.399999999999999" x14ac:dyDescent="0.3">
      <c r="A15" s="44">
        <v>9</v>
      </c>
      <c r="B15" s="45">
        <v>28</v>
      </c>
      <c r="C15" s="45">
        <f t="shared" si="9"/>
        <v>87</v>
      </c>
      <c r="D15" s="91" t="s">
        <v>121</v>
      </c>
      <c r="E15" s="53" t="s">
        <v>104</v>
      </c>
      <c r="F15" s="47"/>
      <c r="G15" s="47"/>
      <c r="H15" s="47"/>
      <c r="I15" s="48">
        <f t="shared" si="5"/>
        <v>0</v>
      </c>
      <c r="J15" s="49"/>
      <c r="K15" s="50">
        <f t="shared" si="10"/>
        <v>0</v>
      </c>
      <c r="L15" s="48"/>
      <c r="M15" s="65">
        <f>198.6-4.5</f>
        <v>194.1</v>
      </c>
      <c r="N15" s="65">
        <v>24</v>
      </c>
      <c r="O15" s="45"/>
      <c r="P15" s="71">
        <f t="shared" si="6"/>
        <v>218.1</v>
      </c>
      <c r="Q15" s="44">
        <v>101100</v>
      </c>
      <c r="R15" s="77">
        <f t="shared" si="7"/>
        <v>220499.1</v>
      </c>
      <c r="S15" s="45">
        <f>2250+1500</f>
        <v>3750</v>
      </c>
      <c r="T15" s="45"/>
      <c r="U15" s="45"/>
      <c r="V15" s="45"/>
      <c r="W15" s="51">
        <f t="shared" si="8"/>
        <v>3750</v>
      </c>
      <c r="X15" s="81">
        <f t="shared" si="4"/>
        <v>224249.1</v>
      </c>
      <c r="Y15" s="81" t="e">
        <f>+X15+#REF!</f>
        <v>#REF!</v>
      </c>
      <c r="Z15" s="52"/>
    </row>
    <row r="16" spans="1:36" s="43" customFormat="1" ht="17.399999999999999" x14ac:dyDescent="0.3">
      <c r="A16" s="44">
        <v>10</v>
      </c>
      <c r="B16" s="45">
        <v>15</v>
      </c>
      <c r="C16" s="45">
        <f t="shared" si="9"/>
        <v>88</v>
      </c>
      <c r="D16" s="45"/>
      <c r="E16" s="53" t="s">
        <v>84</v>
      </c>
      <c r="F16" s="47"/>
      <c r="G16" s="47"/>
      <c r="H16" s="47"/>
      <c r="I16" s="48">
        <f t="shared" si="5"/>
        <v>0</v>
      </c>
      <c r="J16" s="49"/>
      <c r="K16" s="50">
        <f t="shared" si="10"/>
        <v>0</v>
      </c>
      <c r="L16" s="48"/>
      <c r="M16" s="65">
        <v>14.3</v>
      </c>
      <c r="N16" s="65">
        <v>3.5</v>
      </c>
      <c r="O16" s="45"/>
      <c r="P16" s="71">
        <f t="shared" si="6"/>
        <v>17.8</v>
      </c>
      <c r="Q16" s="44">
        <v>100500</v>
      </c>
      <c r="R16" s="77">
        <f t="shared" si="7"/>
        <v>17889</v>
      </c>
      <c r="S16" s="45">
        <v>800</v>
      </c>
      <c r="T16" s="45"/>
      <c r="U16" s="45"/>
      <c r="V16" s="45"/>
      <c r="W16" s="51">
        <f t="shared" si="8"/>
        <v>800</v>
      </c>
      <c r="X16" s="81">
        <f t="shared" si="4"/>
        <v>18689</v>
      </c>
      <c r="Y16" s="81" t="e">
        <f>+X16+#REF!</f>
        <v>#REF!</v>
      </c>
      <c r="Z16" s="52"/>
    </row>
    <row r="17" spans="1:26" s="43" customFormat="1" ht="17.399999999999999" x14ac:dyDescent="0.3">
      <c r="A17" s="44">
        <v>11</v>
      </c>
      <c r="B17" s="45">
        <v>29</v>
      </c>
      <c r="C17" s="45">
        <f t="shared" si="9"/>
        <v>89</v>
      </c>
      <c r="D17" s="45"/>
      <c r="E17" s="53" t="s">
        <v>84</v>
      </c>
      <c r="F17" s="47"/>
      <c r="G17" s="47"/>
      <c r="H17" s="47"/>
      <c r="I17" s="48">
        <f t="shared" si="5"/>
        <v>0</v>
      </c>
      <c r="J17" s="49"/>
      <c r="K17" s="50">
        <f t="shared" si="10"/>
        <v>0</v>
      </c>
      <c r="L17" s="48"/>
      <c r="M17" s="65">
        <v>15.3</v>
      </c>
      <c r="N17" s="65">
        <v>3</v>
      </c>
      <c r="O17" s="45"/>
      <c r="P17" s="71">
        <f t="shared" si="6"/>
        <v>18.3</v>
      </c>
      <c r="Q17" s="44">
        <v>102900</v>
      </c>
      <c r="R17" s="77">
        <f t="shared" si="7"/>
        <v>18830.7</v>
      </c>
      <c r="S17" s="45">
        <v>800</v>
      </c>
      <c r="T17" s="45"/>
      <c r="U17" s="45"/>
      <c r="V17" s="45"/>
      <c r="W17" s="51">
        <f t="shared" si="8"/>
        <v>800</v>
      </c>
      <c r="X17" s="81">
        <f t="shared" si="4"/>
        <v>19630.7</v>
      </c>
      <c r="Y17" s="81" t="e">
        <f>+X17+#REF!</f>
        <v>#REF!</v>
      </c>
      <c r="Z17" s="52">
        <v>1</v>
      </c>
    </row>
    <row r="18" spans="1:26" s="43" customFormat="1" ht="18" thickBot="1" x14ac:dyDescent="0.35">
      <c r="A18" s="54"/>
      <c r="B18" s="55"/>
      <c r="C18" s="55"/>
      <c r="D18" s="55"/>
      <c r="E18" s="56" t="s">
        <v>70</v>
      </c>
      <c r="F18" s="55">
        <f>SUM(F6:F17)</f>
        <v>0</v>
      </c>
      <c r="G18" s="55">
        <f>SUM(G6:G17)</f>
        <v>0</v>
      </c>
      <c r="H18" s="55">
        <f>SUM(H6:H17)</f>
        <v>0</v>
      </c>
      <c r="I18" s="57"/>
      <c r="J18" s="55"/>
      <c r="K18" s="57">
        <f ca="1">SUM(K6:K17)</f>
        <v>1054320</v>
      </c>
      <c r="L18" s="57" t="e">
        <f>+#REF!</f>
        <v>#REF!</v>
      </c>
      <c r="M18" s="66">
        <f>SUM(M6:M17)</f>
        <v>765.9</v>
      </c>
      <c r="N18" s="66">
        <f>SUM(N6:N17)</f>
        <v>97</v>
      </c>
      <c r="O18" s="55">
        <f>SUM(O6:O17)</f>
        <v>111.5</v>
      </c>
      <c r="P18" s="71">
        <f t="shared" si="6"/>
        <v>751.4</v>
      </c>
      <c r="Q18" s="54">
        <f>+R18/P18</f>
        <v>979.53965930263507</v>
      </c>
      <c r="R18" s="78">
        <f t="shared" ref="R18:Y18" si="11">SUM(R6:R17)</f>
        <v>736026.1</v>
      </c>
      <c r="S18" s="55">
        <f t="shared" si="11"/>
        <v>18250</v>
      </c>
      <c r="T18" s="55">
        <f t="shared" si="11"/>
        <v>0</v>
      </c>
      <c r="U18" s="55">
        <f t="shared" si="11"/>
        <v>0</v>
      </c>
      <c r="V18" s="55">
        <f t="shared" si="11"/>
        <v>0</v>
      </c>
      <c r="W18" s="57" t="e">
        <f t="shared" si="11"/>
        <v>#VALUE!</v>
      </c>
      <c r="X18" s="54">
        <f>SUM(X8:X17)</f>
        <v>754276.1</v>
      </c>
      <c r="Y18" s="54" t="e">
        <f t="shared" si="11"/>
        <v>#VALUE!</v>
      </c>
      <c r="Z18" s="57"/>
    </row>
    <row r="19" spans="1:26" s="43" customFormat="1" ht="18" thickTop="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60"/>
      <c r="N19" s="60"/>
      <c r="O19" s="2"/>
      <c r="P19" s="72"/>
      <c r="Q19" s="1"/>
      <c r="R19" s="79"/>
      <c r="S19" s="2"/>
      <c r="T19" s="2"/>
      <c r="U19" s="2"/>
      <c r="V19" s="2"/>
      <c r="W19" s="3"/>
      <c r="X19" s="82"/>
      <c r="Y19" s="82"/>
      <c r="Z19" s="5"/>
    </row>
    <row r="20" spans="1:26" s="43" customFormat="1" ht="17.399999999999999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60"/>
      <c r="N20" s="60"/>
      <c r="O20" s="2"/>
      <c r="P20" s="72"/>
      <c r="Q20" s="1"/>
      <c r="R20" s="79"/>
      <c r="S20" s="2"/>
      <c r="T20" s="2"/>
      <c r="U20" s="2"/>
      <c r="V20" s="2"/>
      <c r="W20" s="3"/>
      <c r="X20" s="82"/>
      <c r="Y20" s="82"/>
      <c r="Z20" s="5"/>
    </row>
    <row r="21" spans="1:26" s="43" customFormat="1" ht="17.399999999999999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60"/>
      <c r="N21" s="60"/>
      <c r="O21" s="2"/>
      <c r="P21" s="72"/>
      <c r="Q21" s="1"/>
      <c r="R21" s="79"/>
      <c r="S21" s="2"/>
      <c r="T21" s="2"/>
      <c r="U21" s="2"/>
      <c r="V21" s="2"/>
      <c r="W21" s="3"/>
      <c r="X21" s="82"/>
      <c r="Y21" s="82"/>
      <c r="Z21" s="5"/>
    </row>
    <row r="22" spans="1:26" s="43" customFormat="1" ht="17.399999999999999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60"/>
      <c r="N22" s="60"/>
      <c r="O22" s="2"/>
      <c r="P22" s="72"/>
      <c r="Q22" s="1"/>
      <c r="R22" s="79"/>
      <c r="S22" s="2"/>
      <c r="T22" s="2"/>
      <c r="U22" s="2"/>
      <c r="V22" s="2"/>
      <c r="W22" s="3"/>
      <c r="X22" s="82"/>
      <c r="Y22" s="82"/>
      <c r="Z22" s="5"/>
    </row>
    <row r="23" spans="1:26" s="43" customFormat="1" ht="17.399999999999999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60"/>
      <c r="N23" s="60"/>
      <c r="O23" s="2"/>
      <c r="P23" s="72"/>
      <c r="Q23" s="1"/>
      <c r="R23" s="79"/>
      <c r="S23" s="2"/>
      <c r="T23" s="2"/>
      <c r="U23" s="2"/>
      <c r="V23" s="2"/>
      <c r="W23" s="3"/>
      <c r="X23" s="82"/>
      <c r="Y23" s="82"/>
      <c r="Z23" s="5"/>
    </row>
    <row r="24" spans="1:26" s="43" customFormat="1" ht="17.399999999999999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60"/>
      <c r="N24" s="60"/>
      <c r="O24" s="2"/>
      <c r="P24" s="72"/>
      <c r="Q24" s="1"/>
      <c r="R24" s="79"/>
      <c r="S24" s="2"/>
      <c r="T24" s="2"/>
      <c r="U24" s="2"/>
      <c r="V24" s="2"/>
      <c r="W24" s="3"/>
      <c r="X24" s="82"/>
      <c r="Y24" s="82"/>
      <c r="Z24" s="5"/>
    </row>
    <row r="25" spans="1:26" s="43" customFormat="1" ht="17.399999999999999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60">
        <f>218.1*1011</f>
        <v>220499.1</v>
      </c>
      <c r="N25" s="60"/>
      <c r="O25" s="2"/>
      <c r="P25" s="72"/>
      <c r="Q25" s="1"/>
      <c r="R25" s="79"/>
      <c r="S25" s="2"/>
      <c r="T25" s="2"/>
      <c r="U25" s="2"/>
      <c r="V25" s="2"/>
      <c r="W25" s="3"/>
      <c r="X25" s="82"/>
      <c r="Y25" s="82"/>
      <c r="Z25" s="5"/>
    </row>
    <row r="26" spans="1:26" s="43" customFormat="1" ht="17.399999999999999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60"/>
      <c r="N26" s="60"/>
      <c r="O26" s="2"/>
      <c r="P26" s="71"/>
      <c r="Q26" s="1"/>
      <c r="R26" s="79"/>
      <c r="S26" s="2"/>
      <c r="T26" s="2"/>
      <c r="U26" s="2"/>
      <c r="V26" s="2"/>
      <c r="W26" s="3"/>
      <c r="X26" s="82"/>
      <c r="Y26" s="82"/>
      <c r="Z26" s="5"/>
    </row>
    <row r="27" spans="1:26" s="43" customFormat="1" ht="17.399999999999999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1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1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1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35" s="43" customFormat="1" ht="17.399999999999999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35" s="43" customFormat="1" ht="17.399999999999999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35" s="43" customFormat="1" ht="17.399999999999999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35" s="43" customFormat="1" ht="17.399999999999999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35" s="43" customFormat="1" ht="17.399999999999999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35" s="43" customFormat="1" ht="17.399999999999999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35" s="43" customFormat="1" ht="17.399999999999999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35" s="43" customFormat="1" ht="17.399999999999999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35" s="43" customFormat="1" ht="17.399999999999999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35" s="43" customFormat="1" ht="17.399999999999999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35" s="43" customFormat="1" ht="17.399999999999999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35" s="43" customFormat="1" ht="17.399999999999999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35" s="43" customFormat="1" ht="17.399999999999999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35" s="43" customFormat="1" ht="17.399999999999999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35" s="43" customFormat="1" ht="17.399999999999999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  <c r="AB175" s="58"/>
      <c r="AC175" s="58"/>
      <c r="AD175" s="58"/>
      <c r="AE175" s="58"/>
      <c r="AF175" s="59"/>
      <c r="AG175" s="59"/>
      <c r="AH175" s="59"/>
      <c r="AI175" s="59"/>
    </row>
  </sheetData>
  <mergeCells count="1">
    <mergeCell ref="F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7255-F404-467D-95C1-A7C05DFC52EA}">
  <dimension ref="A1:AN182"/>
  <sheetViews>
    <sheetView topLeftCell="A6" zoomScale="90" workbookViewId="0">
      <selection activeCell="D20" sqref="D20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77734375" style="2" bestFit="1" customWidth="1"/>
    <col min="4" max="4" width="19.21875" style="1" bestFit="1" customWidth="1"/>
    <col min="5" max="5" width="13.5546875" style="2" bestFit="1" customWidth="1"/>
    <col min="6" max="6" width="10.6640625" style="2" customWidth="1"/>
    <col min="7" max="7" width="11.44140625" style="2" bestFit="1" customWidth="1"/>
    <col min="8" max="8" width="10.6640625" style="2" customWidth="1"/>
    <col min="9" max="9" width="18.21875" style="2" bestFit="1" customWidth="1"/>
    <col min="10" max="10" width="12.88671875" style="2" bestFit="1" customWidth="1"/>
    <col min="11" max="11" width="16.21875" style="3" bestFit="1" customWidth="1"/>
    <col min="12" max="12" width="13.77734375" style="3" bestFit="1" customWidth="1"/>
    <col min="13" max="13" width="14.21875" style="60" bestFit="1" customWidth="1"/>
    <col min="14" max="14" width="15.109375" style="60" bestFit="1" customWidth="1"/>
    <col min="15" max="15" width="11.5546875" style="2" customWidth="1"/>
    <col min="16" max="16" width="18.109375" style="72" bestFit="1" customWidth="1"/>
    <col min="17" max="17" width="13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/>
      <c r="E1" s="2" t="str">
        <f t="shared" ref="E1:Y1" si="0">E25</f>
        <v>hDdf</v>
      </c>
      <c r="F1" s="2">
        <f t="shared" ref="F1:H1" si="1">+F25</f>
        <v>0</v>
      </c>
      <c r="G1" s="2">
        <f t="shared" si="1"/>
        <v>70.02</v>
      </c>
      <c r="H1" s="2">
        <f t="shared" si="1"/>
        <v>0</v>
      </c>
      <c r="I1" s="2">
        <f>+I25</f>
        <v>0</v>
      </c>
      <c r="J1" s="2">
        <f>+J25</f>
        <v>0</v>
      </c>
      <c r="K1" s="2">
        <f ca="1">+K25</f>
        <v>1054320</v>
      </c>
      <c r="L1" s="3" t="e">
        <f>L11:L18</f>
        <v>#VALUE!</v>
      </c>
      <c r="M1" s="60">
        <f t="shared" si="0"/>
        <v>1406.6000000000001</v>
      </c>
      <c r="N1" s="60">
        <f t="shared" si="0"/>
        <v>160.1</v>
      </c>
      <c r="O1" s="2">
        <f t="shared" si="0"/>
        <v>773.9</v>
      </c>
      <c r="P1" s="60">
        <f t="shared" si="0"/>
        <v>792.80000000000007</v>
      </c>
      <c r="Q1" s="1">
        <f t="shared" si="0"/>
        <v>1047.2797817860746</v>
      </c>
      <c r="R1" s="1">
        <f t="shared" si="0"/>
        <v>830283.41099999996</v>
      </c>
      <c r="S1" s="2">
        <f t="shared" si="0"/>
        <v>28500</v>
      </c>
      <c r="T1" s="2">
        <f t="shared" si="0"/>
        <v>0</v>
      </c>
      <c r="U1" s="2">
        <f t="shared" si="0"/>
        <v>1375</v>
      </c>
      <c r="V1" s="2">
        <f t="shared" si="0"/>
        <v>0</v>
      </c>
      <c r="W1" s="2" t="e">
        <f t="shared" si="0"/>
        <v>#VALUE!</v>
      </c>
      <c r="X1" s="1">
        <f t="shared" si="0"/>
        <v>860158.41099999996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95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96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97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98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39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4"/>
      <c r="E7" s="46"/>
      <c r="F7" s="47"/>
      <c r="G7" s="47"/>
      <c r="H7" s="47"/>
      <c r="I7" s="48">
        <f ca="1">I7:L24=+H7+G7+F7</f>
        <v>0</v>
      </c>
      <c r="J7" s="49"/>
      <c r="K7" s="50">
        <f t="shared" ref="K7:K8" ca="1" si="2">+I7*J7</f>
        <v>0</v>
      </c>
      <c r="L7" s="48"/>
      <c r="M7" s="65"/>
      <c r="N7" s="65"/>
      <c r="O7" s="45"/>
      <c r="P7" s="71">
        <f t="shared" ref="P7" si="3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W8:W14</f>
        <v>#VALUE!</v>
      </c>
      <c r="X7" s="81" t="e">
        <f t="shared" ref="X7:X24" si="4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1</v>
      </c>
      <c r="C8" s="45">
        <v>90</v>
      </c>
      <c r="D8" s="99"/>
      <c r="E8" s="53" t="s">
        <v>77</v>
      </c>
      <c r="F8" s="47"/>
      <c r="G8" s="47"/>
      <c r="H8" s="47"/>
      <c r="I8" s="48">
        <f t="shared" ref="I8:I24" si="5">+H8+G8+F8</f>
        <v>0</v>
      </c>
      <c r="J8" s="49"/>
      <c r="K8" s="50">
        <f t="shared" si="2"/>
        <v>0</v>
      </c>
      <c r="L8" s="48"/>
      <c r="M8" s="65">
        <v>25</v>
      </c>
      <c r="N8" s="65">
        <v>5.5</v>
      </c>
      <c r="P8" s="71">
        <f>N8+M8-O8</f>
        <v>30.5</v>
      </c>
      <c r="Q8" s="44">
        <v>105000</v>
      </c>
      <c r="R8" s="77">
        <f>SUM(P8*(Q8/100))</f>
        <v>32025</v>
      </c>
      <c r="S8" s="45">
        <v>1500</v>
      </c>
      <c r="T8" s="45"/>
      <c r="U8" s="45"/>
      <c r="V8" s="45"/>
      <c r="W8" s="51">
        <f>+S8+T8+U8+V8</f>
        <v>1500</v>
      </c>
      <c r="X8" s="81">
        <f>+R8+W8</f>
        <v>33525</v>
      </c>
      <c r="Y8" s="81" t="e">
        <f>+X8+#REF!</f>
        <v>#REF!</v>
      </c>
      <c r="Z8" s="52"/>
    </row>
    <row r="9" spans="1:36" s="43" customFormat="1" ht="17.399999999999999" x14ac:dyDescent="0.3">
      <c r="A9" s="44">
        <v>3</v>
      </c>
      <c r="B9" s="73">
        <v>1</v>
      </c>
      <c r="C9" s="45">
        <f>C8+1</f>
        <v>91</v>
      </c>
      <c r="D9" s="99"/>
      <c r="E9" s="53" t="s">
        <v>77</v>
      </c>
      <c r="F9" s="47"/>
      <c r="G9" s="47"/>
      <c r="H9" s="47"/>
      <c r="I9" s="48"/>
      <c r="J9" s="49"/>
      <c r="K9" s="50">
        <f>+I9*J9</f>
        <v>0</v>
      </c>
      <c r="L9" s="48"/>
      <c r="M9" s="65">
        <v>19</v>
      </c>
      <c r="N9" s="65">
        <v>5.5</v>
      </c>
      <c r="O9" s="45"/>
      <c r="P9" s="71">
        <f t="shared" ref="P9:P25" si="6">N9+M9-O9</f>
        <v>24.5</v>
      </c>
      <c r="Q9" s="44">
        <v>105000</v>
      </c>
      <c r="R9" s="77">
        <f t="shared" ref="R9:R24" si="7">SUM(P9*(Q9/100))</f>
        <v>25725</v>
      </c>
      <c r="S9" s="45">
        <v>1500</v>
      </c>
      <c r="T9" s="45"/>
      <c r="U9" s="45"/>
      <c r="V9" s="45"/>
      <c r="W9" s="51">
        <f t="shared" ref="W9:W24" si="8">+S9+T9+U9+V9</f>
        <v>1500</v>
      </c>
      <c r="X9" s="81">
        <f t="shared" si="4"/>
        <v>27225</v>
      </c>
      <c r="Y9" s="81" t="e">
        <f>+X9+#REF!</f>
        <v>#REF!</v>
      </c>
      <c r="Z9" s="52"/>
    </row>
    <row r="10" spans="1:36" s="43" customFormat="1" ht="17.399999999999999" x14ac:dyDescent="0.3">
      <c r="A10" s="44">
        <v>4</v>
      </c>
      <c r="B10" s="45">
        <v>7</v>
      </c>
      <c r="C10" s="45">
        <f t="shared" ref="C10:C24" si="9">C9+1</f>
        <v>92</v>
      </c>
      <c r="D10" s="99"/>
      <c r="E10" s="53" t="s">
        <v>77</v>
      </c>
      <c r="F10" s="47"/>
      <c r="G10" s="47"/>
      <c r="H10" s="47"/>
      <c r="I10" s="48">
        <f t="shared" si="5"/>
        <v>0</v>
      </c>
      <c r="J10" s="49"/>
      <c r="K10" s="50">
        <f t="shared" ref="K10:K24" si="10">+I10*J10</f>
        <v>0</v>
      </c>
      <c r="L10" s="48"/>
      <c r="M10" s="65">
        <v>25.2</v>
      </c>
      <c r="N10" s="65">
        <v>5.5</v>
      </c>
      <c r="O10" s="45">
        <v>27</v>
      </c>
      <c r="P10" s="71">
        <f t="shared" si="6"/>
        <v>3.6999999999999993</v>
      </c>
      <c r="Q10" s="44">
        <v>105203</v>
      </c>
      <c r="R10" s="77">
        <f t="shared" si="7"/>
        <v>3892.5109999999991</v>
      </c>
      <c r="S10" s="45">
        <v>1200</v>
      </c>
      <c r="T10" s="45"/>
      <c r="U10" s="45"/>
      <c r="V10" s="45"/>
      <c r="W10" s="51">
        <f t="shared" si="8"/>
        <v>1200</v>
      </c>
      <c r="X10" s="81">
        <f t="shared" si="4"/>
        <v>5092.5109999999986</v>
      </c>
      <c r="Y10" s="81" t="e">
        <f>+X10+#REF!</f>
        <v>#REF!</v>
      </c>
      <c r="Z10" s="52">
        <v>1</v>
      </c>
    </row>
    <row r="11" spans="1:36" s="43" customFormat="1" ht="17.399999999999999" x14ac:dyDescent="0.3">
      <c r="A11" s="44">
        <v>5</v>
      </c>
      <c r="B11" s="45">
        <v>7</v>
      </c>
      <c r="C11" s="45">
        <f t="shared" si="9"/>
        <v>93</v>
      </c>
      <c r="D11" s="99" t="s">
        <v>125</v>
      </c>
      <c r="E11" s="53"/>
      <c r="F11" s="47"/>
      <c r="G11" s="47"/>
      <c r="H11" s="47"/>
      <c r="I11" s="48">
        <f t="shared" si="5"/>
        <v>0</v>
      </c>
      <c r="J11" s="49"/>
      <c r="K11" s="50">
        <f t="shared" si="10"/>
        <v>0</v>
      </c>
      <c r="L11" s="48"/>
      <c r="M11" s="65"/>
      <c r="N11" s="65"/>
      <c r="O11" s="45"/>
      <c r="P11" s="71"/>
      <c r="Q11" s="44"/>
      <c r="R11" s="77">
        <f t="shared" si="7"/>
        <v>0</v>
      </c>
      <c r="S11" s="45"/>
      <c r="T11" s="45"/>
      <c r="U11" s="45"/>
      <c r="V11" s="45"/>
      <c r="W11" s="51">
        <f t="shared" si="8"/>
        <v>0</v>
      </c>
      <c r="X11" s="81">
        <f t="shared" si="4"/>
        <v>0</v>
      </c>
      <c r="Y11" s="81" t="e">
        <f>+X11+#REF!</f>
        <v>#REF!</v>
      </c>
      <c r="Z11" s="52"/>
    </row>
    <row r="12" spans="1:36" s="43" customFormat="1" ht="17.399999999999999" x14ac:dyDescent="0.3">
      <c r="A12" s="44">
        <v>6</v>
      </c>
      <c r="B12" s="45">
        <v>9</v>
      </c>
      <c r="C12" s="45">
        <f t="shared" si="9"/>
        <v>94</v>
      </c>
      <c r="D12" s="99"/>
      <c r="E12" s="53" t="s">
        <v>73</v>
      </c>
      <c r="F12" s="47"/>
      <c r="G12" s="47"/>
      <c r="H12" s="47"/>
      <c r="I12" s="48">
        <f t="shared" si="5"/>
        <v>0</v>
      </c>
      <c r="J12" s="49"/>
      <c r="K12" s="50">
        <f t="shared" si="10"/>
        <v>0</v>
      </c>
      <c r="L12" s="48"/>
      <c r="M12" s="65">
        <f>61.8-6.5</f>
        <v>55.3</v>
      </c>
      <c r="N12" s="65">
        <v>6.5</v>
      </c>
      <c r="O12" s="45"/>
      <c r="P12" s="71">
        <f t="shared" si="6"/>
        <v>61.8</v>
      </c>
      <c r="Q12" s="44">
        <v>103400</v>
      </c>
      <c r="R12" s="77">
        <f t="shared" si="7"/>
        <v>63901.2</v>
      </c>
      <c r="S12" s="45">
        <v>1500</v>
      </c>
      <c r="T12" s="45"/>
      <c r="U12" s="45">
        <f>800+175</f>
        <v>975</v>
      </c>
      <c r="V12" s="45"/>
      <c r="W12" s="51">
        <f t="shared" si="8"/>
        <v>2475</v>
      </c>
      <c r="X12" s="81">
        <f t="shared" si="4"/>
        <v>66376.2</v>
      </c>
      <c r="Y12" s="81" t="e">
        <f>+X12+#REF!</f>
        <v>#REF!</v>
      </c>
      <c r="Z12" s="52"/>
    </row>
    <row r="13" spans="1:36" s="43" customFormat="1" ht="17.399999999999999" x14ac:dyDescent="0.3">
      <c r="A13" s="44">
        <v>7</v>
      </c>
      <c r="B13" s="45">
        <v>9</v>
      </c>
      <c r="C13" s="45">
        <f t="shared" si="9"/>
        <v>95</v>
      </c>
      <c r="D13" s="99"/>
      <c r="E13" s="53" t="s">
        <v>77</v>
      </c>
      <c r="F13" s="47"/>
      <c r="G13" s="47"/>
      <c r="H13" s="47"/>
      <c r="I13" s="48">
        <f t="shared" si="5"/>
        <v>0</v>
      </c>
      <c r="J13" s="49"/>
      <c r="K13" s="50">
        <f t="shared" si="10"/>
        <v>0</v>
      </c>
      <c r="L13" s="48"/>
      <c r="M13" s="65">
        <v>20.100000000000001</v>
      </c>
      <c r="N13" s="65">
        <v>5.5</v>
      </c>
      <c r="O13" s="45">
        <v>8.5</v>
      </c>
      <c r="P13" s="71">
        <f t="shared" si="6"/>
        <v>17.100000000000001</v>
      </c>
      <c r="Q13" s="44">
        <v>105000</v>
      </c>
      <c r="R13" s="77">
        <f t="shared" si="7"/>
        <v>17955</v>
      </c>
      <c r="S13" s="45">
        <v>1500</v>
      </c>
      <c r="T13" s="45"/>
      <c r="U13" s="45"/>
      <c r="V13" s="45"/>
      <c r="W13" s="51">
        <f t="shared" si="8"/>
        <v>1500</v>
      </c>
      <c r="X13" s="81">
        <f t="shared" si="4"/>
        <v>19455</v>
      </c>
      <c r="Y13" s="81" t="e">
        <f>+X13+#REF!</f>
        <v>#REF!</v>
      </c>
      <c r="Z13" s="52"/>
    </row>
    <row r="14" spans="1:36" s="43" customFormat="1" ht="17.399999999999999" x14ac:dyDescent="0.3">
      <c r="A14" s="44">
        <v>8</v>
      </c>
      <c r="B14" s="45">
        <v>9</v>
      </c>
      <c r="C14" s="45">
        <f t="shared" si="9"/>
        <v>96</v>
      </c>
      <c r="D14" s="99"/>
      <c r="E14" s="53" t="s">
        <v>73</v>
      </c>
      <c r="F14" s="47"/>
      <c r="G14" s="47"/>
      <c r="H14" s="47"/>
      <c r="I14" s="48">
        <f t="shared" si="5"/>
        <v>0</v>
      </c>
      <c r="J14" s="49"/>
      <c r="K14" s="50">
        <f t="shared" si="10"/>
        <v>0</v>
      </c>
      <c r="L14" s="48"/>
      <c r="M14" s="65">
        <v>47</v>
      </c>
      <c r="N14" s="65">
        <v>6.5</v>
      </c>
      <c r="O14" s="45"/>
      <c r="P14" s="71">
        <f t="shared" si="6"/>
        <v>53.5</v>
      </c>
      <c r="Q14" s="44">
        <v>103400</v>
      </c>
      <c r="R14" s="77">
        <f t="shared" si="7"/>
        <v>55319</v>
      </c>
      <c r="S14" s="45">
        <v>1200</v>
      </c>
      <c r="T14" s="45"/>
      <c r="U14" s="45"/>
      <c r="V14" s="45"/>
      <c r="W14" s="51">
        <f t="shared" si="8"/>
        <v>1200</v>
      </c>
      <c r="X14" s="81">
        <f t="shared" si="4"/>
        <v>56519</v>
      </c>
      <c r="Y14" s="81" t="e">
        <f>+X14+#REF!</f>
        <v>#REF!</v>
      </c>
      <c r="Z14" s="52"/>
    </row>
    <row r="15" spans="1:36" s="43" customFormat="1" ht="17.399999999999999" x14ac:dyDescent="0.3">
      <c r="A15" s="44">
        <v>9</v>
      </c>
      <c r="B15" s="45">
        <v>9</v>
      </c>
      <c r="C15" s="45">
        <f t="shared" si="9"/>
        <v>97</v>
      </c>
      <c r="D15" s="99"/>
      <c r="E15" s="53" t="s">
        <v>83</v>
      </c>
      <c r="F15" s="47"/>
      <c r="G15" s="47"/>
      <c r="H15" s="47"/>
      <c r="I15" s="48">
        <f t="shared" si="5"/>
        <v>0</v>
      </c>
      <c r="J15" s="49"/>
      <c r="K15" s="50">
        <f t="shared" si="10"/>
        <v>0</v>
      </c>
      <c r="L15" s="48"/>
      <c r="M15" s="65">
        <v>200</v>
      </c>
      <c r="N15" s="65">
        <v>16</v>
      </c>
      <c r="O15" s="45">
        <v>213.7</v>
      </c>
      <c r="P15" s="71">
        <f t="shared" si="6"/>
        <v>2.3000000000000114</v>
      </c>
      <c r="Q15" s="44">
        <v>105000</v>
      </c>
      <c r="R15" s="77">
        <f t="shared" si="7"/>
        <v>2415.0000000000118</v>
      </c>
      <c r="S15" s="45">
        <v>1500</v>
      </c>
      <c r="T15" s="45"/>
      <c r="U15" s="45"/>
      <c r="V15" s="45"/>
      <c r="W15" s="51">
        <f t="shared" si="8"/>
        <v>1500</v>
      </c>
      <c r="X15" s="81">
        <f t="shared" si="4"/>
        <v>3915.0000000000118</v>
      </c>
      <c r="Y15" s="81" t="e">
        <f>+X15+#REF!</f>
        <v>#REF!</v>
      </c>
      <c r="Z15" s="52"/>
    </row>
    <row r="16" spans="1:36" s="43" customFormat="1" ht="17.399999999999999" x14ac:dyDescent="0.3">
      <c r="A16" s="44">
        <v>10</v>
      </c>
      <c r="B16" s="45">
        <v>9</v>
      </c>
      <c r="C16" s="45">
        <f t="shared" si="9"/>
        <v>98</v>
      </c>
      <c r="D16" s="99"/>
      <c r="E16" s="53" t="s">
        <v>92</v>
      </c>
      <c r="F16" s="47"/>
      <c r="G16" s="47"/>
      <c r="H16" s="47"/>
      <c r="I16" s="48">
        <f t="shared" si="5"/>
        <v>0</v>
      </c>
      <c r="J16" s="49"/>
      <c r="K16" s="50">
        <f t="shared" si="10"/>
        <v>0</v>
      </c>
      <c r="L16" s="48"/>
      <c r="M16" s="65">
        <v>47.7</v>
      </c>
      <c r="N16" s="65">
        <v>5.5</v>
      </c>
      <c r="O16" s="45">
        <v>53.2</v>
      </c>
      <c r="P16" s="71">
        <f t="shared" si="6"/>
        <v>0</v>
      </c>
      <c r="Q16" s="44">
        <v>105000</v>
      </c>
      <c r="R16" s="77">
        <f t="shared" si="7"/>
        <v>0</v>
      </c>
      <c r="S16" s="45">
        <v>1200</v>
      </c>
      <c r="T16" s="45"/>
      <c r="U16" s="45"/>
      <c r="V16" s="45"/>
      <c r="W16" s="51">
        <f t="shared" si="8"/>
        <v>1200</v>
      </c>
      <c r="X16" s="81">
        <f t="shared" si="4"/>
        <v>1200</v>
      </c>
      <c r="Y16" s="81" t="e">
        <f>+X16+#REF!</f>
        <v>#REF!</v>
      </c>
      <c r="Z16" s="52"/>
    </row>
    <row r="17" spans="1:26" s="43" customFormat="1" ht="17.399999999999999" x14ac:dyDescent="0.3">
      <c r="A17" s="44">
        <v>11</v>
      </c>
      <c r="B17" s="45">
        <v>13</v>
      </c>
      <c r="C17" s="45">
        <f t="shared" si="9"/>
        <v>99</v>
      </c>
      <c r="D17" s="99"/>
      <c r="E17" s="53" t="s">
        <v>87</v>
      </c>
      <c r="F17" s="47"/>
      <c r="G17" s="47"/>
      <c r="H17" s="47"/>
      <c r="I17" s="48">
        <f t="shared" si="5"/>
        <v>0</v>
      </c>
      <c r="J17" s="49"/>
      <c r="K17" s="50">
        <f t="shared" si="10"/>
        <v>0</v>
      </c>
      <c r="L17" s="48"/>
      <c r="M17" s="65">
        <v>325.7</v>
      </c>
      <c r="N17" s="65">
        <v>39</v>
      </c>
      <c r="O17" s="45"/>
      <c r="P17" s="71">
        <f t="shared" si="6"/>
        <v>364.7</v>
      </c>
      <c r="Q17" s="44">
        <v>105000</v>
      </c>
      <c r="R17" s="77">
        <f t="shared" si="7"/>
        <v>382935</v>
      </c>
      <c r="S17" s="45">
        <v>4000</v>
      </c>
      <c r="T17" s="45"/>
      <c r="U17" s="45"/>
      <c r="V17" s="45"/>
      <c r="W17" s="51">
        <f t="shared" si="8"/>
        <v>4000</v>
      </c>
      <c r="X17" s="81">
        <f t="shared" si="4"/>
        <v>386935</v>
      </c>
      <c r="Y17" s="81" t="e">
        <f>+X17+#REF!</f>
        <v>#REF!</v>
      </c>
      <c r="Z17" s="52"/>
    </row>
    <row r="18" spans="1:26" s="43" customFormat="1" ht="17.399999999999999" x14ac:dyDescent="0.3">
      <c r="A18" s="44">
        <v>12</v>
      </c>
      <c r="B18" s="45">
        <v>20</v>
      </c>
      <c r="C18" s="45">
        <f t="shared" si="9"/>
        <v>100</v>
      </c>
      <c r="D18" s="99"/>
      <c r="E18" s="53" t="s">
        <v>94</v>
      </c>
      <c r="F18" s="47"/>
      <c r="G18" s="47"/>
      <c r="H18" s="47"/>
      <c r="I18" s="48">
        <f t="shared" si="5"/>
        <v>0</v>
      </c>
      <c r="J18" s="49"/>
      <c r="K18" s="50">
        <f t="shared" si="10"/>
        <v>0</v>
      </c>
      <c r="L18" s="48"/>
      <c r="M18" s="65">
        <v>6.9</v>
      </c>
      <c r="N18" s="65">
        <v>0.6</v>
      </c>
      <c r="O18" s="45">
        <v>5</v>
      </c>
      <c r="P18" s="71">
        <f t="shared" si="6"/>
        <v>2.5</v>
      </c>
      <c r="Q18" s="44">
        <v>106000</v>
      </c>
      <c r="R18" s="77">
        <f t="shared" si="7"/>
        <v>2650</v>
      </c>
      <c r="S18" s="45">
        <v>500</v>
      </c>
      <c r="T18" s="45"/>
      <c r="U18" s="45"/>
      <c r="V18" s="45"/>
      <c r="W18" s="51">
        <f t="shared" si="8"/>
        <v>500</v>
      </c>
      <c r="X18" s="81">
        <f t="shared" si="4"/>
        <v>3150</v>
      </c>
      <c r="Y18" s="81" t="e">
        <f>+X18+#REF!</f>
        <v>#REF!</v>
      </c>
      <c r="Z18" s="52"/>
    </row>
    <row r="19" spans="1:26" s="43" customFormat="1" ht="17.399999999999999" x14ac:dyDescent="0.3">
      <c r="A19" s="44">
        <v>13</v>
      </c>
      <c r="B19" s="45">
        <v>23</v>
      </c>
      <c r="C19" s="45">
        <f t="shared" si="9"/>
        <v>101</v>
      </c>
      <c r="D19" s="99"/>
      <c r="E19" s="53" t="s">
        <v>93</v>
      </c>
      <c r="F19" s="47"/>
      <c r="G19" s="47"/>
      <c r="H19" s="47"/>
      <c r="I19" s="48">
        <f t="shared" si="5"/>
        <v>0</v>
      </c>
      <c r="J19" s="49"/>
      <c r="K19" s="50">
        <f t="shared" si="10"/>
        <v>0</v>
      </c>
      <c r="L19" s="48"/>
      <c r="M19" s="65">
        <v>25.6</v>
      </c>
      <c r="N19" s="65">
        <v>4</v>
      </c>
      <c r="O19" s="45">
        <v>23.8</v>
      </c>
      <c r="P19" s="71">
        <f t="shared" si="6"/>
        <v>5.8000000000000007</v>
      </c>
      <c r="Q19" s="44">
        <v>104000</v>
      </c>
      <c r="R19" s="77">
        <f t="shared" si="7"/>
        <v>6032.0000000000009</v>
      </c>
      <c r="S19" s="45">
        <v>1000</v>
      </c>
      <c r="T19" s="45"/>
      <c r="U19" s="45"/>
      <c r="V19" s="45"/>
      <c r="W19" s="51">
        <f t="shared" si="8"/>
        <v>1000</v>
      </c>
      <c r="X19" s="81">
        <f t="shared" si="4"/>
        <v>7032.0000000000009</v>
      </c>
      <c r="Y19" s="81" t="e">
        <f>+X19+#REF!</f>
        <v>#REF!</v>
      </c>
      <c r="Z19" s="52"/>
    </row>
    <row r="20" spans="1:26" s="43" customFormat="1" ht="17.399999999999999" x14ac:dyDescent="0.3">
      <c r="A20" s="44"/>
      <c r="B20" s="45">
        <v>25</v>
      </c>
      <c r="C20" s="45">
        <v>692</v>
      </c>
      <c r="D20" s="99">
        <v>609820092</v>
      </c>
      <c r="E20" s="53" t="s">
        <v>137</v>
      </c>
      <c r="F20" s="47"/>
      <c r="G20" s="47">
        <v>70.02</v>
      </c>
      <c r="H20" s="47"/>
      <c r="I20" s="48">
        <f t="shared" si="5"/>
        <v>70.02</v>
      </c>
      <c r="J20" s="49">
        <v>8985</v>
      </c>
      <c r="K20" s="50">
        <f t="shared" si="10"/>
        <v>629129.69999999995</v>
      </c>
      <c r="L20" s="48"/>
      <c r="M20" s="65"/>
      <c r="N20" s="65"/>
      <c r="O20" s="45"/>
      <c r="P20" s="71"/>
      <c r="Q20" s="44"/>
      <c r="R20" s="77"/>
      <c r="S20" s="45"/>
      <c r="T20" s="45"/>
      <c r="U20" s="45"/>
      <c r="V20" s="45"/>
      <c r="W20" s="51"/>
      <c r="X20" s="81"/>
      <c r="Y20" s="81"/>
      <c r="Z20" s="52"/>
    </row>
    <row r="21" spans="1:26" s="43" customFormat="1" ht="17.399999999999999" x14ac:dyDescent="0.3">
      <c r="A21" s="44">
        <v>14</v>
      </c>
      <c r="B21" s="45">
        <v>25</v>
      </c>
      <c r="C21" s="45">
        <f>C19+1</f>
        <v>102</v>
      </c>
      <c r="D21" s="99"/>
      <c r="E21" s="53" t="s">
        <v>79</v>
      </c>
      <c r="F21" s="47"/>
      <c r="G21" s="47"/>
      <c r="H21" s="47"/>
      <c r="I21" s="48">
        <f t="shared" si="5"/>
        <v>0</v>
      </c>
      <c r="J21" s="49"/>
      <c r="K21" s="50">
        <f t="shared" si="10"/>
        <v>0</v>
      </c>
      <c r="L21" s="48"/>
      <c r="M21" s="65">
        <v>49.9</v>
      </c>
      <c r="N21" s="65">
        <v>6</v>
      </c>
      <c r="O21" s="45">
        <v>14</v>
      </c>
      <c r="P21" s="71">
        <f t="shared" si="6"/>
        <v>41.9</v>
      </c>
      <c r="Q21" s="44">
        <v>106300</v>
      </c>
      <c r="R21" s="77">
        <f t="shared" si="7"/>
        <v>44539.7</v>
      </c>
      <c r="S21" s="45">
        <v>1200</v>
      </c>
      <c r="T21" s="45"/>
      <c r="U21" s="45"/>
      <c r="V21" s="45"/>
      <c r="W21" s="51">
        <f t="shared" si="8"/>
        <v>1200</v>
      </c>
      <c r="X21" s="81">
        <f t="shared" si="4"/>
        <v>45739.7</v>
      </c>
      <c r="Y21" s="81" t="e">
        <f>+X21+#REF!</f>
        <v>#REF!</v>
      </c>
      <c r="Z21" s="52">
        <v>1</v>
      </c>
    </row>
    <row r="22" spans="1:26" s="43" customFormat="1" ht="17.399999999999999" x14ac:dyDescent="0.3">
      <c r="A22" s="44">
        <v>15</v>
      </c>
      <c r="B22" s="45">
        <v>27</v>
      </c>
      <c r="C22" s="45">
        <f t="shared" si="9"/>
        <v>103</v>
      </c>
      <c r="D22" s="99" t="s">
        <v>128</v>
      </c>
      <c r="E22" s="53" t="s">
        <v>126</v>
      </c>
      <c r="F22" s="47"/>
      <c r="G22" s="47"/>
      <c r="H22" s="47"/>
      <c r="I22" s="48">
        <f t="shared" si="5"/>
        <v>0</v>
      </c>
      <c r="J22" s="49"/>
      <c r="K22" s="50">
        <f t="shared" si="10"/>
        <v>0</v>
      </c>
      <c r="L22" s="48"/>
      <c r="M22" s="65">
        <v>497.5</v>
      </c>
      <c r="N22" s="65">
        <v>48</v>
      </c>
      <c r="O22" s="45">
        <v>428.7</v>
      </c>
      <c r="P22" s="71">
        <f t="shared" si="6"/>
        <v>116.80000000000001</v>
      </c>
      <c r="Q22" s="44">
        <v>104600</v>
      </c>
      <c r="R22" s="77">
        <f t="shared" si="7"/>
        <v>122172.80000000002</v>
      </c>
      <c r="S22" s="45">
        <v>8700</v>
      </c>
      <c r="T22" s="45"/>
      <c r="U22" s="45">
        <v>400</v>
      </c>
      <c r="V22" s="45"/>
      <c r="W22" s="51">
        <f t="shared" si="8"/>
        <v>9100</v>
      </c>
      <c r="X22" s="81">
        <f t="shared" si="4"/>
        <v>131272.80000000002</v>
      </c>
      <c r="Y22" s="81" t="e">
        <f>+X22+#REF!</f>
        <v>#REF!</v>
      </c>
      <c r="Z22" s="52">
        <v>1</v>
      </c>
    </row>
    <row r="23" spans="1:26" s="43" customFormat="1" ht="17.399999999999999" x14ac:dyDescent="0.3">
      <c r="A23" s="44">
        <v>16</v>
      </c>
      <c r="B23" s="45">
        <v>29</v>
      </c>
      <c r="C23" s="45">
        <f t="shared" si="9"/>
        <v>104</v>
      </c>
      <c r="D23" s="99" t="s">
        <v>128</v>
      </c>
      <c r="E23" s="53" t="s">
        <v>127</v>
      </c>
      <c r="F23" s="47"/>
      <c r="G23" s="47"/>
      <c r="H23" s="47"/>
      <c r="I23" s="48">
        <f t="shared" si="5"/>
        <v>0</v>
      </c>
      <c r="J23" s="49"/>
      <c r="K23" s="50">
        <f t="shared" si="10"/>
        <v>0</v>
      </c>
      <c r="L23" s="48"/>
      <c r="M23" s="65">
        <v>49.7</v>
      </c>
      <c r="N23" s="65">
        <v>2.5</v>
      </c>
      <c r="O23" s="45"/>
      <c r="P23" s="71">
        <f t="shared" si="6"/>
        <v>52.2</v>
      </c>
      <c r="Q23" s="44">
        <v>104600</v>
      </c>
      <c r="R23" s="77">
        <f t="shared" si="7"/>
        <v>54601.200000000004</v>
      </c>
      <c r="S23" s="45">
        <v>800</v>
      </c>
      <c r="T23" s="45"/>
      <c r="U23" s="45"/>
      <c r="V23" s="45"/>
      <c r="W23" s="51">
        <f t="shared" si="8"/>
        <v>800</v>
      </c>
      <c r="X23" s="81">
        <f t="shared" si="4"/>
        <v>55401.200000000004</v>
      </c>
      <c r="Y23" s="81" t="e">
        <f>+X23+#REF!</f>
        <v>#REF!</v>
      </c>
      <c r="Z23" s="52"/>
    </row>
    <row r="24" spans="1:26" s="43" customFormat="1" ht="17.399999999999999" x14ac:dyDescent="0.3">
      <c r="A24" s="44">
        <v>17</v>
      </c>
      <c r="B24" s="45">
        <v>29</v>
      </c>
      <c r="C24" s="45">
        <f t="shared" si="9"/>
        <v>105</v>
      </c>
      <c r="D24" s="99"/>
      <c r="E24" s="53" t="s">
        <v>77</v>
      </c>
      <c r="F24" s="47"/>
      <c r="G24" s="47"/>
      <c r="H24" s="47"/>
      <c r="I24" s="48">
        <f t="shared" si="5"/>
        <v>0</v>
      </c>
      <c r="J24" s="49"/>
      <c r="K24" s="50">
        <f t="shared" si="10"/>
        <v>0</v>
      </c>
      <c r="L24" s="48"/>
      <c r="M24" s="65">
        <v>12</v>
      </c>
      <c r="N24" s="65">
        <v>3.5</v>
      </c>
      <c r="O24" s="45"/>
      <c r="P24" s="71">
        <f t="shared" si="6"/>
        <v>15.5</v>
      </c>
      <c r="Q24" s="44">
        <v>104000</v>
      </c>
      <c r="R24" s="77">
        <f t="shared" si="7"/>
        <v>16120</v>
      </c>
      <c r="S24" s="45">
        <v>1200</v>
      </c>
      <c r="T24" s="45"/>
      <c r="U24" s="45"/>
      <c r="V24" s="45"/>
      <c r="W24" s="51">
        <f t="shared" si="8"/>
        <v>1200</v>
      </c>
      <c r="X24" s="81">
        <f t="shared" si="4"/>
        <v>17320</v>
      </c>
      <c r="Y24" s="81" t="e">
        <f>+X24+#REF!</f>
        <v>#REF!</v>
      </c>
      <c r="Z24" s="52"/>
    </row>
    <row r="25" spans="1:26" s="43" customFormat="1" ht="18" thickBot="1" x14ac:dyDescent="0.35">
      <c r="A25" s="54"/>
      <c r="B25" s="55"/>
      <c r="C25" s="55"/>
      <c r="D25" s="54"/>
      <c r="E25" s="56" t="s">
        <v>70</v>
      </c>
      <c r="F25" s="55">
        <f>SUM(F6:F24)</f>
        <v>0</v>
      </c>
      <c r="G25" s="55">
        <f>SUM(G6:G24)</f>
        <v>70.02</v>
      </c>
      <c r="H25" s="55">
        <f>SUM(H6:H24)</f>
        <v>0</v>
      </c>
      <c r="I25" s="57"/>
      <c r="J25" s="55"/>
      <c r="K25" s="57">
        <f ca="1">SUM(K6:K24)</f>
        <v>1054320</v>
      </c>
      <c r="L25" s="57" t="e">
        <f>+#REF!</f>
        <v>#REF!</v>
      </c>
      <c r="M25" s="66">
        <f>SUM(M6:M24)</f>
        <v>1406.6000000000001</v>
      </c>
      <c r="N25" s="66">
        <f>SUM(N6:N24)</f>
        <v>160.1</v>
      </c>
      <c r="O25" s="55">
        <f>SUM(O6:O24)</f>
        <v>773.9</v>
      </c>
      <c r="P25" s="71">
        <f t="shared" si="6"/>
        <v>792.80000000000007</v>
      </c>
      <c r="Q25" s="54">
        <f>+R25/P25</f>
        <v>1047.2797817860746</v>
      </c>
      <c r="R25" s="78">
        <f t="shared" ref="R25:Y25" si="11">SUM(R6:R24)</f>
        <v>830283.41099999996</v>
      </c>
      <c r="S25" s="55">
        <f t="shared" si="11"/>
        <v>28500</v>
      </c>
      <c r="T25" s="55">
        <f t="shared" si="11"/>
        <v>0</v>
      </c>
      <c r="U25" s="55">
        <f t="shared" si="11"/>
        <v>1375</v>
      </c>
      <c r="V25" s="55">
        <f t="shared" si="11"/>
        <v>0</v>
      </c>
      <c r="W25" s="57" t="e">
        <f t="shared" si="11"/>
        <v>#VALUE!</v>
      </c>
      <c r="X25" s="54">
        <f>SUM(X8:X24)</f>
        <v>860158.41099999996</v>
      </c>
      <c r="Y25" s="54" t="e">
        <f t="shared" si="11"/>
        <v>#VALUE!</v>
      </c>
      <c r="Z25" s="57"/>
    </row>
    <row r="26" spans="1:26" s="43" customFormat="1" ht="18" thickTop="1" x14ac:dyDescent="0.3">
      <c r="A26" s="1"/>
      <c r="B26" s="2"/>
      <c r="C26" s="2"/>
      <c r="D26" s="1"/>
      <c r="E26" s="2"/>
      <c r="F26" s="2"/>
      <c r="G26" s="2"/>
      <c r="H26" s="2"/>
      <c r="I26" s="2"/>
      <c r="J26" s="2"/>
      <c r="K26" s="3"/>
      <c r="L26" s="3"/>
      <c r="M26" s="60"/>
      <c r="N26" s="60"/>
      <c r="O26" s="2"/>
      <c r="P26" s="72"/>
      <c r="Q26" s="1"/>
      <c r="R26" s="79"/>
      <c r="S26" s="2"/>
      <c r="T26" s="2"/>
      <c r="U26" s="2"/>
      <c r="V26" s="2"/>
      <c r="W26" s="3"/>
      <c r="X26" s="82"/>
      <c r="Y26" s="82"/>
      <c r="Z26" s="5"/>
    </row>
    <row r="27" spans="1:26" s="43" customFormat="1" ht="17.399999999999999" x14ac:dyDescent="0.3">
      <c r="A27" s="1"/>
      <c r="B27" s="2"/>
      <c r="C27" s="2"/>
      <c r="D27" s="1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1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1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1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1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1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1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1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1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1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1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1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1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1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1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1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1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1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1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1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1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1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1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1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1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1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1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1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1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1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1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1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1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1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1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1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1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1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1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1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1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1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1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1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1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1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1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1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1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1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1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1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1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1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1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1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1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1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1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1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1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1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1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1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1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1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1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1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1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1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1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1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1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1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1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1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1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1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1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1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1"/>
      <c r="R180" s="79"/>
      <c r="S180" s="2"/>
      <c r="T180" s="2"/>
      <c r="U180" s="2"/>
      <c r="V180" s="2"/>
      <c r="W180" s="3"/>
      <c r="X180" s="82"/>
      <c r="Y180" s="82"/>
      <c r="Z180" s="5"/>
    </row>
    <row r="181" spans="1:35" s="43" customFormat="1" ht="17.399999999999999" x14ac:dyDescent="0.3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3"/>
      <c r="L181" s="3"/>
      <c r="M181" s="60"/>
      <c r="N181" s="60"/>
      <c r="O181" s="2"/>
      <c r="P181" s="72"/>
      <c r="Q181" s="1"/>
      <c r="R181" s="79"/>
      <c r="S181" s="2"/>
      <c r="T181" s="2"/>
      <c r="U181" s="2"/>
      <c r="V181" s="2"/>
      <c r="W181" s="3"/>
      <c r="X181" s="82"/>
      <c r="Y181" s="82"/>
      <c r="Z181" s="5"/>
    </row>
    <row r="182" spans="1:35" s="43" customFormat="1" ht="17.399999999999999" x14ac:dyDescent="0.3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3"/>
      <c r="L182" s="3"/>
      <c r="M182" s="60"/>
      <c r="N182" s="60"/>
      <c r="O182" s="2"/>
      <c r="P182" s="72"/>
      <c r="Q182" s="1"/>
      <c r="R182" s="79"/>
      <c r="S182" s="2"/>
      <c r="T182" s="2"/>
      <c r="U182" s="2"/>
      <c r="V182" s="2"/>
      <c r="W182" s="3"/>
      <c r="X182" s="82"/>
      <c r="Y182" s="82"/>
      <c r="Z182" s="5"/>
      <c r="AB182" s="58"/>
      <c r="AC182" s="58"/>
      <c r="AD182" s="58"/>
      <c r="AE182" s="58"/>
      <c r="AF182" s="59"/>
      <c r="AG182" s="59"/>
      <c r="AH182" s="59"/>
      <c r="AI182" s="59"/>
    </row>
  </sheetData>
  <mergeCells count="1">
    <mergeCell ref="F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718E-58E3-492F-A1C0-85D2EE526C51}">
  <dimension ref="A1:AN186"/>
  <sheetViews>
    <sheetView topLeftCell="A10" zoomScale="85" zoomScaleNormal="85" workbookViewId="0">
      <selection activeCell="L22" sqref="L22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6640625" style="2" bestFit="1" customWidth="1"/>
    <col min="4" max="4" width="18.88671875" style="1" bestFit="1" customWidth="1"/>
    <col min="5" max="5" width="13.5546875" style="2" bestFit="1" customWidth="1"/>
    <col min="6" max="6" width="10.6640625" style="2" customWidth="1"/>
    <col min="7" max="7" width="11.33203125" style="2" bestFit="1" customWidth="1"/>
    <col min="8" max="8" width="10.6640625" style="2" customWidth="1"/>
    <col min="9" max="9" width="18.109375" style="2" bestFit="1" customWidth="1"/>
    <col min="10" max="10" width="12.88671875" style="2" bestFit="1" customWidth="1"/>
    <col min="11" max="11" width="15.33203125" style="3" bestFit="1" customWidth="1"/>
    <col min="12" max="12" width="13.6640625" style="3" bestFit="1" customWidth="1"/>
    <col min="13" max="13" width="14.109375" style="60" bestFit="1" customWidth="1"/>
    <col min="14" max="14" width="15" style="60" bestFit="1" customWidth="1"/>
    <col min="15" max="15" width="11.5546875" style="2" customWidth="1"/>
    <col min="16" max="16" width="18" style="72" bestFit="1" customWidth="1"/>
    <col min="17" max="17" width="12.88671875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 s="1" t="e">
        <f>#REF!</f>
        <v>#REF!</v>
      </c>
      <c r="E1" s="2" t="str">
        <f t="shared" ref="E1:Y1" si="0">E29</f>
        <v>hDdf</v>
      </c>
      <c r="F1" s="2">
        <f t="shared" ref="F1:H1" si="1">+F29</f>
        <v>0</v>
      </c>
      <c r="G1" s="2">
        <f t="shared" si="1"/>
        <v>70.02</v>
      </c>
      <c r="H1" s="2">
        <f t="shared" si="1"/>
        <v>0</v>
      </c>
      <c r="I1" s="2">
        <f>+I29</f>
        <v>0</v>
      </c>
      <c r="J1" s="2">
        <f>+J29</f>
        <v>0</v>
      </c>
      <c r="K1" s="2">
        <f ca="1">+K29</f>
        <v>1054320</v>
      </c>
      <c r="L1" s="3" t="e">
        <f>L11:L18</f>
        <v>#VALUE!</v>
      </c>
      <c r="M1" s="60">
        <f t="shared" si="0"/>
        <v>1387.4999999999998</v>
      </c>
      <c r="N1" s="60">
        <f t="shared" si="0"/>
        <v>181</v>
      </c>
      <c r="O1" s="2">
        <f t="shared" si="0"/>
        <v>314.3</v>
      </c>
      <c r="P1" s="60">
        <f t="shared" si="0"/>
        <v>1254.1999999999998</v>
      </c>
      <c r="Q1" s="1">
        <f t="shared" si="0"/>
        <v>1035.5679317493225</v>
      </c>
      <c r="R1" s="1">
        <f t="shared" si="0"/>
        <v>1298809.3</v>
      </c>
      <c r="S1" s="2">
        <f t="shared" si="0"/>
        <v>30150</v>
      </c>
      <c r="T1" s="2">
        <f t="shared" si="0"/>
        <v>0</v>
      </c>
      <c r="U1" s="2">
        <f t="shared" si="0"/>
        <v>600</v>
      </c>
      <c r="V1" s="2">
        <f t="shared" si="0"/>
        <v>0</v>
      </c>
      <c r="W1" s="2" t="e">
        <f t="shared" si="0"/>
        <v>#VALUE!</v>
      </c>
      <c r="X1" s="1">
        <f t="shared" si="0"/>
        <v>1329559.3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95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96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97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98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39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4"/>
      <c r="E7" s="46"/>
      <c r="F7" s="47"/>
      <c r="G7" s="47"/>
      <c r="H7" s="47"/>
      <c r="I7" s="48">
        <f ca="1">I7:L25=+H7+G7+F7</f>
        <v>0</v>
      </c>
      <c r="J7" s="49"/>
      <c r="K7" s="50">
        <f t="shared" ref="K7:K8" ca="1" si="2">+I7*J7</f>
        <v>0</v>
      </c>
      <c r="L7" s="48"/>
      <c r="M7" s="65"/>
      <c r="N7" s="65"/>
      <c r="O7" s="45"/>
      <c r="P7" s="71">
        <f t="shared" ref="P7" si="3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W8:W14</f>
        <v>#VALUE!</v>
      </c>
      <c r="X7" s="81" t="e">
        <f t="shared" ref="X7:X25" si="4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>
        <v>2</v>
      </c>
      <c r="B8" s="45">
        <v>2</v>
      </c>
      <c r="C8" s="45">
        <v>106</v>
      </c>
      <c r="D8" s="99"/>
      <c r="E8" s="53" t="s">
        <v>73</v>
      </c>
      <c r="F8" s="47"/>
      <c r="G8" s="47"/>
      <c r="H8" s="47"/>
      <c r="I8" s="48">
        <f t="shared" ref="I8:I25" si="5">+H8+G8+F8</f>
        <v>0</v>
      </c>
      <c r="J8" s="49"/>
      <c r="K8" s="50">
        <f t="shared" si="2"/>
        <v>0</v>
      </c>
      <c r="L8" s="48"/>
      <c r="M8" s="65">
        <f>37.8-1.1</f>
        <v>36.699999999999996</v>
      </c>
      <c r="N8" s="65">
        <v>5</v>
      </c>
      <c r="P8" s="71">
        <f>N8+M8-O8</f>
        <v>41.699999999999996</v>
      </c>
      <c r="Q8" s="44">
        <v>104900</v>
      </c>
      <c r="R8" s="77">
        <f>SUM(P8*(Q8/100))</f>
        <v>43743.299999999996</v>
      </c>
      <c r="S8" s="45">
        <v>1000</v>
      </c>
      <c r="T8" s="45"/>
      <c r="U8" s="45">
        <v>300</v>
      </c>
      <c r="V8" s="45"/>
      <c r="W8" s="51">
        <f>+S8+T8+U8+V8</f>
        <v>1300</v>
      </c>
      <c r="X8" s="81">
        <f>+R8+W8</f>
        <v>45043.299999999996</v>
      </c>
      <c r="Y8" s="81" t="e">
        <f>+X8+#REF!</f>
        <v>#REF!</v>
      </c>
      <c r="Z8" s="52"/>
    </row>
    <row r="9" spans="1:36" s="43" customFormat="1" ht="17.399999999999999" x14ac:dyDescent="0.3">
      <c r="A9" s="44">
        <v>3</v>
      </c>
      <c r="B9" s="73">
        <v>3</v>
      </c>
      <c r="C9" s="45">
        <f>C8+1</f>
        <v>107</v>
      </c>
      <c r="D9" s="99"/>
      <c r="E9" s="53" t="s">
        <v>73</v>
      </c>
      <c r="F9" s="47"/>
      <c r="G9" s="47"/>
      <c r="H9" s="47"/>
      <c r="I9" s="48"/>
      <c r="J9" s="49"/>
      <c r="K9" s="50">
        <f>+I9*J9</f>
        <v>0</v>
      </c>
      <c r="L9" s="48"/>
      <c r="M9" s="65">
        <v>50.1</v>
      </c>
      <c r="N9" s="65">
        <v>6</v>
      </c>
      <c r="O9" s="45"/>
      <c r="P9" s="71">
        <f t="shared" ref="P9:P29" si="6">N9+M9-O9</f>
        <v>56.1</v>
      </c>
      <c r="Q9" s="44">
        <v>104100</v>
      </c>
      <c r="R9" s="77">
        <f t="shared" ref="R9:R25" si="7">SUM(P9*(Q9/100))</f>
        <v>58400.1</v>
      </c>
      <c r="S9" s="45">
        <v>1000</v>
      </c>
      <c r="T9" s="45"/>
      <c r="U9" s="45"/>
      <c r="V9" s="45"/>
      <c r="W9" s="51">
        <f t="shared" ref="W9:W25" si="8">+S9+T9+U9+V9</f>
        <v>1000</v>
      </c>
      <c r="X9" s="81">
        <f t="shared" si="4"/>
        <v>59400.1</v>
      </c>
      <c r="Y9" s="81" t="e">
        <f>+X9+#REF!</f>
        <v>#REF!</v>
      </c>
      <c r="Z9" s="52"/>
    </row>
    <row r="10" spans="1:36" s="43" customFormat="1" ht="17.399999999999999" x14ac:dyDescent="0.3">
      <c r="A10" s="44">
        <v>4</v>
      </c>
      <c r="B10" s="45">
        <v>8</v>
      </c>
      <c r="C10" s="45">
        <f t="shared" ref="C10:C24" si="9">C9+1</f>
        <v>108</v>
      </c>
      <c r="D10" s="99"/>
      <c r="E10" s="53" t="s">
        <v>77</v>
      </c>
      <c r="F10" s="47"/>
      <c r="G10" s="47"/>
      <c r="H10" s="47"/>
      <c r="I10" s="48">
        <f t="shared" si="5"/>
        <v>0</v>
      </c>
      <c r="J10" s="49"/>
      <c r="K10" s="50">
        <f t="shared" ref="K10:K25" si="10">+I10*J10</f>
        <v>0</v>
      </c>
      <c r="L10" s="48"/>
      <c r="M10" s="65">
        <v>20.100000000000001</v>
      </c>
      <c r="N10" s="65">
        <v>5</v>
      </c>
      <c r="O10" s="45"/>
      <c r="P10" s="71">
        <f t="shared" si="6"/>
        <v>25.1</v>
      </c>
      <c r="Q10" s="44">
        <v>103200</v>
      </c>
      <c r="R10" s="77">
        <f t="shared" si="7"/>
        <v>25903.200000000001</v>
      </c>
      <c r="S10" s="45">
        <v>1200</v>
      </c>
      <c r="T10" s="45"/>
      <c r="U10" s="45"/>
      <c r="V10" s="45"/>
      <c r="W10" s="51">
        <f t="shared" si="8"/>
        <v>1200</v>
      </c>
      <c r="X10" s="81">
        <f t="shared" si="4"/>
        <v>27103.200000000001</v>
      </c>
      <c r="Y10" s="81" t="e">
        <f>+X10+#REF!</f>
        <v>#REF!</v>
      </c>
      <c r="Z10" s="52"/>
    </row>
    <row r="11" spans="1:36" s="43" customFormat="1" ht="17.399999999999999" x14ac:dyDescent="0.3">
      <c r="A11" s="44">
        <v>5</v>
      </c>
      <c r="B11" s="45">
        <v>13</v>
      </c>
      <c r="C11" s="45">
        <f t="shared" si="9"/>
        <v>109</v>
      </c>
      <c r="D11" s="99"/>
      <c r="E11" s="53" t="s">
        <v>77</v>
      </c>
      <c r="F11" s="47"/>
      <c r="G11" s="47"/>
      <c r="H11" s="47"/>
      <c r="I11" s="48">
        <f t="shared" si="5"/>
        <v>0</v>
      </c>
      <c r="J11" s="49"/>
      <c r="K11" s="50">
        <f t="shared" si="10"/>
        <v>0</v>
      </c>
      <c r="L11" s="48"/>
      <c r="M11" s="65">
        <v>24.6</v>
      </c>
      <c r="N11" s="65">
        <v>5</v>
      </c>
      <c r="O11" s="45">
        <v>17</v>
      </c>
      <c r="P11" s="71">
        <f t="shared" si="6"/>
        <v>12.600000000000001</v>
      </c>
      <c r="Q11" s="44">
        <v>102400</v>
      </c>
      <c r="R11" s="77">
        <f t="shared" si="7"/>
        <v>12902.400000000001</v>
      </c>
      <c r="S11" s="45">
        <v>1200</v>
      </c>
      <c r="T11" s="45"/>
      <c r="U11" s="45"/>
      <c r="V11" s="45"/>
      <c r="W11" s="51">
        <f t="shared" si="8"/>
        <v>1200</v>
      </c>
      <c r="X11" s="81">
        <f t="shared" si="4"/>
        <v>14102.400000000001</v>
      </c>
      <c r="Y11" s="81" t="e">
        <f>+X11+#REF!</f>
        <v>#REF!</v>
      </c>
      <c r="Z11" s="52"/>
    </row>
    <row r="12" spans="1:36" s="43" customFormat="1" ht="17.399999999999999" x14ac:dyDescent="0.3">
      <c r="A12" s="44">
        <v>6</v>
      </c>
      <c r="B12" s="45">
        <v>15</v>
      </c>
      <c r="C12" s="45">
        <f t="shared" si="9"/>
        <v>110</v>
      </c>
      <c r="D12" s="99"/>
      <c r="E12" s="53" t="s">
        <v>87</v>
      </c>
      <c r="F12" s="47"/>
      <c r="G12" s="47"/>
      <c r="H12" s="47"/>
      <c r="I12" s="48">
        <f t="shared" si="5"/>
        <v>0</v>
      </c>
      <c r="J12" s="49"/>
      <c r="K12" s="50">
        <f t="shared" si="10"/>
        <v>0</v>
      </c>
      <c r="L12" s="48"/>
      <c r="M12" s="65">
        <v>352.3</v>
      </c>
      <c r="N12" s="65">
        <v>43</v>
      </c>
      <c r="O12" s="45"/>
      <c r="P12" s="71">
        <f t="shared" si="6"/>
        <v>395.3</v>
      </c>
      <c r="Q12" s="44">
        <v>105000</v>
      </c>
      <c r="R12" s="77">
        <f t="shared" si="7"/>
        <v>415065</v>
      </c>
      <c r="S12" s="45">
        <v>4000</v>
      </c>
      <c r="T12" s="45"/>
      <c r="U12" s="45"/>
      <c r="V12" s="45"/>
      <c r="W12" s="51">
        <f t="shared" si="8"/>
        <v>4000</v>
      </c>
      <c r="X12" s="81">
        <f t="shared" si="4"/>
        <v>419065</v>
      </c>
      <c r="Y12" s="81" t="e">
        <f>+X12+#REF!</f>
        <v>#REF!</v>
      </c>
      <c r="Z12" s="52"/>
    </row>
    <row r="13" spans="1:36" s="43" customFormat="1" ht="17.399999999999999" x14ac:dyDescent="0.3">
      <c r="A13" s="44">
        <v>7</v>
      </c>
      <c r="B13" s="45">
        <v>16</v>
      </c>
      <c r="C13" s="45">
        <f t="shared" si="9"/>
        <v>111</v>
      </c>
      <c r="D13" s="99"/>
      <c r="E13" s="53" t="s">
        <v>73</v>
      </c>
      <c r="F13" s="47"/>
      <c r="G13" s="47"/>
      <c r="H13" s="47"/>
      <c r="I13" s="48">
        <f t="shared" si="5"/>
        <v>0</v>
      </c>
      <c r="J13" s="49"/>
      <c r="K13" s="50">
        <f t="shared" si="10"/>
        <v>0</v>
      </c>
      <c r="L13" s="48"/>
      <c r="M13" s="65">
        <v>51.5</v>
      </c>
      <c r="N13" s="65">
        <v>6.5</v>
      </c>
      <c r="O13" s="45"/>
      <c r="P13" s="71">
        <f t="shared" si="6"/>
        <v>58</v>
      </c>
      <c r="Q13" s="44">
        <v>104000</v>
      </c>
      <c r="R13" s="77">
        <f t="shared" si="7"/>
        <v>60320</v>
      </c>
      <c r="S13" s="45">
        <v>1200</v>
      </c>
      <c r="T13" s="45"/>
      <c r="U13" s="45"/>
      <c r="V13" s="45"/>
      <c r="W13" s="51">
        <f t="shared" si="8"/>
        <v>1200</v>
      </c>
      <c r="X13" s="81">
        <f t="shared" si="4"/>
        <v>61520</v>
      </c>
      <c r="Y13" s="81" t="e">
        <f>+X13+#REF!</f>
        <v>#REF!</v>
      </c>
      <c r="Z13" s="52"/>
    </row>
    <row r="14" spans="1:36" s="43" customFormat="1" ht="17.399999999999999" x14ac:dyDescent="0.3">
      <c r="A14" s="44">
        <v>8</v>
      </c>
      <c r="B14" s="45">
        <v>16</v>
      </c>
      <c r="C14" s="45">
        <f t="shared" si="9"/>
        <v>112</v>
      </c>
      <c r="D14" s="99"/>
      <c r="E14" s="53" t="s">
        <v>111</v>
      </c>
      <c r="F14" s="47"/>
      <c r="G14" s="47"/>
      <c r="H14" s="47"/>
      <c r="I14" s="48">
        <f t="shared" si="5"/>
        <v>0</v>
      </c>
      <c r="J14" s="49"/>
      <c r="K14" s="50">
        <f t="shared" si="10"/>
        <v>0</v>
      </c>
      <c r="L14" s="48"/>
      <c r="M14" s="65">
        <v>99.7</v>
      </c>
      <c r="N14" s="65">
        <v>11</v>
      </c>
      <c r="O14" s="45">
        <v>63</v>
      </c>
      <c r="P14" s="71">
        <f t="shared" si="6"/>
        <v>47.7</v>
      </c>
      <c r="Q14" s="44">
        <v>104000</v>
      </c>
      <c r="R14" s="77">
        <f t="shared" si="7"/>
        <v>49608</v>
      </c>
      <c r="S14" s="45">
        <v>1500</v>
      </c>
      <c r="T14" s="45"/>
      <c r="U14" s="45"/>
      <c r="V14" s="45"/>
      <c r="W14" s="51">
        <f t="shared" si="8"/>
        <v>1500</v>
      </c>
      <c r="X14" s="81">
        <f t="shared" si="4"/>
        <v>51108</v>
      </c>
      <c r="Y14" s="81" t="e">
        <f>+X14+#REF!</f>
        <v>#REF!</v>
      </c>
      <c r="Z14" s="52"/>
    </row>
    <row r="15" spans="1:36" s="43" customFormat="1" ht="17.399999999999999" x14ac:dyDescent="0.3">
      <c r="A15" s="44">
        <v>9</v>
      </c>
      <c r="B15" s="45">
        <v>18</v>
      </c>
      <c r="C15" s="45">
        <f t="shared" si="9"/>
        <v>113</v>
      </c>
      <c r="D15" s="99"/>
      <c r="E15" s="53" t="s">
        <v>76</v>
      </c>
      <c r="F15" s="47"/>
      <c r="G15" s="47"/>
      <c r="H15" s="47"/>
      <c r="I15" s="48">
        <f t="shared" si="5"/>
        <v>0</v>
      </c>
      <c r="J15" s="49"/>
      <c r="K15" s="50">
        <f t="shared" si="10"/>
        <v>0</v>
      </c>
      <c r="L15" s="48"/>
      <c r="M15" s="65">
        <v>18.3</v>
      </c>
      <c r="N15" s="65">
        <v>3</v>
      </c>
      <c r="O15" s="45">
        <v>19</v>
      </c>
      <c r="P15" s="71">
        <f t="shared" si="6"/>
        <v>2.3000000000000007</v>
      </c>
      <c r="Q15" s="44">
        <v>103000</v>
      </c>
      <c r="R15" s="77">
        <f t="shared" si="7"/>
        <v>2369.0000000000009</v>
      </c>
      <c r="S15" s="45">
        <v>1000</v>
      </c>
      <c r="T15" s="45"/>
      <c r="U15" s="45">
        <v>300</v>
      </c>
      <c r="V15" s="45"/>
      <c r="W15" s="51">
        <f t="shared" si="8"/>
        <v>1300</v>
      </c>
      <c r="X15" s="81">
        <f t="shared" si="4"/>
        <v>3669.0000000000009</v>
      </c>
      <c r="Y15" s="81" t="e">
        <f>+X15+#REF!</f>
        <v>#REF!</v>
      </c>
      <c r="Z15" s="52"/>
    </row>
    <row r="16" spans="1:36" s="43" customFormat="1" ht="17.399999999999999" x14ac:dyDescent="0.3">
      <c r="A16" s="44">
        <v>10</v>
      </c>
      <c r="B16" s="45">
        <v>18</v>
      </c>
      <c r="C16" s="45">
        <f t="shared" si="9"/>
        <v>114</v>
      </c>
      <c r="D16" s="99"/>
      <c r="E16" s="53" t="s">
        <v>93</v>
      </c>
      <c r="F16" s="47"/>
      <c r="G16" s="47"/>
      <c r="H16" s="47"/>
      <c r="I16" s="48">
        <f t="shared" si="5"/>
        <v>0</v>
      </c>
      <c r="J16" s="49"/>
      <c r="K16" s="50">
        <f t="shared" si="10"/>
        <v>0</v>
      </c>
      <c r="L16" s="48"/>
      <c r="M16" s="65">
        <v>40.299999999999997</v>
      </c>
      <c r="N16" s="65">
        <v>4.5</v>
      </c>
      <c r="O16" s="45">
        <v>34.299999999999997</v>
      </c>
      <c r="P16" s="71">
        <f t="shared" si="6"/>
        <v>10.5</v>
      </c>
      <c r="Q16" s="44">
        <v>102500</v>
      </c>
      <c r="R16" s="77">
        <f t="shared" si="7"/>
        <v>10762.5</v>
      </c>
      <c r="S16" s="45">
        <v>1000</v>
      </c>
      <c r="T16" s="45"/>
      <c r="U16" s="45"/>
      <c r="V16" s="45"/>
      <c r="W16" s="51">
        <f t="shared" si="8"/>
        <v>1000</v>
      </c>
      <c r="X16" s="81">
        <f t="shared" si="4"/>
        <v>11762.5</v>
      </c>
      <c r="Y16" s="81" t="e">
        <f>+X16+#REF!</f>
        <v>#REF!</v>
      </c>
      <c r="Z16" s="52">
        <v>1</v>
      </c>
    </row>
    <row r="17" spans="1:26" s="43" customFormat="1" ht="17.399999999999999" x14ac:dyDescent="0.3">
      <c r="A17" s="44">
        <v>11</v>
      </c>
      <c r="B17" s="45">
        <v>21</v>
      </c>
      <c r="C17" s="45">
        <f t="shared" si="9"/>
        <v>115</v>
      </c>
      <c r="D17" s="99" t="s">
        <v>121</v>
      </c>
      <c r="E17" s="53" t="s">
        <v>106</v>
      </c>
      <c r="F17" s="47"/>
      <c r="G17" s="47"/>
      <c r="H17" s="47"/>
      <c r="I17" s="48">
        <f t="shared" si="5"/>
        <v>0</v>
      </c>
      <c r="J17" s="49"/>
      <c r="K17" s="50">
        <f t="shared" si="10"/>
        <v>0</v>
      </c>
      <c r="L17" s="48"/>
      <c r="M17" s="65">
        <v>78.8</v>
      </c>
      <c r="N17" s="65">
        <v>13</v>
      </c>
      <c r="O17" s="45">
        <v>90</v>
      </c>
      <c r="P17" s="71">
        <f t="shared" si="6"/>
        <v>1.7999999999999972</v>
      </c>
      <c r="Q17" s="44">
        <v>102500</v>
      </c>
      <c r="R17" s="77">
        <f t="shared" si="7"/>
        <v>1844.999999999997</v>
      </c>
      <c r="S17" s="45">
        <f>1500+1200</f>
        <v>2700</v>
      </c>
      <c r="T17" s="45"/>
      <c r="U17" s="45"/>
      <c r="V17" s="45"/>
      <c r="W17" s="51">
        <f t="shared" si="8"/>
        <v>2700</v>
      </c>
      <c r="X17" s="81">
        <f t="shared" si="4"/>
        <v>4544.9999999999973</v>
      </c>
      <c r="Y17" s="81" t="e">
        <f>+X17+#REF!</f>
        <v>#REF!</v>
      </c>
      <c r="Z17" s="52"/>
    </row>
    <row r="18" spans="1:26" s="43" customFormat="1" ht="17.399999999999999" x14ac:dyDescent="0.3">
      <c r="A18" s="44">
        <v>12</v>
      </c>
      <c r="B18" s="45">
        <v>23</v>
      </c>
      <c r="C18" s="45">
        <f t="shared" si="9"/>
        <v>116</v>
      </c>
      <c r="D18" s="99"/>
      <c r="E18" s="53" t="s">
        <v>107</v>
      </c>
      <c r="F18" s="47"/>
      <c r="G18" s="47"/>
      <c r="H18" s="47"/>
      <c r="I18" s="48">
        <f t="shared" si="5"/>
        <v>0</v>
      </c>
      <c r="J18" s="49"/>
      <c r="K18" s="50">
        <f t="shared" si="10"/>
        <v>0</v>
      </c>
      <c r="L18" s="48"/>
      <c r="M18" s="65">
        <v>226.7</v>
      </c>
      <c r="N18" s="65">
        <v>27</v>
      </c>
      <c r="O18" s="45">
        <v>91</v>
      </c>
      <c r="P18" s="71">
        <f t="shared" si="6"/>
        <v>162.69999999999999</v>
      </c>
      <c r="Q18" s="44">
        <v>102500</v>
      </c>
      <c r="R18" s="77">
        <f t="shared" si="7"/>
        <v>166767.5</v>
      </c>
      <c r="S18" s="45">
        <f>1200+1200+2250</f>
        <v>4650</v>
      </c>
      <c r="T18" s="45"/>
      <c r="U18" s="45"/>
      <c r="V18" s="45"/>
      <c r="W18" s="51">
        <f t="shared" si="8"/>
        <v>4650</v>
      </c>
      <c r="X18" s="81">
        <f t="shared" si="4"/>
        <v>171417.5</v>
      </c>
      <c r="Y18" s="81" t="e">
        <f>+X18+#REF!</f>
        <v>#REF!</v>
      </c>
      <c r="Z18" s="52">
        <v>1</v>
      </c>
    </row>
    <row r="19" spans="1:26" s="43" customFormat="1" ht="17.399999999999999" x14ac:dyDescent="0.3">
      <c r="A19" s="44">
        <v>13</v>
      </c>
      <c r="B19" s="45">
        <v>24</v>
      </c>
      <c r="C19" s="45">
        <f t="shared" si="9"/>
        <v>117</v>
      </c>
      <c r="D19" s="99"/>
      <c r="E19" s="53" t="s">
        <v>77</v>
      </c>
      <c r="F19" s="47"/>
      <c r="G19" s="47"/>
      <c r="H19" s="47"/>
      <c r="I19" s="48">
        <f t="shared" si="5"/>
        <v>0</v>
      </c>
      <c r="J19" s="49"/>
      <c r="K19" s="50">
        <f t="shared" si="10"/>
        <v>0</v>
      </c>
      <c r="L19" s="48"/>
      <c r="M19" s="65">
        <v>24.5</v>
      </c>
      <c r="N19" s="65">
        <v>5</v>
      </c>
      <c r="O19" s="45"/>
      <c r="P19" s="71">
        <f t="shared" si="6"/>
        <v>29.5</v>
      </c>
      <c r="Q19" s="44">
        <v>101500</v>
      </c>
      <c r="R19" s="77">
        <f t="shared" si="7"/>
        <v>29942.5</v>
      </c>
      <c r="S19" s="45">
        <v>1200</v>
      </c>
      <c r="T19" s="45"/>
      <c r="U19" s="45"/>
      <c r="V19" s="45"/>
      <c r="W19" s="51">
        <f t="shared" si="8"/>
        <v>1200</v>
      </c>
      <c r="X19" s="81">
        <f t="shared" si="4"/>
        <v>31142.5</v>
      </c>
      <c r="Y19" s="81" t="e">
        <f>+X19+#REF!</f>
        <v>#REF!</v>
      </c>
      <c r="Z19" s="52">
        <v>1</v>
      </c>
    </row>
    <row r="20" spans="1:26" s="43" customFormat="1" ht="17.399999999999999" x14ac:dyDescent="0.3">
      <c r="A20" s="44">
        <v>14</v>
      </c>
      <c r="B20" s="45">
        <v>24</v>
      </c>
      <c r="C20" s="45">
        <f t="shared" si="9"/>
        <v>118</v>
      </c>
      <c r="D20" s="99"/>
      <c r="E20" s="53" t="s">
        <v>78</v>
      </c>
      <c r="F20" s="47"/>
      <c r="G20" s="47"/>
      <c r="H20" s="47"/>
      <c r="I20" s="48">
        <f t="shared" si="5"/>
        <v>0</v>
      </c>
      <c r="J20" s="49"/>
      <c r="K20" s="50">
        <f t="shared" si="10"/>
        <v>0</v>
      </c>
      <c r="L20" s="48"/>
      <c r="M20" s="65">
        <f>150.6-4.5</f>
        <v>146.1</v>
      </c>
      <c r="N20" s="65">
        <v>18</v>
      </c>
      <c r="O20" s="45"/>
      <c r="P20" s="71">
        <f t="shared" si="6"/>
        <v>164.1</v>
      </c>
      <c r="Q20" s="44">
        <v>102600</v>
      </c>
      <c r="R20" s="77">
        <f t="shared" si="7"/>
        <v>168366.6</v>
      </c>
      <c r="S20" s="45">
        <v>2500</v>
      </c>
      <c r="T20" s="45"/>
      <c r="U20" s="45"/>
      <c r="V20" s="45"/>
      <c r="W20" s="51">
        <f t="shared" si="8"/>
        <v>2500</v>
      </c>
      <c r="X20" s="81">
        <f t="shared" si="4"/>
        <v>170866.6</v>
      </c>
      <c r="Y20" s="81" t="e">
        <f>+X20+#REF!</f>
        <v>#REF!</v>
      </c>
      <c r="Z20" s="52">
        <v>1</v>
      </c>
    </row>
    <row r="21" spans="1:26" s="43" customFormat="1" ht="17.399999999999999" x14ac:dyDescent="0.3">
      <c r="A21" s="44">
        <v>15</v>
      </c>
      <c r="B21" s="45">
        <v>14</v>
      </c>
      <c r="C21" s="45">
        <f t="shared" si="9"/>
        <v>119</v>
      </c>
      <c r="D21" s="99" t="s">
        <v>125</v>
      </c>
      <c r="E21" s="53"/>
      <c r="F21" s="47"/>
      <c r="G21" s="47"/>
      <c r="H21" s="47"/>
      <c r="I21" s="48">
        <f t="shared" si="5"/>
        <v>0</v>
      </c>
      <c r="J21" s="49"/>
      <c r="K21" s="50">
        <f t="shared" si="10"/>
        <v>0</v>
      </c>
      <c r="L21" s="48"/>
      <c r="M21" s="65"/>
      <c r="N21" s="65"/>
      <c r="O21" s="45"/>
      <c r="P21" s="71">
        <f t="shared" si="6"/>
        <v>0</v>
      </c>
      <c r="Q21" s="44"/>
      <c r="R21" s="77">
        <f t="shared" si="7"/>
        <v>0</v>
      </c>
      <c r="S21" s="45"/>
      <c r="T21" s="45"/>
      <c r="U21" s="45"/>
      <c r="V21" s="45"/>
      <c r="W21" s="51">
        <f t="shared" si="8"/>
        <v>0</v>
      </c>
      <c r="X21" s="81">
        <f t="shared" si="4"/>
        <v>0</v>
      </c>
      <c r="Y21" s="81" t="e">
        <f>+X21+#REF!</f>
        <v>#REF!</v>
      </c>
      <c r="Z21" s="52"/>
    </row>
    <row r="22" spans="1:26" s="43" customFormat="1" ht="17.399999999999999" x14ac:dyDescent="0.3">
      <c r="A22" s="44"/>
      <c r="B22" s="45">
        <v>15</v>
      </c>
      <c r="C22" s="45">
        <v>193</v>
      </c>
      <c r="D22" s="99">
        <v>601623165</v>
      </c>
      <c r="E22" s="53" t="s">
        <v>138</v>
      </c>
      <c r="F22" s="47"/>
      <c r="G22" s="47">
        <v>70.02</v>
      </c>
      <c r="H22" s="47"/>
      <c r="I22" s="48">
        <f t="shared" si="5"/>
        <v>70.02</v>
      </c>
      <c r="J22" s="49">
        <v>8728</v>
      </c>
      <c r="K22" s="50">
        <f t="shared" si="10"/>
        <v>611134.55999999994</v>
      </c>
      <c r="L22" s="48"/>
      <c r="M22" s="65"/>
      <c r="N22" s="65"/>
      <c r="O22" s="45"/>
      <c r="P22" s="71"/>
      <c r="Q22" s="44"/>
      <c r="R22" s="77"/>
      <c r="S22" s="45"/>
      <c r="T22" s="45"/>
      <c r="U22" s="45"/>
      <c r="V22" s="45"/>
      <c r="W22" s="51"/>
      <c r="X22" s="81"/>
      <c r="Y22" s="81"/>
      <c r="Z22" s="52"/>
    </row>
    <row r="23" spans="1:26" s="43" customFormat="1" ht="17.399999999999999" x14ac:dyDescent="0.3">
      <c r="A23" s="44">
        <v>16</v>
      </c>
      <c r="B23" s="45">
        <v>25</v>
      </c>
      <c r="C23" s="45">
        <f>C21+1</f>
        <v>120</v>
      </c>
      <c r="D23" s="99"/>
      <c r="E23" s="53" t="s">
        <v>79</v>
      </c>
      <c r="F23" s="47"/>
      <c r="G23" s="47"/>
      <c r="H23" s="47"/>
      <c r="I23" s="48">
        <f t="shared" si="5"/>
        <v>0</v>
      </c>
      <c r="J23" s="49"/>
      <c r="K23" s="50">
        <f t="shared" si="10"/>
        <v>0</v>
      </c>
      <c r="L23" s="48"/>
      <c r="M23" s="65">
        <v>58.9</v>
      </c>
      <c r="N23" s="65">
        <v>7</v>
      </c>
      <c r="O23" s="45"/>
      <c r="P23" s="71">
        <f t="shared" si="6"/>
        <v>65.900000000000006</v>
      </c>
      <c r="Q23" s="44">
        <v>102500</v>
      </c>
      <c r="R23" s="77">
        <f t="shared" si="7"/>
        <v>67547.5</v>
      </c>
      <c r="S23" s="45">
        <v>1200</v>
      </c>
      <c r="T23" s="45"/>
      <c r="U23" s="45"/>
      <c r="V23" s="45"/>
      <c r="W23" s="51">
        <f t="shared" si="8"/>
        <v>1200</v>
      </c>
      <c r="X23" s="81">
        <f t="shared" si="4"/>
        <v>68747.5</v>
      </c>
      <c r="Y23" s="81" t="e">
        <f>+X23+#REF!</f>
        <v>#REF!</v>
      </c>
      <c r="Z23" s="52">
        <v>1</v>
      </c>
    </row>
    <row r="24" spans="1:26" s="43" customFormat="1" ht="17.399999999999999" x14ac:dyDescent="0.3">
      <c r="A24" s="44">
        <v>17</v>
      </c>
      <c r="B24" s="45">
        <v>26</v>
      </c>
      <c r="C24" s="45">
        <f t="shared" si="9"/>
        <v>121</v>
      </c>
      <c r="D24" s="99"/>
      <c r="E24" s="53" t="s">
        <v>77</v>
      </c>
      <c r="F24" s="47"/>
      <c r="G24" s="47"/>
      <c r="H24" s="47"/>
      <c r="I24" s="48">
        <f t="shared" si="5"/>
        <v>0</v>
      </c>
      <c r="J24" s="49"/>
      <c r="K24" s="50">
        <f t="shared" si="10"/>
        <v>0</v>
      </c>
      <c r="L24" s="48"/>
      <c r="M24" s="65">
        <v>20.100000000000001</v>
      </c>
      <c r="N24" s="65">
        <v>5</v>
      </c>
      <c r="O24" s="45"/>
      <c r="P24" s="71">
        <f t="shared" si="6"/>
        <v>25.1</v>
      </c>
      <c r="Q24" s="44">
        <v>102500</v>
      </c>
      <c r="R24" s="77">
        <f t="shared" si="7"/>
        <v>25727.5</v>
      </c>
      <c r="S24" s="45">
        <v>1200</v>
      </c>
      <c r="T24" s="45"/>
      <c r="U24" s="45"/>
      <c r="V24" s="45"/>
      <c r="W24" s="51">
        <f t="shared" si="8"/>
        <v>1200</v>
      </c>
      <c r="X24" s="81">
        <f t="shared" si="4"/>
        <v>26927.5</v>
      </c>
      <c r="Y24" s="81" t="e">
        <f>+X24+#REF!</f>
        <v>#REF!</v>
      </c>
      <c r="Z24" s="52">
        <v>1</v>
      </c>
    </row>
    <row r="25" spans="1:26" s="43" customFormat="1" ht="17.399999999999999" x14ac:dyDescent="0.3">
      <c r="A25" s="44">
        <v>18</v>
      </c>
      <c r="B25" s="45">
        <v>28</v>
      </c>
      <c r="C25" s="45">
        <f>C24+1</f>
        <v>122</v>
      </c>
      <c r="D25" s="99"/>
      <c r="E25" s="53" t="s">
        <v>108</v>
      </c>
      <c r="F25" s="47"/>
      <c r="G25" s="47"/>
      <c r="H25" s="47"/>
      <c r="I25" s="48">
        <f t="shared" si="5"/>
        <v>0</v>
      </c>
      <c r="J25" s="49"/>
      <c r="K25" s="50">
        <f t="shared" si="10"/>
        <v>0</v>
      </c>
      <c r="L25" s="48"/>
      <c r="M25" s="65">
        <v>138.80000000000001</v>
      </c>
      <c r="N25" s="65">
        <v>17</v>
      </c>
      <c r="O25" s="45"/>
      <c r="P25" s="71">
        <f t="shared" si="6"/>
        <v>155.80000000000001</v>
      </c>
      <c r="Q25" s="44">
        <v>102400</v>
      </c>
      <c r="R25" s="77">
        <f t="shared" si="7"/>
        <v>159539.20000000001</v>
      </c>
      <c r="S25" s="45">
        <v>3600</v>
      </c>
      <c r="T25" s="45"/>
      <c r="U25" s="45"/>
      <c r="V25" s="45"/>
      <c r="W25" s="51">
        <f t="shared" si="8"/>
        <v>3600</v>
      </c>
      <c r="X25" s="81">
        <f t="shared" si="4"/>
        <v>163139.20000000001</v>
      </c>
      <c r="Y25" s="81" t="e">
        <f>+X25+#REF!</f>
        <v>#REF!</v>
      </c>
      <c r="Z25" s="52"/>
    </row>
    <row r="26" spans="1:26" s="43" customFormat="1" ht="17.399999999999999" x14ac:dyDescent="0.3">
      <c r="A26" s="44">
        <v>19</v>
      </c>
      <c r="B26" s="45">
        <v>28</v>
      </c>
      <c r="C26" s="45">
        <f t="shared" ref="C26:C28" si="11">C25+1</f>
        <v>123</v>
      </c>
      <c r="D26" s="99"/>
      <c r="E26" s="53" t="s">
        <v>73</v>
      </c>
      <c r="F26" s="47"/>
      <c r="G26" s="47"/>
      <c r="H26" s="47"/>
      <c r="I26" s="48">
        <f t="shared" ref="I26:I28" si="12">+H26+G26+F26</f>
        <v>0</v>
      </c>
      <c r="J26" s="49"/>
      <c r="K26" s="50">
        <f t="shared" ref="K26:K28" si="13">+I26*J26</f>
        <v>0</v>
      </c>
      <c r="L26" s="48"/>
      <c r="M26" s="65">
        <v>49.8</v>
      </c>
      <c r="N26" s="65">
        <v>6</v>
      </c>
      <c r="O26" s="45"/>
      <c r="P26" s="71">
        <f t="shared" ref="P26:P28" si="14">N26+M26-O26</f>
        <v>55.8</v>
      </c>
      <c r="Q26" s="44">
        <v>103000</v>
      </c>
      <c r="R26" s="77">
        <f t="shared" ref="R26:R28" si="15">SUM(P26*(Q26/100))</f>
        <v>57474</v>
      </c>
      <c r="S26" s="45">
        <v>1200</v>
      </c>
      <c r="T26" s="45"/>
      <c r="U26" s="45"/>
      <c r="V26" s="45"/>
      <c r="W26" s="51">
        <f t="shared" ref="W26:W28" si="16">+S26+T26+U26+V26</f>
        <v>1200</v>
      </c>
      <c r="X26" s="81">
        <f t="shared" ref="X26:X28" si="17">+R26+W26</f>
        <v>58674</v>
      </c>
      <c r="Y26" s="81" t="e">
        <f>+X26+#REF!</f>
        <v>#REF!</v>
      </c>
      <c r="Z26" s="52"/>
    </row>
    <row r="27" spans="1:26" s="43" customFormat="1" ht="17.399999999999999" x14ac:dyDescent="0.3">
      <c r="A27" s="44">
        <v>20</v>
      </c>
      <c r="B27" s="45">
        <v>28</v>
      </c>
      <c r="C27" s="45">
        <f t="shared" si="11"/>
        <v>124</v>
      </c>
      <c r="D27" s="99"/>
      <c r="E27" s="53" t="s">
        <v>109</v>
      </c>
      <c r="F27" s="47"/>
      <c r="G27" s="47"/>
      <c r="H27" s="47"/>
      <c r="I27" s="48">
        <f t="shared" si="12"/>
        <v>0</v>
      </c>
      <c r="J27" s="49"/>
      <c r="K27" s="50">
        <f t="shared" si="13"/>
        <v>0</v>
      </c>
      <c r="L27" s="48"/>
      <c r="M27" s="65">
        <v>24.9</v>
      </c>
      <c r="N27" s="65">
        <v>4</v>
      </c>
      <c r="O27" s="45"/>
      <c r="P27" s="71">
        <f t="shared" si="14"/>
        <v>28.9</v>
      </c>
      <c r="Q27" s="44">
        <v>103000</v>
      </c>
      <c r="R27" s="77">
        <f t="shared" si="15"/>
        <v>29767</v>
      </c>
      <c r="S27" s="45">
        <v>1000</v>
      </c>
      <c r="T27" s="45"/>
      <c r="U27" s="45"/>
      <c r="V27" s="45"/>
      <c r="W27" s="51">
        <f t="shared" si="16"/>
        <v>1000</v>
      </c>
      <c r="X27" s="81">
        <f t="shared" si="17"/>
        <v>30767</v>
      </c>
      <c r="Y27" s="81" t="e">
        <f>+X27+#REF!</f>
        <v>#REF!</v>
      </c>
      <c r="Z27" s="52"/>
    </row>
    <row r="28" spans="1:26" s="43" customFormat="1" ht="17.399999999999999" x14ac:dyDescent="0.3">
      <c r="A28" s="44">
        <v>21</v>
      </c>
      <c r="B28" s="45">
        <v>28</v>
      </c>
      <c r="C28" s="45">
        <f t="shared" si="11"/>
        <v>125</v>
      </c>
      <c r="D28" s="99"/>
      <c r="E28" s="53" t="s">
        <v>87</v>
      </c>
      <c r="F28" s="47"/>
      <c r="G28" s="47"/>
      <c r="H28" s="47"/>
      <c r="I28" s="48">
        <f t="shared" si="12"/>
        <v>0</v>
      </c>
      <c r="J28" s="49"/>
      <c r="K28" s="50">
        <f t="shared" si="13"/>
        <v>0</v>
      </c>
      <c r="L28" s="48"/>
      <c r="M28" s="65">
        <f>253.5-5.1</f>
        <v>248.4</v>
      </c>
      <c r="N28" s="65">
        <v>29.8</v>
      </c>
      <c r="O28" s="45">
        <v>145</v>
      </c>
      <c r="P28" s="71">
        <f t="shared" si="14"/>
        <v>133.19999999999999</v>
      </c>
      <c r="Q28" s="44">
        <v>103000</v>
      </c>
      <c r="R28" s="77">
        <f t="shared" si="15"/>
        <v>137196</v>
      </c>
      <c r="S28" s="45">
        <v>3750</v>
      </c>
      <c r="T28" s="45"/>
      <c r="U28" s="45">
        <v>600</v>
      </c>
      <c r="V28" s="45"/>
      <c r="W28" s="51">
        <f t="shared" si="16"/>
        <v>4350</v>
      </c>
      <c r="X28" s="81">
        <f t="shared" si="17"/>
        <v>141546</v>
      </c>
      <c r="Y28" s="81" t="e">
        <f>+X28+#REF!</f>
        <v>#REF!</v>
      </c>
      <c r="Z28" s="52">
        <v>1</v>
      </c>
    </row>
    <row r="29" spans="1:26" s="43" customFormat="1" ht="18" thickBot="1" x14ac:dyDescent="0.35">
      <c r="A29" s="54"/>
      <c r="B29" s="55"/>
      <c r="C29" s="55"/>
      <c r="D29" s="54"/>
      <c r="E29" s="56" t="s">
        <v>70</v>
      </c>
      <c r="F29" s="55">
        <f>SUM(F6:F25)</f>
        <v>0</v>
      </c>
      <c r="G29" s="55">
        <f>SUM(G6:G25)</f>
        <v>70.02</v>
      </c>
      <c r="H29" s="55">
        <f>SUM(H6:H25)</f>
        <v>0</v>
      </c>
      <c r="I29" s="57"/>
      <c r="J29" s="55"/>
      <c r="K29" s="57">
        <f ca="1">SUM(K6:K25)</f>
        <v>1054320</v>
      </c>
      <c r="L29" s="57" t="e">
        <f>+#REF!</f>
        <v>#REF!</v>
      </c>
      <c r="M29" s="66">
        <f>SUM(M6:M25)</f>
        <v>1387.4999999999998</v>
      </c>
      <c r="N29" s="66">
        <f>SUM(N6:N25)</f>
        <v>181</v>
      </c>
      <c r="O29" s="55">
        <f>SUM(O6:O25)</f>
        <v>314.3</v>
      </c>
      <c r="P29" s="71">
        <f t="shared" si="6"/>
        <v>1254.1999999999998</v>
      </c>
      <c r="Q29" s="54">
        <f>+R29/P29</f>
        <v>1035.5679317493225</v>
      </c>
      <c r="R29" s="78">
        <f t="shared" ref="R29:Y29" si="18">SUM(R6:R25)</f>
        <v>1298809.3</v>
      </c>
      <c r="S29" s="55">
        <f t="shared" si="18"/>
        <v>30150</v>
      </c>
      <c r="T29" s="55">
        <f t="shared" si="18"/>
        <v>0</v>
      </c>
      <c r="U29" s="55">
        <f t="shared" si="18"/>
        <v>600</v>
      </c>
      <c r="V29" s="55">
        <f t="shared" si="18"/>
        <v>0</v>
      </c>
      <c r="W29" s="57" t="e">
        <f t="shared" si="18"/>
        <v>#VALUE!</v>
      </c>
      <c r="X29" s="54">
        <f>SUM(X8:X25)</f>
        <v>1329559.3</v>
      </c>
      <c r="Y29" s="54" t="e">
        <f t="shared" si="18"/>
        <v>#VALUE!</v>
      </c>
      <c r="Z29" s="57"/>
    </row>
    <row r="30" spans="1:26" s="43" customFormat="1" ht="18" thickTop="1" x14ac:dyDescent="0.3">
      <c r="A30" s="1"/>
      <c r="B30" s="2"/>
      <c r="C30" s="2"/>
      <c r="D30" s="1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1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1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1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1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1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1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1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1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1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1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1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1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1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1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1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1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1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1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1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1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1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1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1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1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1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1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1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1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1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1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1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1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1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1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1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1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1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1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1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1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1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1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1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1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1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1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1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1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1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1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1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1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1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1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1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1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1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1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1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1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1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1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1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1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1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1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1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1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1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1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1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1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1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1"/>
      <c r="R180" s="79"/>
      <c r="S180" s="2"/>
      <c r="T180" s="2"/>
      <c r="U180" s="2"/>
      <c r="V180" s="2"/>
      <c r="W180" s="3"/>
      <c r="X180" s="82"/>
      <c r="Y180" s="82"/>
      <c r="Z180" s="5"/>
    </row>
    <row r="181" spans="1:35" s="43" customFormat="1" ht="17.399999999999999" x14ac:dyDescent="0.3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3"/>
      <c r="L181" s="3"/>
      <c r="M181" s="60"/>
      <c r="N181" s="60"/>
      <c r="O181" s="2"/>
      <c r="P181" s="72"/>
      <c r="Q181" s="1"/>
      <c r="R181" s="79"/>
      <c r="S181" s="2"/>
      <c r="T181" s="2"/>
      <c r="U181" s="2"/>
      <c r="V181" s="2"/>
      <c r="W181" s="3"/>
      <c r="X181" s="82"/>
      <c r="Y181" s="82"/>
      <c r="Z181" s="5"/>
    </row>
    <row r="182" spans="1:35" s="43" customFormat="1" ht="17.399999999999999" x14ac:dyDescent="0.3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3"/>
      <c r="L182" s="3"/>
      <c r="M182" s="60"/>
      <c r="N182" s="60"/>
      <c r="O182" s="2"/>
      <c r="P182" s="72"/>
      <c r="Q182" s="1"/>
      <c r="R182" s="79"/>
      <c r="S182" s="2"/>
      <c r="T182" s="2"/>
      <c r="U182" s="2"/>
      <c r="V182" s="2"/>
      <c r="W182" s="3"/>
      <c r="X182" s="82"/>
      <c r="Y182" s="82"/>
      <c r="Z182" s="5"/>
    </row>
    <row r="183" spans="1:35" s="43" customFormat="1" ht="17.399999999999999" x14ac:dyDescent="0.3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3"/>
      <c r="L183" s="3"/>
      <c r="M183" s="60"/>
      <c r="N183" s="60"/>
      <c r="O183" s="2"/>
      <c r="P183" s="72"/>
      <c r="Q183" s="1"/>
      <c r="R183" s="79"/>
      <c r="S183" s="2"/>
      <c r="T183" s="2"/>
      <c r="U183" s="2"/>
      <c r="V183" s="2"/>
      <c r="W183" s="3"/>
      <c r="X183" s="82"/>
      <c r="Y183" s="82"/>
      <c r="Z183" s="5"/>
    </row>
    <row r="184" spans="1:35" s="43" customFormat="1" ht="17.399999999999999" x14ac:dyDescent="0.3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3"/>
      <c r="L184" s="3"/>
      <c r="M184" s="60"/>
      <c r="N184" s="60"/>
      <c r="O184" s="2"/>
      <c r="P184" s="72"/>
      <c r="Q184" s="1"/>
      <c r="R184" s="79"/>
      <c r="S184" s="2"/>
      <c r="T184" s="2"/>
      <c r="U184" s="2"/>
      <c r="V184" s="2"/>
      <c r="W184" s="3"/>
      <c r="X184" s="82"/>
      <c r="Y184" s="82"/>
      <c r="Z184" s="5"/>
    </row>
    <row r="185" spans="1:35" s="43" customFormat="1" ht="17.399999999999999" x14ac:dyDescent="0.3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3"/>
      <c r="L185" s="3"/>
      <c r="M185" s="60"/>
      <c r="N185" s="60"/>
      <c r="O185" s="2"/>
      <c r="P185" s="72"/>
      <c r="Q185" s="1"/>
      <c r="R185" s="79"/>
      <c r="S185" s="2"/>
      <c r="T185" s="2"/>
      <c r="U185" s="2"/>
      <c r="V185" s="2"/>
      <c r="W185" s="3"/>
      <c r="X185" s="82"/>
      <c r="Y185" s="82"/>
      <c r="Z185" s="5"/>
    </row>
    <row r="186" spans="1:35" s="43" customFormat="1" ht="17.399999999999999" x14ac:dyDescent="0.3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3"/>
      <c r="L186" s="3"/>
      <c r="M186" s="60"/>
      <c r="N186" s="60"/>
      <c r="O186" s="2"/>
      <c r="P186" s="72"/>
      <c r="Q186" s="1"/>
      <c r="R186" s="79"/>
      <c r="S186" s="2"/>
      <c r="T186" s="2"/>
      <c r="U186" s="2"/>
      <c r="V186" s="2"/>
      <c r="W186" s="3"/>
      <c r="X186" s="82"/>
      <c r="Y186" s="82"/>
      <c r="Z186" s="5"/>
      <c r="AB186" s="58"/>
      <c r="AC186" s="58"/>
      <c r="AD186" s="58"/>
      <c r="AE186" s="58"/>
      <c r="AF186" s="59"/>
      <c r="AG186" s="59"/>
      <c r="AH186" s="59"/>
      <c r="AI186" s="59"/>
    </row>
  </sheetData>
  <mergeCells count="1">
    <mergeCell ref="F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7CA8-6901-4D10-B86E-2527347A0AC1}">
  <dimension ref="A1:AN180"/>
  <sheetViews>
    <sheetView topLeftCell="A2" workbookViewId="0">
      <selection activeCell="K9" sqref="K9"/>
    </sheetView>
  </sheetViews>
  <sheetFormatPr defaultColWidth="9.109375" defaultRowHeight="14.4" x14ac:dyDescent="0.3"/>
  <cols>
    <col min="1" max="1" width="7.88671875" style="1" customWidth="1"/>
    <col min="2" max="2" width="10" style="2" customWidth="1"/>
    <col min="3" max="3" width="10.6640625" style="2" bestFit="1" customWidth="1"/>
    <col min="4" max="4" width="15.5546875" style="1" bestFit="1" customWidth="1"/>
    <col min="5" max="5" width="13.5546875" style="2" bestFit="1" customWidth="1"/>
    <col min="6" max="6" width="10.6640625" style="2" customWidth="1"/>
    <col min="7" max="7" width="11.33203125" style="2" bestFit="1" customWidth="1"/>
    <col min="8" max="8" width="10.6640625" style="2" customWidth="1"/>
    <col min="9" max="9" width="18.109375" style="2" bestFit="1" customWidth="1"/>
    <col min="10" max="10" width="12.88671875" style="2" bestFit="1" customWidth="1"/>
    <col min="11" max="11" width="15.33203125" style="3" bestFit="1" customWidth="1"/>
    <col min="12" max="12" width="13.6640625" style="3" bestFit="1" customWidth="1"/>
    <col min="13" max="13" width="14.109375" style="60" bestFit="1" customWidth="1"/>
    <col min="14" max="14" width="15" style="60" bestFit="1" customWidth="1"/>
    <col min="15" max="15" width="11.5546875" style="2" customWidth="1"/>
    <col min="16" max="16" width="18" style="72" bestFit="1" customWidth="1"/>
    <col min="17" max="17" width="12.88671875" style="1" bestFit="1" customWidth="1"/>
    <col min="18" max="18" width="17" style="79" bestFit="1" customWidth="1"/>
    <col min="19" max="19" width="15.5546875" style="2" customWidth="1"/>
    <col min="20" max="22" width="11.88671875" style="2" bestFit="1" customWidth="1"/>
    <col min="23" max="23" width="10.6640625" style="3" customWidth="1"/>
    <col min="24" max="24" width="16.88671875" style="82" bestFit="1" customWidth="1"/>
    <col min="25" max="25" width="21.33203125" style="82" bestFit="1" customWidth="1"/>
    <col min="26" max="26" width="11.109375" style="5" bestFit="1" customWidth="1"/>
    <col min="27" max="27" width="9.109375" style="2"/>
    <col min="28" max="28" width="11" style="5" bestFit="1" customWidth="1"/>
    <col min="29" max="29" width="12.44140625" style="5" bestFit="1" customWidth="1"/>
    <col min="30" max="30" width="16.88671875" style="5" bestFit="1" customWidth="1"/>
    <col min="31" max="32" width="11.5546875" style="5" customWidth="1"/>
    <col min="33" max="33" width="11.44140625" style="3" customWidth="1"/>
    <col min="34" max="35" width="12.88671875" style="3" customWidth="1"/>
    <col min="36" max="36" width="12.109375" style="3" customWidth="1"/>
    <col min="37" max="37" width="8.6640625" style="2" customWidth="1"/>
    <col min="38" max="38" width="20.109375" style="2" customWidth="1"/>
    <col min="39" max="39" width="13.109375" style="2" bestFit="1" customWidth="1"/>
    <col min="40" max="40" width="17.6640625" style="2" hidden="1" customWidth="1"/>
    <col min="41" max="41" width="16.33203125" style="2" customWidth="1"/>
    <col min="42" max="16384" width="9.109375" style="2"/>
  </cols>
  <sheetData>
    <row r="1" spans="1:36" x14ac:dyDescent="0.3">
      <c r="A1" s="1" t="e">
        <f>#REF!</f>
        <v>#REF!</v>
      </c>
      <c r="E1" s="2" t="str">
        <f t="shared" ref="E1:Y1" si="0">E23</f>
        <v>hDdf</v>
      </c>
      <c r="F1" s="2">
        <f t="shared" ref="F1:H1" si="1">+F23</f>
        <v>0</v>
      </c>
      <c r="G1" s="2">
        <f t="shared" si="1"/>
        <v>69.510000000000005</v>
      </c>
      <c r="H1" s="2">
        <f t="shared" si="1"/>
        <v>0</v>
      </c>
      <c r="I1" s="2">
        <f>+I23</f>
        <v>0</v>
      </c>
      <c r="J1" s="2">
        <f>+J23</f>
        <v>0</v>
      </c>
      <c r="K1" s="2">
        <f>+K23</f>
        <v>629899.62</v>
      </c>
      <c r="L1" s="3" t="e">
        <f>L12:L19</f>
        <v>#VALUE!</v>
      </c>
      <c r="M1" s="60">
        <f t="shared" si="0"/>
        <v>926.59999999999991</v>
      </c>
      <c r="N1" s="60">
        <f t="shared" si="0"/>
        <v>113.5</v>
      </c>
      <c r="O1" s="2">
        <f t="shared" si="0"/>
        <v>439.3</v>
      </c>
      <c r="P1" s="60">
        <f t="shared" si="0"/>
        <v>600.79999999999995</v>
      </c>
      <c r="Q1" s="1">
        <f t="shared" si="0"/>
        <v>1080.3723368841547</v>
      </c>
      <c r="R1" s="1">
        <f t="shared" si="0"/>
        <v>649087.70000000007</v>
      </c>
      <c r="S1" s="2">
        <f t="shared" si="0"/>
        <v>22100</v>
      </c>
      <c r="T1" s="2">
        <f t="shared" si="0"/>
        <v>6800</v>
      </c>
      <c r="U1" s="2">
        <f t="shared" si="0"/>
        <v>1000</v>
      </c>
      <c r="V1" s="2">
        <f t="shared" si="0"/>
        <v>0</v>
      </c>
      <c r="W1" s="2" t="e">
        <f t="shared" si="0"/>
        <v>#VALUE!</v>
      </c>
      <c r="X1" s="1">
        <f t="shared" si="0"/>
        <v>678987.70000000007</v>
      </c>
      <c r="Y1" s="1" t="e">
        <f t="shared" si="0"/>
        <v>#VALUE!</v>
      </c>
      <c r="Z1" s="4" t="s">
        <v>5</v>
      </c>
      <c r="AB1" s="3"/>
    </row>
    <row r="2" spans="1:36" ht="15" thickBot="1" x14ac:dyDescent="0.35">
      <c r="C2" s="6" t="s">
        <v>6</v>
      </c>
      <c r="D2" s="95" t="s">
        <v>7</v>
      </c>
      <c r="M2" s="60" t="s">
        <v>8</v>
      </c>
      <c r="P2" s="68" t="s">
        <v>9</v>
      </c>
      <c r="R2" s="74" t="s">
        <v>10</v>
      </c>
      <c r="W2" s="8" t="s">
        <v>11</v>
      </c>
      <c r="X2" s="80" t="s">
        <v>12</v>
      </c>
      <c r="Y2" s="80"/>
    </row>
    <row r="3" spans="1:36" s="4" customFormat="1" ht="15" thickBot="1" x14ac:dyDescent="0.35">
      <c r="A3" s="9"/>
      <c r="D3" s="96" t="s">
        <v>13</v>
      </c>
      <c r="F3" s="90" t="s">
        <v>14</v>
      </c>
      <c r="G3" s="90"/>
      <c r="H3" s="90"/>
      <c r="I3" s="90"/>
      <c r="J3" s="11"/>
      <c r="K3" s="12"/>
      <c r="L3" s="12"/>
      <c r="M3" s="61" t="s">
        <v>15</v>
      </c>
      <c r="N3" s="61" t="s">
        <v>16</v>
      </c>
      <c r="O3" s="4" t="s">
        <v>17</v>
      </c>
      <c r="P3" s="61" t="s">
        <v>18</v>
      </c>
      <c r="Q3" s="74" t="s">
        <v>19</v>
      </c>
      <c r="R3" s="9" t="s">
        <v>20</v>
      </c>
      <c r="S3" s="4" t="s">
        <v>21</v>
      </c>
      <c r="T3" s="4" t="s">
        <v>22</v>
      </c>
      <c r="U3" s="4" t="s">
        <v>23</v>
      </c>
      <c r="V3" s="8" t="s">
        <v>24</v>
      </c>
      <c r="W3" s="13" t="s">
        <v>25</v>
      </c>
      <c r="X3" s="80" t="s">
        <v>26</v>
      </c>
      <c r="Y3" s="80"/>
      <c r="Z3" s="13"/>
      <c r="AB3" s="13"/>
      <c r="AC3" s="13"/>
      <c r="AD3" s="13"/>
      <c r="AE3" s="13"/>
      <c r="AF3" s="13"/>
      <c r="AG3" s="8"/>
      <c r="AH3" s="8"/>
      <c r="AI3" s="8"/>
      <c r="AJ3" s="8"/>
    </row>
    <row r="4" spans="1:36" s="26" customFormat="1" ht="19.2" thickTop="1" thickBot="1" x14ac:dyDescent="0.4">
      <c r="A4" s="14" t="s">
        <v>27</v>
      </c>
      <c r="B4" s="15" t="s">
        <v>0</v>
      </c>
      <c r="C4" s="16" t="s">
        <v>4</v>
      </c>
      <c r="D4" s="97" t="s">
        <v>28</v>
      </c>
      <c r="E4" s="17" t="s">
        <v>29</v>
      </c>
      <c r="F4" s="18" t="s">
        <v>30</v>
      </c>
      <c r="G4" s="18" t="s">
        <v>31</v>
      </c>
      <c r="H4" s="18" t="s">
        <v>32</v>
      </c>
      <c r="I4" s="19" t="s">
        <v>33</v>
      </c>
      <c r="J4" s="17" t="s">
        <v>34</v>
      </c>
      <c r="K4" s="20"/>
      <c r="L4" s="21" t="s">
        <v>35</v>
      </c>
      <c r="M4" s="67" t="s">
        <v>36</v>
      </c>
      <c r="N4" s="62" t="s">
        <v>37</v>
      </c>
      <c r="O4" s="23" t="s">
        <v>38</v>
      </c>
      <c r="P4" s="69" t="s">
        <v>2</v>
      </c>
      <c r="Q4" s="83" t="s">
        <v>34</v>
      </c>
      <c r="R4" s="75" t="s">
        <v>39</v>
      </c>
      <c r="S4" s="22" t="s">
        <v>40</v>
      </c>
      <c r="T4" s="23" t="s">
        <v>41</v>
      </c>
      <c r="U4" s="23" t="s">
        <v>42</v>
      </c>
      <c r="V4" s="23" t="s">
        <v>43</v>
      </c>
      <c r="W4" s="24" t="s">
        <v>39</v>
      </c>
      <c r="X4" s="75" t="s">
        <v>44</v>
      </c>
      <c r="Y4" s="75" t="s">
        <v>45</v>
      </c>
      <c r="Z4" s="25" t="s">
        <v>3</v>
      </c>
    </row>
    <row r="5" spans="1:36" s="38" customFormat="1" ht="53.4" thickTop="1" thickBot="1" x14ac:dyDescent="0.35">
      <c r="A5" s="27" t="s">
        <v>46</v>
      </c>
      <c r="B5" s="28" t="s">
        <v>47</v>
      </c>
      <c r="C5" s="28" t="s">
        <v>48</v>
      </c>
      <c r="D5" s="98" t="s">
        <v>49</v>
      </c>
      <c r="E5" s="30" t="s">
        <v>50</v>
      </c>
      <c r="F5" s="31" t="s">
        <v>51</v>
      </c>
      <c r="G5" s="31" t="s">
        <v>52</v>
      </c>
      <c r="H5" s="31" t="s">
        <v>53</v>
      </c>
      <c r="I5" s="32" t="s">
        <v>54</v>
      </c>
      <c r="J5" s="28" t="s">
        <v>55</v>
      </c>
      <c r="K5" s="33"/>
      <c r="L5" s="32" t="s">
        <v>56</v>
      </c>
      <c r="M5" s="63" t="s">
        <v>57</v>
      </c>
      <c r="N5" s="63" t="s">
        <v>58</v>
      </c>
      <c r="O5" s="34" t="s">
        <v>59</v>
      </c>
      <c r="P5" s="70" t="s">
        <v>60</v>
      </c>
      <c r="Q5" s="84" t="s">
        <v>55</v>
      </c>
      <c r="R5" s="76" t="s">
        <v>61</v>
      </c>
      <c r="S5" s="36" t="s">
        <v>62</v>
      </c>
      <c r="T5" s="34" t="s">
        <v>63</v>
      </c>
      <c r="U5" s="34" t="s">
        <v>64</v>
      </c>
      <c r="V5" s="34" t="s">
        <v>65</v>
      </c>
      <c r="W5" s="35" t="s">
        <v>61</v>
      </c>
      <c r="X5" s="76" t="s">
        <v>66</v>
      </c>
      <c r="Y5" s="76" t="s">
        <v>67</v>
      </c>
      <c r="Z5" s="37" t="s">
        <v>68</v>
      </c>
    </row>
    <row r="6" spans="1:36" s="43" customFormat="1" ht="18" thickTop="1" x14ac:dyDescent="0.3">
      <c r="A6" s="39"/>
      <c r="B6" s="40"/>
      <c r="C6" s="40"/>
      <c r="D6" s="39"/>
      <c r="E6" s="41" t="s">
        <v>69</v>
      </c>
      <c r="F6" s="40"/>
      <c r="G6" s="40"/>
      <c r="H6" s="40"/>
      <c r="I6" s="40"/>
      <c r="J6" s="40"/>
      <c r="K6" s="42"/>
      <c r="L6" s="40"/>
      <c r="M6" s="64"/>
      <c r="N6" s="64"/>
      <c r="O6" s="40"/>
      <c r="P6" s="64"/>
      <c r="Q6" s="39"/>
      <c r="R6" s="39"/>
      <c r="S6" s="40"/>
      <c r="T6" s="40"/>
      <c r="U6" s="40"/>
      <c r="V6" s="40"/>
      <c r="W6" s="40"/>
      <c r="X6" s="39"/>
      <c r="Y6" s="39"/>
      <c r="Z6" s="42"/>
    </row>
    <row r="7" spans="1:36" s="43" customFormat="1" ht="17.399999999999999" x14ac:dyDescent="0.3">
      <c r="A7" s="44">
        <v>1</v>
      </c>
      <c r="B7" s="45"/>
      <c r="C7" s="45"/>
      <c r="D7" s="44"/>
      <c r="E7" s="46"/>
      <c r="F7" s="47"/>
      <c r="G7" s="47"/>
      <c r="H7" s="47"/>
      <c r="I7" s="48">
        <f t="shared" ref="I7:I22" si="2">+H7+G7+F7</f>
        <v>0</v>
      </c>
      <c r="J7" s="49"/>
      <c r="K7" s="50">
        <f t="shared" ref="K7:K9" si="3">+I7*J7</f>
        <v>0</v>
      </c>
      <c r="L7" s="48"/>
      <c r="M7" s="65"/>
      <c r="N7" s="65"/>
      <c r="O7" s="45"/>
      <c r="P7" s="71">
        <f t="shared" ref="P7" si="4">N7+M7+O7</f>
        <v>0</v>
      </c>
      <c r="Q7" s="44"/>
      <c r="R7" s="77">
        <f>SUM(P7*Q7)</f>
        <v>0</v>
      </c>
      <c r="S7" s="45"/>
      <c r="T7" s="45"/>
      <c r="U7" s="45"/>
      <c r="V7" s="45"/>
      <c r="W7" s="51" t="e">
        <f>W9:W15</f>
        <v>#VALUE!</v>
      </c>
      <c r="X7" s="81" t="e">
        <f t="shared" ref="X7:X22" si="5">+R7+W7</f>
        <v>#VALUE!</v>
      </c>
      <c r="Y7" s="81" t="e">
        <f>+X7+#REF!</f>
        <v>#VALUE!</v>
      </c>
      <c r="Z7" s="52"/>
    </row>
    <row r="8" spans="1:36" s="43" customFormat="1" ht="17.399999999999999" x14ac:dyDescent="0.3">
      <c r="A8" s="44"/>
      <c r="B8" s="45">
        <v>1</v>
      </c>
      <c r="C8" s="45">
        <v>47</v>
      </c>
      <c r="D8" s="44">
        <v>303541976</v>
      </c>
      <c r="E8" s="91" t="s">
        <v>139</v>
      </c>
      <c r="F8" s="47"/>
      <c r="G8" s="47">
        <v>69.510000000000005</v>
      </c>
      <c r="H8" s="47"/>
      <c r="I8" s="48">
        <f t="shared" si="2"/>
        <v>69.510000000000005</v>
      </c>
      <c r="J8" s="49">
        <v>9062</v>
      </c>
      <c r="K8" s="50">
        <f t="shared" si="3"/>
        <v>629899.62</v>
      </c>
      <c r="L8" s="48"/>
      <c r="M8" s="65"/>
      <c r="N8" s="65"/>
      <c r="O8" s="101"/>
      <c r="P8" s="71"/>
      <c r="Q8" s="44"/>
      <c r="R8" s="77"/>
      <c r="S8" s="45"/>
      <c r="T8" s="45"/>
      <c r="U8" s="45"/>
      <c r="V8" s="45"/>
      <c r="W8" s="51"/>
      <c r="X8" s="81"/>
      <c r="Y8" s="81"/>
      <c r="Z8" s="52"/>
    </row>
    <row r="9" spans="1:36" s="43" customFormat="1" ht="17.399999999999999" x14ac:dyDescent="0.3">
      <c r="A9" s="44">
        <v>2</v>
      </c>
      <c r="B9" s="45">
        <v>1</v>
      </c>
      <c r="C9" s="45">
        <v>126</v>
      </c>
      <c r="D9" s="99"/>
      <c r="E9" s="53" t="s">
        <v>84</v>
      </c>
      <c r="F9" s="47"/>
      <c r="G9" s="47"/>
      <c r="H9" s="47"/>
      <c r="I9" s="48">
        <f t="shared" si="2"/>
        <v>0</v>
      </c>
      <c r="J9" s="49"/>
      <c r="K9" s="50">
        <f t="shared" si="3"/>
        <v>0</v>
      </c>
      <c r="L9" s="48"/>
      <c r="M9" s="65">
        <v>41.2</v>
      </c>
      <c r="N9" s="65">
        <v>3</v>
      </c>
      <c r="O9" s="43">
        <v>41</v>
      </c>
      <c r="P9" s="71">
        <f>N9+M9-O9</f>
        <v>3.2000000000000028</v>
      </c>
      <c r="Q9" s="44">
        <v>102600</v>
      </c>
      <c r="R9" s="77">
        <f>SUM(P9*(Q9/100))</f>
        <v>3283.200000000003</v>
      </c>
      <c r="S9" s="45">
        <v>1000</v>
      </c>
      <c r="T9" s="45"/>
      <c r="U9" s="45"/>
      <c r="V9" s="45"/>
      <c r="W9" s="51">
        <f>+S9+T9+U9+V9</f>
        <v>1000</v>
      </c>
      <c r="X9" s="81">
        <f>+R9+W9</f>
        <v>4283.2000000000025</v>
      </c>
      <c r="Y9" s="81" t="e">
        <f>+X9+#REF!</f>
        <v>#REF!</v>
      </c>
      <c r="Z9" s="52"/>
    </row>
    <row r="10" spans="1:36" s="43" customFormat="1" ht="17.399999999999999" x14ac:dyDescent="0.3">
      <c r="A10" s="44">
        <v>3</v>
      </c>
      <c r="B10" s="73">
        <v>4</v>
      </c>
      <c r="C10" s="45">
        <f>C9+1</f>
        <v>127</v>
      </c>
      <c r="D10" s="99"/>
      <c r="E10" s="53" t="s">
        <v>110</v>
      </c>
      <c r="F10" s="47"/>
      <c r="G10" s="47"/>
      <c r="H10" s="47"/>
      <c r="I10" s="48"/>
      <c r="J10" s="49"/>
      <c r="K10" s="50">
        <f>+I10*J10</f>
        <v>0</v>
      </c>
      <c r="L10" s="48"/>
      <c r="M10" s="65">
        <v>57.9</v>
      </c>
      <c r="N10" s="65">
        <v>7</v>
      </c>
      <c r="O10" s="45"/>
      <c r="P10" s="71">
        <f t="shared" ref="P10:P23" si="6">N10+M10-O10</f>
        <v>64.900000000000006</v>
      </c>
      <c r="Q10" s="44">
        <v>102500</v>
      </c>
      <c r="R10" s="77">
        <f t="shared" ref="R10:R22" si="7">SUM(P10*(Q10/100))</f>
        <v>66522.5</v>
      </c>
      <c r="S10" s="45">
        <v>1200</v>
      </c>
      <c r="T10" s="45">
        <v>6800</v>
      </c>
      <c r="U10" s="45"/>
      <c r="V10" s="45"/>
      <c r="W10" s="51">
        <f t="shared" ref="W10:W22" si="8">+S10+T10+U10+V10</f>
        <v>8000</v>
      </c>
      <c r="X10" s="81">
        <f t="shared" si="5"/>
        <v>74522.5</v>
      </c>
      <c r="Y10" s="81" t="e">
        <f>+X10+#REF!</f>
        <v>#REF!</v>
      </c>
      <c r="Z10" s="52">
        <v>1</v>
      </c>
    </row>
    <row r="11" spans="1:36" s="43" customFormat="1" ht="17.399999999999999" x14ac:dyDescent="0.3">
      <c r="A11" s="44">
        <v>4</v>
      </c>
      <c r="B11" s="45">
        <v>6</v>
      </c>
      <c r="C11" s="45">
        <f t="shared" ref="C11:C22" si="9">C10+1</f>
        <v>128</v>
      </c>
      <c r="D11" s="99"/>
      <c r="E11" s="53" t="s">
        <v>73</v>
      </c>
      <c r="F11" s="47"/>
      <c r="G11" s="47"/>
      <c r="H11" s="47"/>
      <c r="I11" s="48">
        <f t="shared" si="2"/>
        <v>0</v>
      </c>
      <c r="J11" s="49"/>
      <c r="K11" s="50">
        <f t="shared" ref="K11:K22" si="10">+I11*J11</f>
        <v>0</v>
      </c>
      <c r="L11" s="48"/>
      <c r="M11" s="65">
        <v>59.1</v>
      </c>
      <c r="N11" s="65">
        <v>7</v>
      </c>
      <c r="O11" s="45"/>
      <c r="P11" s="71">
        <f t="shared" si="6"/>
        <v>66.099999999999994</v>
      </c>
      <c r="Q11" s="44">
        <v>107100</v>
      </c>
      <c r="R11" s="77">
        <f t="shared" si="7"/>
        <v>70793.099999999991</v>
      </c>
      <c r="S11" s="45">
        <v>4200</v>
      </c>
      <c r="T11" s="45"/>
      <c r="U11" s="45"/>
      <c r="V11" s="45"/>
      <c r="W11" s="51">
        <f t="shared" si="8"/>
        <v>4200</v>
      </c>
      <c r="X11" s="81">
        <f t="shared" si="5"/>
        <v>74993.099999999991</v>
      </c>
      <c r="Y11" s="81" t="e">
        <f>+X11+#REF!</f>
        <v>#REF!</v>
      </c>
      <c r="Z11" s="52"/>
    </row>
    <row r="12" spans="1:36" s="43" customFormat="1" ht="17.399999999999999" x14ac:dyDescent="0.3">
      <c r="A12" s="44">
        <v>5</v>
      </c>
      <c r="B12" s="45">
        <v>10</v>
      </c>
      <c r="C12" s="45">
        <f t="shared" si="9"/>
        <v>129</v>
      </c>
      <c r="D12" s="99"/>
      <c r="E12" s="53" t="s">
        <v>76</v>
      </c>
      <c r="F12" s="47"/>
      <c r="G12" s="47"/>
      <c r="H12" s="47"/>
      <c r="I12" s="48">
        <f t="shared" si="2"/>
        <v>0</v>
      </c>
      <c r="J12" s="49"/>
      <c r="K12" s="50">
        <f t="shared" si="10"/>
        <v>0</v>
      </c>
      <c r="L12" s="48"/>
      <c r="M12" s="65">
        <v>48.5</v>
      </c>
      <c r="N12" s="65">
        <v>8</v>
      </c>
      <c r="O12" s="45"/>
      <c r="P12" s="71">
        <f t="shared" si="6"/>
        <v>56.5</v>
      </c>
      <c r="Q12" s="44">
        <v>103500</v>
      </c>
      <c r="R12" s="77">
        <f t="shared" si="7"/>
        <v>58477.5</v>
      </c>
      <c r="S12" s="45">
        <v>1200</v>
      </c>
      <c r="T12" s="45"/>
      <c r="U12" s="45"/>
      <c r="V12" s="45"/>
      <c r="W12" s="51">
        <f t="shared" si="8"/>
        <v>1200</v>
      </c>
      <c r="X12" s="81">
        <f t="shared" si="5"/>
        <v>59677.5</v>
      </c>
      <c r="Y12" s="81" t="e">
        <f>+X12+#REF!</f>
        <v>#REF!</v>
      </c>
      <c r="Z12" s="52">
        <v>1</v>
      </c>
    </row>
    <row r="13" spans="1:36" s="43" customFormat="1" ht="17.399999999999999" x14ac:dyDescent="0.3">
      <c r="A13" s="44">
        <v>6</v>
      </c>
      <c r="B13" s="45">
        <v>14</v>
      </c>
      <c r="C13" s="45">
        <f t="shared" si="9"/>
        <v>130</v>
      </c>
      <c r="D13" s="99"/>
      <c r="E13" s="53" t="s">
        <v>73</v>
      </c>
      <c r="F13" s="47"/>
      <c r="G13" s="47"/>
      <c r="H13" s="47"/>
      <c r="I13" s="48">
        <f t="shared" si="2"/>
        <v>0</v>
      </c>
      <c r="J13" s="49"/>
      <c r="K13" s="50">
        <f t="shared" si="10"/>
        <v>0</v>
      </c>
      <c r="L13" s="48"/>
      <c r="M13" s="65">
        <v>35.1</v>
      </c>
      <c r="N13" s="65">
        <v>6</v>
      </c>
      <c r="O13" s="45"/>
      <c r="P13" s="71">
        <f t="shared" si="6"/>
        <v>41.1</v>
      </c>
      <c r="Q13" s="44">
        <v>109800</v>
      </c>
      <c r="R13" s="77">
        <f t="shared" si="7"/>
        <v>45127.8</v>
      </c>
      <c r="S13" s="45">
        <v>1000</v>
      </c>
      <c r="T13" s="45"/>
      <c r="U13" s="45">
        <v>500</v>
      </c>
      <c r="V13" s="45"/>
      <c r="W13" s="51">
        <f t="shared" si="8"/>
        <v>1500</v>
      </c>
      <c r="X13" s="81">
        <f t="shared" si="5"/>
        <v>46627.8</v>
      </c>
      <c r="Y13" s="81" t="e">
        <f>+X13+#REF!</f>
        <v>#REF!</v>
      </c>
      <c r="Z13" s="52">
        <v>1</v>
      </c>
    </row>
    <row r="14" spans="1:36" s="43" customFormat="1" ht="17.399999999999999" x14ac:dyDescent="0.3">
      <c r="A14" s="44">
        <v>7</v>
      </c>
      <c r="B14" s="45">
        <v>14</v>
      </c>
      <c r="C14" s="45">
        <f t="shared" si="9"/>
        <v>131</v>
      </c>
      <c r="D14" s="99"/>
      <c r="E14" s="53" t="s">
        <v>94</v>
      </c>
      <c r="F14" s="47"/>
      <c r="G14" s="47"/>
      <c r="H14" s="47"/>
      <c r="I14" s="48">
        <f t="shared" si="2"/>
        <v>0</v>
      </c>
      <c r="J14" s="49"/>
      <c r="K14" s="50">
        <f t="shared" si="10"/>
        <v>0</v>
      </c>
      <c r="L14" s="48"/>
      <c r="M14" s="65">
        <v>7.5</v>
      </c>
      <c r="N14" s="65">
        <v>0.5</v>
      </c>
      <c r="O14" s="45">
        <v>3.3</v>
      </c>
      <c r="P14" s="71">
        <f t="shared" si="6"/>
        <v>4.7</v>
      </c>
      <c r="Q14" s="44">
        <v>109000</v>
      </c>
      <c r="R14" s="77">
        <f t="shared" si="7"/>
        <v>5123</v>
      </c>
      <c r="S14" s="45">
        <v>800</v>
      </c>
      <c r="T14" s="45"/>
      <c r="U14" s="45"/>
      <c r="V14" s="45"/>
      <c r="W14" s="51">
        <f t="shared" si="8"/>
        <v>800</v>
      </c>
      <c r="X14" s="81">
        <f t="shared" si="5"/>
        <v>5923</v>
      </c>
      <c r="Y14" s="81" t="e">
        <f>+X14+#REF!</f>
        <v>#REF!</v>
      </c>
      <c r="Z14" s="52"/>
    </row>
    <row r="15" spans="1:36" s="43" customFormat="1" ht="17.399999999999999" x14ac:dyDescent="0.3">
      <c r="A15" s="44">
        <v>8</v>
      </c>
      <c r="B15" s="45">
        <v>21</v>
      </c>
      <c r="C15" s="45">
        <f t="shared" si="9"/>
        <v>132</v>
      </c>
      <c r="D15" s="99"/>
      <c r="E15" s="53" t="s">
        <v>112</v>
      </c>
      <c r="F15" s="47"/>
      <c r="G15" s="47"/>
      <c r="H15" s="47"/>
      <c r="I15" s="48">
        <f t="shared" si="2"/>
        <v>0</v>
      </c>
      <c r="J15" s="49"/>
      <c r="K15" s="50">
        <f t="shared" si="10"/>
        <v>0</v>
      </c>
      <c r="L15" s="48"/>
      <c r="M15" s="65">
        <v>50.4</v>
      </c>
      <c r="N15" s="65">
        <v>6</v>
      </c>
      <c r="O15" s="45"/>
      <c r="P15" s="71">
        <f t="shared" si="6"/>
        <v>56.4</v>
      </c>
      <c r="Q15" s="44">
        <v>109200</v>
      </c>
      <c r="R15" s="77">
        <f t="shared" si="7"/>
        <v>61588.799999999996</v>
      </c>
      <c r="S15" s="45">
        <v>1200</v>
      </c>
      <c r="T15" s="45"/>
      <c r="U15" s="45">
        <v>500</v>
      </c>
      <c r="V15" s="45"/>
      <c r="W15" s="51">
        <f t="shared" si="8"/>
        <v>1700</v>
      </c>
      <c r="X15" s="81">
        <f t="shared" si="5"/>
        <v>63288.799999999996</v>
      </c>
      <c r="Y15" s="81" t="e">
        <f>+X15+#REF!</f>
        <v>#REF!</v>
      </c>
      <c r="Z15" s="52">
        <v>1</v>
      </c>
    </row>
    <row r="16" spans="1:36" s="43" customFormat="1" ht="17.399999999999999" x14ac:dyDescent="0.3">
      <c r="A16" s="44">
        <v>9</v>
      </c>
      <c r="B16" s="45">
        <v>22</v>
      </c>
      <c r="C16" s="45">
        <f t="shared" si="9"/>
        <v>133</v>
      </c>
      <c r="D16" s="99"/>
      <c r="E16" s="53" t="s">
        <v>102</v>
      </c>
      <c r="F16" s="47"/>
      <c r="G16" s="47"/>
      <c r="H16" s="47"/>
      <c r="I16" s="48">
        <f t="shared" si="2"/>
        <v>0</v>
      </c>
      <c r="J16" s="49"/>
      <c r="K16" s="50">
        <f t="shared" si="10"/>
        <v>0</v>
      </c>
      <c r="L16" s="48"/>
      <c r="M16" s="65">
        <v>303.60000000000002</v>
      </c>
      <c r="N16" s="65">
        <v>30</v>
      </c>
      <c r="O16" s="45">
        <v>270</v>
      </c>
      <c r="P16" s="71">
        <f t="shared" si="6"/>
        <v>63.600000000000023</v>
      </c>
      <c r="Q16" s="44">
        <v>109000</v>
      </c>
      <c r="R16" s="77">
        <f t="shared" si="7"/>
        <v>69324.000000000029</v>
      </c>
      <c r="S16" s="45">
        <v>3000</v>
      </c>
      <c r="T16" s="45"/>
      <c r="U16" s="45"/>
      <c r="V16" s="45"/>
      <c r="W16" s="51">
        <f t="shared" si="8"/>
        <v>3000</v>
      </c>
      <c r="X16" s="81">
        <f t="shared" si="5"/>
        <v>72324.000000000029</v>
      </c>
      <c r="Y16" s="81" t="e">
        <f>+X16+#REF!</f>
        <v>#REF!</v>
      </c>
      <c r="Z16" s="52"/>
    </row>
    <row r="17" spans="1:26" s="43" customFormat="1" ht="17.399999999999999" x14ac:dyDescent="0.3">
      <c r="A17" s="44">
        <v>10</v>
      </c>
      <c r="B17" s="45">
        <v>22</v>
      </c>
      <c r="C17" s="45">
        <f t="shared" si="9"/>
        <v>134</v>
      </c>
      <c r="D17" s="99"/>
      <c r="E17" s="53" t="s">
        <v>73</v>
      </c>
      <c r="F17" s="47"/>
      <c r="G17" s="47"/>
      <c r="H17" s="47"/>
      <c r="I17" s="48">
        <f t="shared" si="2"/>
        <v>0</v>
      </c>
      <c r="J17" s="49"/>
      <c r="K17" s="50">
        <f t="shared" si="10"/>
        <v>0</v>
      </c>
      <c r="L17" s="48"/>
      <c r="M17" s="65">
        <f>38.5-4.4-1</f>
        <v>33.1</v>
      </c>
      <c r="N17" s="65">
        <v>5</v>
      </c>
      <c r="O17" s="45">
        <v>18.5</v>
      </c>
      <c r="P17" s="71">
        <f t="shared" si="6"/>
        <v>19.600000000000001</v>
      </c>
      <c r="Q17" s="44">
        <v>109000</v>
      </c>
      <c r="R17" s="77">
        <f t="shared" si="7"/>
        <v>21364</v>
      </c>
      <c r="S17" s="45">
        <v>1200</v>
      </c>
      <c r="T17" s="45"/>
      <c r="U17" s="45"/>
      <c r="V17" s="45"/>
      <c r="W17" s="51">
        <f t="shared" si="8"/>
        <v>1200</v>
      </c>
      <c r="X17" s="81">
        <f t="shared" si="5"/>
        <v>22564</v>
      </c>
      <c r="Y17" s="81" t="e">
        <f>+X17+#REF!</f>
        <v>#REF!</v>
      </c>
      <c r="Z17" s="52"/>
    </row>
    <row r="18" spans="1:26" s="43" customFormat="1" ht="17.399999999999999" x14ac:dyDescent="0.3">
      <c r="A18" s="44">
        <v>11</v>
      </c>
      <c r="B18" s="45">
        <v>22</v>
      </c>
      <c r="C18" s="45">
        <f t="shared" si="9"/>
        <v>135</v>
      </c>
      <c r="D18" s="99" t="s">
        <v>121</v>
      </c>
      <c r="E18" s="53" t="s">
        <v>113</v>
      </c>
      <c r="F18" s="47"/>
      <c r="G18" s="47"/>
      <c r="H18" s="47"/>
      <c r="I18" s="48">
        <f t="shared" si="2"/>
        <v>0</v>
      </c>
      <c r="J18" s="49"/>
      <c r="K18" s="50">
        <f t="shared" si="10"/>
        <v>0</v>
      </c>
      <c r="L18" s="48"/>
      <c r="M18" s="65">
        <f>30+31</f>
        <v>61</v>
      </c>
      <c r="N18" s="65">
        <v>12</v>
      </c>
      <c r="O18" s="45">
        <v>73</v>
      </c>
      <c r="P18" s="71">
        <f t="shared" si="6"/>
        <v>0</v>
      </c>
      <c r="Q18" s="44">
        <v>109000</v>
      </c>
      <c r="R18" s="77">
        <f t="shared" si="7"/>
        <v>0</v>
      </c>
      <c r="S18" s="45">
        <v>2400</v>
      </c>
      <c r="T18" s="45"/>
      <c r="U18" s="45"/>
      <c r="V18" s="45"/>
      <c r="W18" s="51">
        <f t="shared" si="8"/>
        <v>2400</v>
      </c>
      <c r="X18" s="81">
        <f t="shared" si="5"/>
        <v>2400</v>
      </c>
      <c r="Y18" s="81" t="e">
        <f>+X18+#REF!</f>
        <v>#REF!</v>
      </c>
      <c r="Z18" s="52"/>
    </row>
    <row r="19" spans="1:26" s="43" customFormat="1" ht="17.399999999999999" x14ac:dyDescent="0.3">
      <c r="A19" s="44">
        <v>12</v>
      </c>
      <c r="B19" s="45">
        <v>22</v>
      </c>
      <c r="C19" s="45">
        <f t="shared" si="9"/>
        <v>136</v>
      </c>
      <c r="D19" s="99"/>
      <c r="E19" s="53" t="s">
        <v>74</v>
      </c>
      <c r="F19" s="47"/>
      <c r="G19" s="47"/>
      <c r="H19" s="47"/>
      <c r="I19" s="48">
        <f t="shared" si="2"/>
        <v>0</v>
      </c>
      <c r="J19" s="49"/>
      <c r="K19" s="50">
        <f t="shared" si="10"/>
        <v>0</v>
      </c>
      <c r="L19" s="48"/>
      <c r="M19" s="65">
        <v>99.8</v>
      </c>
      <c r="N19" s="65">
        <v>10</v>
      </c>
      <c r="O19" s="45"/>
      <c r="P19" s="71">
        <f t="shared" si="6"/>
        <v>109.8</v>
      </c>
      <c r="Q19" s="44">
        <v>111000</v>
      </c>
      <c r="R19" s="77">
        <f t="shared" si="7"/>
        <v>121878</v>
      </c>
      <c r="S19" s="45">
        <v>1200</v>
      </c>
      <c r="T19" s="45"/>
      <c r="U19" s="45"/>
      <c r="V19" s="45"/>
      <c r="W19" s="51">
        <f t="shared" si="8"/>
        <v>1200</v>
      </c>
      <c r="X19" s="81">
        <f t="shared" si="5"/>
        <v>123078</v>
      </c>
      <c r="Y19" s="81" t="e">
        <f>+X19+#REF!</f>
        <v>#REF!</v>
      </c>
      <c r="Z19" s="52"/>
    </row>
    <row r="20" spans="1:26" s="43" customFormat="1" ht="17.399999999999999" x14ac:dyDescent="0.3">
      <c r="A20" s="44">
        <v>13</v>
      </c>
      <c r="B20" s="45">
        <v>22</v>
      </c>
      <c r="C20" s="45">
        <f t="shared" si="9"/>
        <v>137</v>
      </c>
      <c r="D20" s="99"/>
      <c r="E20" s="53" t="s">
        <v>74</v>
      </c>
      <c r="F20" s="47"/>
      <c r="G20" s="47"/>
      <c r="H20" s="47"/>
      <c r="I20" s="48">
        <f t="shared" si="2"/>
        <v>0</v>
      </c>
      <c r="J20" s="49"/>
      <c r="K20" s="50">
        <f t="shared" si="10"/>
        <v>0</v>
      </c>
      <c r="L20" s="48"/>
      <c r="M20" s="65">
        <f>56.4-1.5</f>
        <v>54.9</v>
      </c>
      <c r="N20" s="65">
        <v>7</v>
      </c>
      <c r="O20" s="45"/>
      <c r="P20" s="71">
        <f t="shared" si="6"/>
        <v>61.9</v>
      </c>
      <c r="Q20" s="44">
        <v>111000</v>
      </c>
      <c r="R20" s="77">
        <f t="shared" si="7"/>
        <v>68709</v>
      </c>
      <c r="S20" s="45">
        <v>1200</v>
      </c>
      <c r="T20" s="45"/>
      <c r="U20" s="45"/>
      <c r="V20" s="45"/>
      <c r="W20" s="51">
        <f t="shared" si="8"/>
        <v>1200</v>
      </c>
      <c r="X20" s="81">
        <f t="shared" si="5"/>
        <v>69909</v>
      </c>
      <c r="Y20" s="81" t="e">
        <f>+X20+#REF!</f>
        <v>#REF!</v>
      </c>
      <c r="Z20" s="52"/>
    </row>
    <row r="21" spans="1:26" s="43" customFormat="1" ht="17.399999999999999" x14ac:dyDescent="0.3">
      <c r="A21" s="44">
        <v>14</v>
      </c>
      <c r="B21" s="45">
        <v>24</v>
      </c>
      <c r="C21" s="45">
        <f t="shared" si="9"/>
        <v>138</v>
      </c>
      <c r="D21" s="99"/>
      <c r="E21" s="53" t="s">
        <v>76</v>
      </c>
      <c r="F21" s="47"/>
      <c r="G21" s="47"/>
      <c r="H21" s="47"/>
      <c r="I21" s="48">
        <f t="shared" si="2"/>
        <v>0</v>
      </c>
      <c r="J21" s="49"/>
      <c r="K21" s="50">
        <f t="shared" si="10"/>
        <v>0</v>
      </c>
      <c r="L21" s="48"/>
      <c r="M21" s="65">
        <v>35.700000000000003</v>
      </c>
      <c r="N21" s="65">
        <v>5</v>
      </c>
      <c r="O21" s="45">
        <v>16.5</v>
      </c>
      <c r="P21" s="71">
        <f t="shared" si="6"/>
        <v>24.200000000000003</v>
      </c>
      <c r="Q21" s="44">
        <v>109200</v>
      </c>
      <c r="R21" s="77">
        <f t="shared" si="7"/>
        <v>26426.400000000001</v>
      </c>
      <c r="S21" s="45">
        <v>1000</v>
      </c>
      <c r="T21" s="45"/>
      <c r="U21" s="45"/>
      <c r="V21" s="45"/>
      <c r="W21" s="51">
        <f t="shared" si="8"/>
        <v>1000</v>
      </c>
      <c r="X21" s="81">
        <f t="shared" si="5"/>
        <v>27426.400000000001</v>
      </c>
      <c r="Y21" s="81" t="e">
        <f>+X21+#REF!</f>
        <v>#REF!</v>
      </c>
      <c r="Z21" s="52"/>
    </row>
    <row r="22" spans="1:26" s="43" customFormat="1" ht="17.399999999999999" x14ac:dyDescent="0.3">
      <c r="A22" s="44">
        <v>15</v>
      </c>
      <c r="B22" s="45">
        <v>26</v>
      </c>
      <c r="C22" s="45">
        <f t="shared" si="9"/>
        <v>139</v>
      </c>
      <c r="D22" s="99"/>
      <c r="E22" s="53" t="s">
        <v>114</v>
      </c>
      <c r="F22" s="47"/>
      <c r="G22" s="47"/>
      <c r="H22" s="47"/>
      <c r="I22" s="48">
        <f t="shared" si="2"/>
        <v>0</v>
      </c>
      <c r="J22" s="49"/>
      <c r="K22" s="50">
        <f t="shared" si="10"/>
        <v>0</v>
      </c>
      <c r="L22" s="48"/>
      <c r="M22" s="65">
        <v>38.799999999999997</v>
      </c>
      <c r="N22" s="65">
        <v>7</v>
      </c>
      <c r="O22" s="45">
        <v>17</v>
      </c>
      <c r="P22" s="71">
        <f t="shared" si="6"/>
        <v>28.799999999999997</v>
      </c>
      <c r="Q22" s="44">
        <v>105800</v>
      </c>
      <c r="R22" s="77">
        <f t="shared" si="7"/>
        <v>30470.399999999998</v>
      </c>
      <c r="S22" s="45">
        <v>1500</v>
      </c>
      <c r="T22" s="45"/>
      <c r="U22" s="45"/>
      <c r="V22" s="45"/>
      <c r="W22" s="51">
        <f t="shared" si="8"/>
        <v>1500</v>
      </c>
      <c r="X22" s="81">
        <f t="shared" si="5"/>
        <v>31970.399999999998</v>
      </c>
      <c r="Y22" s="81" t="e">
        <f>+X22+#REF!</f>
        <v>#REF!</v>
      </c>
      <c r="Z22" s="52"/>
    </row>
    <row r="23" spans="1:26" s="43" customFormat="1" ht="18" thickBot="1" x14ac:dyDescent="0.35">
      <c r="A23" s="54"/>
      <c r="B23" s="55"/>
      <c r="C23" s="55"/>
      <c r="D23" s="54"/>
      <c r="E23" s="56" t="s">
        <v>70</v>
      </c>
      <c r="F23" s="55">
        <f>SUM(F6:F22)</f>
        <v>0</v>
      </c>
      <c r="G23" s="55">
        <f>SUM(G6:G22)</f>
        <v>69.510000000000005</v>
      </c>
      <c r="H23" s="55">
        <f>SUM(H6:H22)</f>
        <v>0</v>
      </c>
      <c r="I23" s="57"/>
      <c r="J23" s="55"/>
      <c r="K23" s="57">
        <f>SUM(K6:K22)</f>
        <v>629899.62</v>
      </c>
      <c r="L23" s="57" t="e">
        <f>+#REF!</f>
        <v>#REF!</v>
      </c>
      <c r="M23" s="66">
        <f>SUM(M6:M22)</f>
        <v>926.59999999999991</v>
      </c>
      <c r="N23" s="66">
        <f>SUM(N6:N22)</f>
        <v>113.5</v>
      </c>
      <c r="O23" s="55">
        <f>SUM(O6:O22)</f>
        <v>439.3</v>
      </c>
      <c r="P23" s="71">
        <f t="shared" si="6"/>
        <v>600.79999999999995</v>
      </c>
      <c r="Q23" s="54">
        <f>+R23/P23</f>
        <v>1080.3723368841547</v>
      </c>
      <c r="R23" s="78">
        <f t="shared" ref="R23:Y23" si="11">SUM(R6:R22)</f>
        <v>649087.70000000007</v>
      </c>
      <c r="S23" s="55">
        <f t="shared" si="11"/>
        <v>22100</v>
      </c>
      <c r="T23" s="55">
        <f t="shared" si="11"/>
        <v>6800</v>
      </c>
      <c r="U23" s="55">
        <f t="shared" si="11"/>
        <v>1000</v>
      </c>
      <c r="V23" s="55">
        <f t="shared" si="11"/>
        <v>0</v>
      </c>
      <c r="W23" s="57" t="e">
        <f t="shared" si="11"/>
        <v>#VALUE!</v>
      </c>
      <c r="X23" s="54">
        <f>SUM(X9:X22)</f>
        <v>678987.70000000007</v>
      </c>
      <c r="Y23" s="54" t="e">
        <f t="shared" si="11"/>
        <v>#VALUE!</v>
      </c>
      <c r="Z23" s="57"/>
    </row>
    <row r="24" spans="1:26" s="43" customFormat="1" ht="18" thickTop="1" x14ac:dyDescent="0.3">
      <c r="A24" s="1"/>
      <c r="B24" s="2"/>
      <c r="C24" s="2"/>
      <c r="D24" s="1"/>
      <c r="E24" s="2"/>
      <c r="F24" s="2"/>
      <c r="G24" s="2"/>
      <c r="H24" s="2"/>
      <c r="I24" s="2"/>
      <c r="J24" s="2"/>
      <c r="K24" s="3"/>
      <c r="L24" s="3"/>
      <c r="M24" s="60"/>
      <c r="N24" s="60"/>
      <c r="O24" s="2"/>
      <c r="P24" s="72"/>
      <c r="Q24" s="1"/>
      <c r="R24" s="79"/>
      <c r="S24" s="2"/>
      <c r="T24" s="2"/>
      <c r="U24" s="2"/>
      <c r="V24" s="2"/>
      <c r="W24" s="3"/>
      <c r="X24" s="82"/>
      <c r="Y24" s="82"/>
      <c r="Z24" s="5"/>
    </row>
    <row r="25" spans="1:26" s="43" customFormat="1" ht="17.399999999999999" x14ac:dyDescent="0.3">
      <c r="A25" s="1"/>
      <c r="B25" s="2"/>
      <c r="C25" s="2"/>
      <c r="D25" s="1"/>
      <c r="E25" s="2"/>
      <c r="F25" s="2"/>
      <c r="G25" s="2"/>
      <c r="H25" s="2"/>
      <c r="I25" s="2"/>
      <c r="J25" s="2"/>
      <c r="K25" s="3"/>
      <c r="L25" s="3"/>
      <c r="M25" s="60"/>
      <c r="N25" s="60"/>
      <c r="O25" s="2"/>
      <c r="P25" s="72"/>
      <c r="Q25" s="1"/>
      <c r="R25" s="79"/>
      <c r="S25" s="2"/>
      <c r="T25" s="2"/>
      <c r="U25" s="2"/>
      <c r="V25" s="2"/>
      <c r="W25" s="3"/>
      <c r="X25" s="82"/>
      <c r="Y25" s="82"/>
      <c r="Z25" s="5"/>
    </row>
    <row r="26" spans="1:26" s="43" customFormat="1" ht="17.399999999999999" x14ac:dyDescent="0.3">
      <c r="A26" s="1"/>
      <c r="B26" s="2"/>
      <c r="C26" s="2"/>
      <c r="D26" s="1"/>
      <c r="E26" s="2"/>
      <c r="F26" s="2"/>
      <c r="G26" s="2"/>
      <c r="H26" s="2"/>
      <c r="I26" s="2"/>
      <c r="J26" s="2"/>
      <c r="K26" s="3"/>
      <c r="L26" s="3"/>
      <c r="M26" s="60"/>
      <c r="N26" s="60"/>
      <c r="O26" s="2"/>
      <c r="P26" s="72"/>
      <c r="Q26" s="1"/>
      <c r="R26" s="79"/>
      <c r="S26" s="2"/>
      <c r="T26" s="2"/>
      <c r="U26" s="2"/>
      <c r="V26" s="2"/>
      <c r="W26" s="3"/>
      <c r="X26" s="82"/>
      <c r="Y26" s="82"/>
      <c r="Z26" s="5"/>
    </row>
    <row r="27" spans="1:26" s="43" customFormat="1" ht="17.399999999999999" x14ac:dyDescent="0.3">
      <c r="A27" s="1"/>
      <c r="B27" s="2"/>
      <c r="C27" s="2"/>
      <c r="D27" s="1"/>
      <c r="E27" s="2"/>
      <c r="F27" s="2"/>
      <c r="G27" s="2"/>
      <c r="H27" s="2"/>
      <c r="I27" s="2"/>
      <c r="J27" s="2"/>
      <c r="K27" s="3"/>
      <c r="L27" s="3"/>
      <c r="M27" s="60"/>
      <c r="N27" s="60"/>
      <c r="O27" s="2"/>
      <c r="P27" s="72"/>
      <c r="Q27" s="1"/>
      <c r="R27" s="79"/>
      <c r="S27" s="2"/>
      <c r="T27" s="2"/>
      <c r="U27" s="2"/>
      <c r="V27" s="2"/>
      <c r="W27" s="3"/>
      <c r="X27" s="82"/>
      <c r="Y27" s="82"/>
      <c r="Z27" s="5"/>
    </row>
    <row r="28" spans="1:26" s="43" customFormat="1" ht="17.399999999999999" x14ac:dyDescent="0.3">
      <c r="A28" s="1"/>
      <c r="B28" s="2"/>
      <c r="C28" s="2"/>
      <c r="D28" s="1"/>
      <c r="E28" s="2"/>
      <c r="F28" s="2"/>
      <c r="G28" s="2"/>
      <c r="H28" s="2"/>
      <c r="I28" s="2"/>
      <c r="J28" s="2"/>
      <c r="K28" s="3"/>
      <c r="L28" s="3"/>
      <c r="M28" s="60"/>
      <c r="N28" s="60"/>
      <c r="O28" s="2"/>
      <c r="P28" s="72"/>
      <c r="Q28" s="1"/>
      <c r="R28" s="79"/>
      <c r="S28" s="2"/>
      <c r="T28" s="2"/>
      <c r="U28" s="2"/>
      <c r="V28" s="2"/>
      <c r="W28" s="3"/>
      <c r="X28" s="82"/>
      <c r="Y28" s="82"/>
      <c r="Z28" s="5"/>
    </row>
    <row r="29" spans="1:26" s="43" customFormat="1" ht="17.399999999999999" x14ac:dyDescent="0.3">
      <c r="A29" s="1"/>
      <c r="B29" s="2"/>
      <c r="C29" s="2"/>
      <c r="D29" s="1"/>
      <c r="E29" s="2"/>
      <c r="F29" s="2"/>
      <c r="G29" s="2"/>
      <c r="H29" s="2"/>
      <c r="I29" s="2"/>
      <c r="J29" s="2"/>
      <c r="K29" s="3"/>
      <c r="L29" s="3"/>
      <c r="M29" s="60"/>
      <c r="N29" s="60"/>
      <c r="O29" s="2"/>
      <c r="P29" s="72"/>
      <c r="Q29" s="1"/>
      <c r="R29" s="79"/>
      <c r="S29" s="2"/>
      <c r="T29" s="2"/>
      <c r="U29" s="2"/>
      <c r="V29" s="2"/>
      <c r="W29" s="3"/>
      <c r="X29" s="82"/>
      <c r="Y29" s="82"/>
      <c r="Z29" s="5"/>
    </row>
    <row r="30" spans="1:26" s="43" customFormat="1" ht="17.399999999999999" x14ac:dyDescent="0.3">
      <c r="A30" s="1"/>
      <c r="B30" s="2"/>
      <c r="C30" s="2"/>
      <c r="D30" s="1"/>
      <c r="E30" s="2"/>
      <c r="F30" s="2"/>
      <c r="G30" s="2"/>
      <c r="H30" s="2"/>
      <c r="I30" s="2"/>
      <c r="J30" s="2"/>
      <c r="K30" s="3"/>
      <c r="L30" s="3"/>
      <c r="M30" s="60"/>
      <c r="N30" s="60"/>
      <c r="O30" s="2"/>
      <c r="P30" s="72"/>
      <c r="Q30" s="1"/>
      <c r="R30" s="79"/>
      <c r="S30" s="2"/>
      <c r="T30" s="2"/>
      <c r="U30" s="2"/>
      <c r="V30" s="2"/>
      <c r="W30" s="3"/>
      <c r="X30" s="82"/>
      <c r="Y30" s="82"/>
      <c r="Z30" s="5"/>
    </row>
    <row r="31" spans="1:26" s="43" customFormat="1" ht="17.399999999999999" x14ac:dyDescent="0.3">
      <c r="A31" s="1"/>
      <c r="B31" s="2"/>
      <c r="C31" s="2"/>
      <c r="D31" s="1"/>
      <c r="E31" s="2"/>
      <c r="F31" s="2"/>
      <c r="G31" s="2"/>
      <c r="H31" s="2"/>
      <c r="I31" s="2"/>
      <c r="J31" s="2"/>
      <c r="K31" s="3"/>
      <c r="L31" s="3"/>
      <c r="M31" s="60"/>
      <c r="N31" s="60"/>
      <c r="O31" s="2"/>
      <c r="P31" s="72"/>
      <c r="Q31" s="1"/>
      <c r="R31" s="79"/>
      <c r="S31" s="2"/>
      <c r="T31" s="2"/>
      <c r="U31" s="2"/>
      <c r="V31" s="2"/>
      <c r="W31" s="3"/>
      <c r="X31" s="82"/>
      <c r="Y31" s="82"/>
      <c r="Z31" s="5"/>
    </row>
    <row r="32" spans="1:26" s="43" customFormat="1" ht="17.399999999999999" x14ac:dyDescent="0.3">
      <c r="A32" s="1"/>
      <c r="B32" s="2"/>
      <c r="C32" s="2"/>
      <c r="D32" s="1"/>
      <c r="E32" s="2"/>
      <c r="F32" s="2"/>
      <c r="G32" s="2"/>
      <c r="H32" s="2"/>
      <c r="I32" s="2"/>
      <c r="J32" s="2"/>
      <c r="K32" s="3"/>
      <c r="L32" s="3"/>
      <c r="M32" s="60"/>
      <c r="N32" s="60"/>
      <c r="O32" s="2"/>
      <c r="P32" s="72"/>
      <c r="Q32" s="1"/>
      <c r="R32" s="79"/>
      <c r="S32" s="2"/>
      <c r="T32" s="2"/>
      <c r="U32" s="2"/>
      <c r="V32" s="2"/>
      <c r="W32" s="3"/>
      <c r="X32" s="82"/>
      <c r="Y32" s="82"/>
      <c r="Z32" s="5"/>
    </row>
    <row r="33" spans="1:26" s="43" customFormat="1" ht="17.399999999999999" x14ac:dyDescent="0.3">
      <c r="A33" s="1"/>
      <c r="B33" s="2"/>
      <c r="C33" s="2"/>
      <c r="D33" s="1"/>
      <c r="E33" s="2"/>
      <c r="F33" s="2"/>
      <c r="G33" s="2"/>
      <c r="H33" s="2"/>
      <c r="I33" s="2"/>
      <c r="J33" s="2"/>
      <c r="K33" s="3"/>
      <c r="L33" s="3"/>
      <c r="M33" s="60"/>
      <c r="N33" s="60"/>
      <c r="O33" s="2"/>
      <c r="P33" s="72"/>
      <c r="Q33" s="1"/>
      <c r="R33" s="79"/>
      <c r="S33" s="2"/>
      <c r="T33" s="2"/>
      <c r="U33" s="2"/>
      <c r="V33" s="2"/>
      <c r="W33" s="3"/>
      <c r="X33" s="82"/>
      <c r="Y33" s="82"/>
      <c r="Z33" s="5"/>
    </row>
    <row r="34" spans="1:26" s="43" customFormat="1" ht="17.399999999999999" x14ac:dyDescent="0.3">
      <c r="A34" s="1"/>
      <c r="B34" s="2"/>
      <c r="C34" s="2"/>
      <c r="D34" s="1"/>
      <c r="E34" s="2"/>
      <c r="F34" s="2"/>
      <c r="G34" s="2"/>
      <c r="H34" s="2"/>
      <c r="I34" s="2"/>
      <c r="J34" s="2"/>
      <c r="K34" s="3"/>
      <c r="L34" s="3"/>
      <c r="M34" s="60"/>
      <c r="N34" s="60"/>
      <c r="O34" s="2"/>
      <c r="P34" s="72"/>
      <c r="Q34" s="1"/>
      <c r="R34" s="79"/>
      <c r="S34" s="2"/>
      <c r="T34" s="2"/>
      <c r="U34" s="2"/>
      <c r="V34" s="2"/>
      <c r="W34" s="3"/>
      <c r="X34" s="82"/>
      <c r="Y34" s="82"/>
      <c r="Z34" s="5"/>
    </row>
    <row r="35" spans="1:26" s="43" customFormat="1" ht="17.399999999999999" x14ac:dyDescent="0.3">
      <c r="A35" s="1"/>
      <c r="B35" s="2"/>
      <c r="C35" s="2"/>
      <c r="D35" s="1"/>
      <c r="E35" s="2"/>
      <c r="F35" s="2"/>
      <c r="G35" s="2"/>
      <c r="H35" s="2"/>
      <c r="I35" s="2"/>
      <c r="J35" s="2"/>
      <c r="K35" s="3"/>
      <c r="L35" s="3"/>
      <c r="M35" s="60"/>
      <c r="N35" s="60"/>
      <c r="O35" s="2"/>
      <c r="P35" s="72"/>
      <c r="Q35" s="1"/>
      <c r="R35" s="79"/>
      <c r="S35" s="2"/>
      <c r="T35" s="2"/>
      <c r="U35" s="2"/>
      <c r="V35" s="2"/>
      <c r="W35" s="3"/>
      <c r="X35" s="82"/>
      <c r="Y35" s="82"/>
      <c r="Z35" s="5"/>
    </row>
    <row r="36" spans="1:26" s="43" customFormat="1" ht="17.399999999999999" x14ac:dyDescent="0.3">
      <c r="A36" s="1"/>
      <c r="B36" s="2"/>
      <c r="C36" s="2"/>
      <c r="D36" s="1"/>
      <c r="E36" s="2"/>
      <c r="F36" s="2"/>
      <c r="G36" s="2"/>
      <c r="H36" s="2"/>
      <c r="I36" s="2"/>
      <c r="J36" s="2"/>
      <c r="K36" s="3"/>
      <c r="L36" s="3"/>
      <c r="M36" s="60"/>
      <c r="N36" s="60"/>
      <c r="O36" s="2"/>
      <c r="P36" s="72"/>
      <c r="Q36" s="1"/>
      <c r="R36" s="79"/>
      <c r="S36" s="2"/>
      <c r="T36" s="2"/>
      <c r="U36" s="2"/>
      <c r="V36" s="2"/>
      <c r="W36" s="3"/>
      <c r="X36" s="82"/>
      <c r="Y36" s="82"/>
      <c r="Z36" s="5"/>
    </row>
    <row r="37" spans="1:26" s="43" customFormat="1" ht="17.399999999999999" x14ac:dyDescent="0.3">
      <c r="A37" s="1"/>
      <c r="B37" s="2"/>
      <c r="C37" s="2"/>
      <c r="D37" s="1"/>
      <c r="E37" s="2"/>
      <c r="F37" s="2"/>
      <c r="G37" s="2"/>
      <c r="H37" s="2"/>
      <c r="I37" s="2"/>
      <c r="J37" s="2"/>
      <c r="K37" s="3"/>
      <c r="L37" s="3"/>
      <c r="M37" s="60"/>
      <c r="N37" s="60"/>
      <c r="O37" s="2"/>
      <c r="P37" s="72"/>
      <c r="Q37" s="1"/>
      <c r="R37" s="79"/>
      <c r="S37" s="2"/>
      <c r="T37" s="2"/>
      <c r="U37" s="2"/>
      <c r="V37" s="2"/>
      <c r="W37" s="3"/>
      <c r="X37" s="82"/>
      <c r="Y37" s="82"/>
      <c r="Z37" s="5"/>
    </row>
    <row r="38" spans="1:26" s="43" customFormat="1" ht="17.399999999999999" x14ac:dyDescent="0.3">
      <c r="A38" s="1"/>
      <c r="B38" s="2"/>
      <c r="C38" s="2"/>
      <c r="D38" s="1"/>
      <c r="E38" s="2"/>
      <c r="F38" s="2"/>
      <c r="G38" s="2"/>
      <c r="H38" s="2"/>
      <c r="I38" s="2"/>
      <c r="J38" s="2"/>
      <c r="K38" s="3"/>
      <c r="L38" s="3"/>
      <c r="M38" s="60"/>
      <c r="N38" s="60"/>
      <c r="O38" s="2"/>
      <c r="P38" s="72"/>
      <c r="Q38" s="1"/>
      <c r="R38" s="79"/>
      <c r="S38" s="2"/>
      <c r="T38" s="2"/>
      <c r="U38" s="2"/>
      <c r="V38" s="2"/>
      <c r="W38" s="3"/>
      <c r="X38" s="82"/>
      <c r="Y38" s="82"/>
      <c r="Z38" s="5"/>
    </row>
    <row r="39" spans="1:26" s="43" customFormat="1" ht="17.399999999999999" x14ac:dyDescent="0.3">
      <c r="A39" s="1"/>
      <c r="B39" s="2"/>
      <c r="C39" s="2"/>
      <c r="D39" s="1"/>
      <c r="E39" s="2"/>
      <c r="F39" s="2"/>
      <c r="G39" s="2"/>
      <c r="H39" s="2"/>
      <c r="I39" s="2"/>
      <c r="J39" s="2"/>
      <c r="K39" s="3"/>
      <c r="L39" s="3"/>
      <c r="M39" s="60"/>
      <c r="N39" s="60"/>
      <c r="O39" s="2"/>
      <c r="P39" s="72"/>
      <c r="Q39" s="1"/>
      <c r="R39" s="79"/>
      <c r="S39" s="2"/>
      <c r="T39" s="2"/>
      <c r="U39" s="2"/>
      <c r="V39" s="2"/>
      <c r="W39" s="3"/>
      <c r="X39" s="82"/>
      <c r="Y39" s="82"/>
      <c r="Z39" s="5"/>
    </row>
    <row r="40" spans="1:26" s="43" customFormat="1" ht="17.399999999999999" x14ac:dyDescent="0.3">
      <c r="A40" s="1"/>
      <c r="B40" s="2"/>
      <c r="C40" s="2"/>
      <c r="D40" s="1"/>
      <c r="E40" s="2"/>
      <c r="F40" s="2"/>
      <c r="G40" s="2"/>
      <c r="H40" s="2"/>
      <c r="I40" s="2"/>
      <c r="J40" s="2"/>
      <c r="K40" s="3"/>
      <c r="L40" s="3"/>
      <c r="M40" s="60"/>
      <c r="N40" s="60"/>
      <c r="O40" s="2"/>
      <c r="P40" s="72"/>
      <c r="Q40" s="1"/>
      <c r="R40" s="79"/>
      <c r="S40" s="2"/>
      <c r="T40" s="2"/>
      <c r="U40" s="2"/>
      <c r="V40" s="2"/>
      <c r="W40" s="3"/>
      <c r="X40" s="82"/>
      <c r="Y40" s="82"/>
      <c r="Z40" s="5"/>
    </row>
    <row r="41" spans="1:26" s="43" customFormat="1" ht="17.399999999999999" x14ac:dyDescent="0.3">
      <c r="A41" s="1"/>
      <c r="B41" s="2"/>
      <c r="C41" s="2"/>
      <c r="D41" s="1"/>
      <c r="E41" s="2"/>
      <c r="F41" s="2"/>
      <c r="G41" s="2"/>
      <c r="H41" s="2"/>
      <c r="I41" s="2"/>
      <c r="J41" s="2"/>
      <c r="K41" s="3"/>
      <c r="L41" s="3"/>
      <c r="M41" s="60"/>
      <c r="N41" s="60"/>
      <c r="O41" s="2"/>
      <c r="P41" s="72"/>
      <c r="Q41" s="1"/>
      <c r="R41" s="79"/>
      <c r="S41" s="2"/>
      <c r="T41" s="2"/>
      <c r="U41" s="2"/>
      <c r="V41" s="2"/>
      <c r="W41" s="3"/>
      <c r="X41" s="82"/>
      <c r="Y41" s="82"/>
      <c r="Z41" s="5"/>
    </row>
    <row r="42" spans="1:26" s="43" customFormat="1" ht="17.399999999999999" x14ac:dyDescent="0.3">
      <c r="A42" s="1"/>
      <c r="B42" s="2"/>
      <c r="C42" s="2"/>
      <c r="D42" s="1"/>
      <c r="E42" s="2"/>
      <c r="F42" s="2"/>
      <c r="G42" s="2"/>
      <c r="H42" s="2"/>
      <c r="I42" s="2"/>
      <c r="J42" s="2"/>
      <c r="K42" s="3"/>
      <c r="L42" s="3"/>
      <c r="M42" s="60"/>
      <c r="N42" s="60"/>
      <c r="O42" s="2"/>
      <c r="P42" s="72"/>
      <c r="Q42" s="1"/>
      <c r="R42" s="79"/>
      <c r="S42" s="2"/>
      <c r="T42" s="2"/>
      <c r="U42" s="2"/>
      <c r="V42" s="2"/>
      <c r="W42" s="3"/>
      <c r="X42" s="82"/>
      <c r="Y42" s="82"/>
      <c r="Z42" s="5"/>
    </row>
    <row r="43" spans="1:26" s="43" customFormat="1" ht="17.399999999999999" x14ac:dyDescent="0.3">
      <c r="A43" s="1"/>
      <c r="B43" s="2"/>
      <c r="C43" s="2"/>
      <c r="D43" s="1"/>
      <c r="E43" s="2"/>
      <c r="F43" s="2"/>
      <c r="G43" s="2"/>
      <c r="H43" s="2"/>
      <c r="I43" s="2"/>
      <c r="J43" s="2"/>
      <c r="K43" s="3"/>
      <c r="L43" s="3"/>
      <c r="M43" s="60"/>
      <c r="N43" s="60"/>
      <c r="O43" s="2"/>
      <c r="P43" s="72"/>
      <c r="Q43" s="1"/>
      <c r="R43" s="79"/>
      <c r="S43" s="2"/>
      <c r="T43" s="2"/>
      <c r="U43" s="2"/>
      <c r="V43" s="2"/>
      <c r="W43" s="3"/>
      <c r="X43" s="82"/>
      <c r="Y43" s="82"/>
      <c r="Z43" s="5"/>
    </row>
    <row r="44" spans="1:26" s="43" customFormat="1" ht="17.399999999999999" x14ac:dyDescent="0.3">
      <c r="A44" s="1"/>
      <c r="B44" s="2"/>
      <c r="C44" s="2"/>
      <c r="D44" s="1"/>
      <c r="E44" s="2"/>
      <c r="F44" s="2"/>
      <c r="G44" s="2"/>
      <c r="H44" s="2"/>
      <c r="I44" s="2"/>
      <c r="J44" s="2"/>
      <c r="K44" s="3"/>
      <c r="L44" s="3"/>
      <c r="M44" s="60"/>
      <c r="N44" s="60"/>
      <c r="O44" s="2"/>
      <c r="P44" s="72"/>
      <c r="Q44" s="1"/>
      <c r="R44" s="79"/>
      <c r="S44" s="2"/>
      <c r="T44" s="2"/>
      <c r="U44" s="2"/>
      <c r="V44" s="2"/>
      <c r="W44" s="3"/>
      <c r="X44" s="82"/>
      <c r="Y44" s="82"/>
      <c r="Z44" s="5"/>
    </row>
    <row r="45" spans="1:26" s="43" customFormat="1" ht="17.399999999999999" x14ac:dyDescent="0.3">
      <c r="A45" s="1"/>
      <c r="B45" s="2"/>
      <c r="C45" s="2"/>
      <c r="D45" s="1"/>
      <c r="E45" s="2"/>
      <c r="F45" s="2"/>
      <c r="G45" s="2"/>
      <c r="H45" s="2"/>
      <c r="I45" s="2"/>
      <c r="J45" s="2"/>
      <c r="K45" s="3"/>
      <c r="L45" s="3"/>
      <c r="M45" s="60"/>
      <c r="N45" s="60"/>
      <c r="O45" s="2"/>
      <c r="P45" s="72"/>
      <c r="Q45" s="1"/>
      <c r="R45" s="79"/>
      <c r="S45" s="2"/>
      <c r="T45" s="2"/>
      <c r="U45" s="2"/>
      <c r="V45" s="2"/>
      <c r="W45" s="3"/>
      <c r="X45" s="82"/>
      <c r="Y45" s="82"/>
      <c r="Z45" s="5"/>
    </row>
    <row r="46" spans="1:26" s="43" customFormat="1" ht="17.399999999999999" x14ac:dyDescent="0.3">
      <c r="A46" s="1"/>
      <c r="B46" s="2"/>
      <c r="C46" s="2"/>
      <c r="D46" s="1"/>
      <c r="E46" s="2"/>
      <c r="F46" s="2"/>
      <c r="G46" s="2"/>
      <c r="H46" s="2"/>
      <c r="I46" s="2"/>
      <c r="J46" s="2"/>
      <c r="K46" s="3"/>
      <c r="L46" s="3"/>
      <c r="M46" s="60"/>
      <c r="N46" s="60"/>
      <c r="O46" s="2"/>
      <c r="P46" s="72"/>
      <c r="Q46" s="1"/>
      <c r="R46" s="79"/>
      <c r="S46" s="2"/>
      <c r="T46" s="2"/>
      <c r="U46" s="2"/>
      <c r="V46" s="2"/>
      <c r="W46" s="3"/>
      <c r="X46" s="82"/>
      <c r="Y46" s="82"/>
      <c r="Z46" s="5"/>
    </row>
    <row r="47" spans="1:26" s="43" customFormat="1" ht="17.399999999999999" x14ac:dyDescent="0.3">
      <c r="A47" s="1"/>
      <c r="B47" s="2"/>
      <c r="C47" s="2"/>
      <c r="D47" s="1"/>
      <c r="E47" s="2"/>
      <c r="F47" s="2"/>
      <c r="G47" s="2"/>
      <c r="H47" s="2"/>
      <c r="I47" s="2"/>
      <c r="J47" s="2"/>
      <c r="K47" s="3"/>
      <c r="L47" s="3"/>
      <c r="M47" s="60"/>
      <c r="N47" s="60"/>
      <c r="O47" s="2"/>
      <c r="P47" s="72"/>
      <c r="Q47" s="1"/>
      <c r="R47" s="79"/>
      <c r="S47" s="2"/>
      <c r="T47" s="2"/>
      <c r="U47" s="2"/>
      <c r="V47" s="2"/>
      <c r="W47" s="3"/>
      <c r="X47" s="82"/>
      <c r="Y47" s="82"/>
      <c r="Z47" s="5"/>
    </row>
    <row r="48" spans="1:26" s="43" customFormat="1" ht="17.399999999999999" x14ac:dyDescent="0.3">
      <c r="A48" s="1"/>
      <c r="B48" s="2"/>
      <c r="C48" s="2"/>
      <c r="D48" s="1"/>
      <c r="E48" s="2"/>
      <c r="F48" s="2"/>
      <c r="G48" s="2"/>
      <c r="H48" s="2"/>
      <c r="I48" s="2"/>
      <c r="J48" s="2"/>
      <c r="K48" s="3"/>
      <c r="L48" s="3"/>
      <c r="M48" s="60"/>
      <c r="N48" s="60"/>
      <c r="O48" s="2"/>
      <c r="P48" s="72"/>
      <c r="Q48" s="1"/>
      <c r="R48" s="79"/>
      <c r="S48" s="2"/>
      <c r="T48" s="2"/>
      <c r="U48" s="2"/>
      <c r="V48" s="2"/>
      <c r="W48" s="3"/>
      <c r="X48" s="82"/>
      <c r="Y48" s="82"/>
      <c r="Z48" s="5"/>
    </row>
    <row r="49" spans="1:26" s="43" customFormat="1" ht="17.399999999999999" x14ac:dyDescent="0.3">
      <c r="A49" s="1"/>
      <c r="B49" s="2"/>
      <c r="C49" s="2"/>
      <c r="D49" s="1"/>
      <c r="E49" s="2"/>
      <c r="F49" s="2"/>
      <c r="G49" s="2"/>
      <c r="H49" s="2"/>
      <c r="I49" s="2"/>
      <c r="J49" s="2"/>
      <c r="K49" s="3"/>
      <c r="L49" s="3"/>
      <c r="M49" s="60"/>
      <c r="N49" s="60"/>
      <c r="O49" s="2"/>
      <c r="P49" s="72"/>
      <c r="Q49" s="1"/>
      <c r="R49" s="79"/>
      <c r="S49" s="2"/>
      <c r="T49" s="2"/>
      <c r="U49" s="2"/>
      <c r="V49" s="2"/>
      <c r="W49" s="3"/>
      <c r="X49" s="82"/>
      <c r="Y49" s="82"/>
      <c r="Z49" s="5"/>
    </row>
    <row r="50" spans="1:26" s="43" customFormat="1" ht="17.399999999999999" x14ac:dyDescent="0.3">
      <c r="A50" s="1"/>
      <c r="B50" s="2"/>
      <c r="C50" s="2"/>
      <c r="D50" s="1"/>
      <c r="E50" s="2"/>
      <c r="F50" s="2"/>
      <c r="G50" s="2"/>
      <c r="H50" s="2"/>
      <c r="I50" s="2"/>
      <c r="J50" s="2"/>
      <c r="K50" s="3"/>
      <c r="L50" s="3"/>
      <c r="M50" s="60"/>
      <c r="N50" s="60"/>
      <c r="O50" s="2"/>
      <c r="P50" s="72"/>
      <c r="Q50" s="1"/>
      <c r="R50" s="79"/>
      <c r="S50" s="2"/>
      <c r="T50" s="2"/>
      <c r="U50" s="2"/>
      <c r="V50" s="2"/>
      <c r="W50" s="3"/>
      <c r="X50" s="82"/>
      <c r="Y50" s="82"/>
      <c r="Z50" s="5"/>
    </row>
    <row r="51" spans="1:26" s="43" customFormat="1" ht="17.399999999999999" x14ac:dyDescent="0.3">
      <c r="A51" s="1"/>
      <c r="B51" s="2"/>
      <c r="C51" s="2"/>
      <c r="D51" s="1"/>
      <c r="E51" s="2"/>
      <c r="F51" s="2"/>
      <c r="G51" s="2"/>
      <c r="H51" s="2"/>
      <c r="I51" s="2"/>
      <c r="J51" s="2"/>
      <c r="K51" s="3"/>
      <c r="L51" s="3"/>
      <c r="M51" s="60"/>
      <c r="N51" s="60"/>
      <c r="O51" s="2"/>
      <c r="P51" s="72"/>
      <c r="Q51" s="1"/>
      <c r="R51" s="79"/>
      <c r="S51" s="2"/>
      <c r="T51" s="2"/>
      <c r="U51" s="2"/>
      <c r="V51" s="2"/>
      <c r="W51" s="3"/>
      <c r="X51" s="82"/>
      <c r="Y51" s="82"/>
      <c r="Z51" s="5"/>
    </row>
    <row r="52" spans="1:26" s="43" customFormat="1" ht="17.399999999999999" x14ac:dyDescent="0.3">
      <c r="A52" s="1"/>
      <c r="B52" s="2"/>
      <c r="C52" s="2"/>
      <c r="D52" s="1"/>
      <c r="E52" s="2"/>
      <c r="F52" s="2"/>
      <c r="G52" s="2"/>
      <c r="H52" s="2"/>
      <c r="I52" s="2"/>
      <c r="J52" s="2"/>
      <c r="K52" s="3"/>
      <c r="L52" s="3"/>
      <c r="M52" s="60"/>
      <c r="N52" s="60"/>
      <c r="O52" s="2"/>
      <c r="P52" s="72"/>
      <c r="Q52" s="1"/>
      <c r="R52" s="79"/>
      <c r="S52" s="2"/>
      <c r="T52" s="2"/>
      <c r="U52" s="2"/>
      <c r="V52" s="2"/>
      <c r="W52" s="3"/>
      <c r="X52" s="82"/>
      <c r="Y52" s="82"/>
      <c r="Z52" s="5"/>
    </row>
    <row r="53" spans="1:26" s="43" customFormat="1" ht="17.399999999999999" x14ac:dyDescent="0.3">
      <c r="A53" s="1"/>
      <c r="B53" s="2"/>
      <c r="C53" s="2"/>
      <c r="D53" s="1"/>
      <c r="E53" s="2"/>
      <c r="F53" s="2"/>
      <c r="G53" s="2"/>
      <c r="H53" s="2"/>
      <c r="I53" s="2"/>
      <c r="J53" s="2"/>
      <c r="K53" s="3"/>
      <c r="L53" s="3"/>
      <c r="M53" s="60"/>
      <c r="N53" s="60"/>
      <c r="O53" s="2"/>
      <c r="P53" s="72"/>
      <c r="Q53" s="1"/>
      <c r="R53" s="79"/>
      <c r="S53" s="2"/>
      <c r="T53" s="2"/>
      <c r="U53" s="2"/>
      <c r="V53" s="2"/>
      <c r="W53" s="3"/>
      <c r="X53" s="82"/>
      <c r="Y53" s="82"/>
      <c r="Z53" s="5"/>
    </row>
    <row r="54" spans="1:26" s="43" customFormat="1" ht="17.399999999999999" x14ac:dyDescent="0.3">
      <c r="A54" s="1"/>
      <c r="B54" s="2"/>
      <c r="C54" s="2"/>
      <c r="D54" s="1"/>
      <c r="E54" s="2"/>
      <c r="F54" s="2"/>
      <c r="G54" s="2"/>
      <c r="H54" s="2"/>
      <c r="I54" s="2"/>
      <c r="J54" s="2"/>
      <c r="K54" s="3"/>
      <c r="L54" s="3"/>
      <c r="M54" s="60"/>
      <c r="N54" s="60"/>
      <c r="O54" s="2"/>
      <c r="P54" s="72"/>
      <c r="Q54" s="1"/>
      <c r="R54" s="79"/>
      <c r="S54" s="2"/>
      <c r="T54" s="2"/>
      <c r="U54" s="2"/>
      <c r="V54" s="2"/>
      <c r="W54" s="3"/>
      <c r="X54" s="82"/>
      <c r="Y54" s="82"/>
      <c r="Z54" s="5"/>
    </row>
    <row r="55" spans="1:26" s="43" customFormat="1" ht="17.399999999999999" x14ac:dyDescent="0.3">
      <c r="A55" s="1"/>
      <c r="B55" s="2"/>
      <c r="C55" s="2"/>
      <c r="D55" s="1"/>
      <c r="E55" s="2"/>
      <c r="F55" s="2"/>
      <c r="G55" s="2"/>
      <c r="H55" s="2"/>
      <c r="I55" s="2"/>
      <c r="J55" s="2"/>
      <c r="K55" s="3"/>
      <c r="L55" s="3"/>
      <c r="M55" s="60"/>
      <c r="N55" s="60"/>
      <c r="O55" s="2"/>
      <c r="P55" s="72"/>
      <c r="Q55" s="1"/>
      <c r="R55" s="79"/>
      <c r="S55" s="2"/>
      <c r="T55" s="2"/>
      <c r="U55" s="2"/>
      <c r="V55" s="2"/>
      <c r="W55" s="3"/>
      <c r="X55" s="82"/>
      <c r="Y55" s="82"/>
      <c r="Z55" s="5"/>
    </row>
    <row r="56" spans="1:26" s="43" customFormat="1" ht="17.399999999999999" x14ac:dyDescent="0.3">
      <c r="A56" s="1"/>
      <c r="B56" s="2"/>
      <c r="C56" s="2"/>
      <c r="D56" s="1"/>
      <c r="E56" s="2"/>
      <c r="F56" s="2"/>
      <c r="G56" s="2"/>
      <c r="H56" s="2"/>
      <c r="I56" s="2"/>
      <c r="J56" s="2"/>
      <c r="K56" s="3"/>
      <c r="L56" s="3"/>
      <c r="M56" s="60"/>
      <c r="N56" s="60"/>
      <c r="O56" s="2"/>
      <c r="P56" s="72"/>
      <c r="Q56" s="1"/>
      <c r="R56" s="79"/>
      <c r="S56" s="2"/>
      <c r="T56" s="2"/>
      <c r="U56" s="2"/>
      <c r="V56" s="2"/>
      <c r="W56" s="3"/>
      <c r="X56" s="82"/>
      <c r="Y56" s="82"/>
      <c r="Z56" s="5"/>
    </row>
    <row r="57" spans="1:26" s="43" customFormat="1" ht="17.399999999999999" x14ac:dyDescent="0.3">
      <c r="A57" s="1"/>
      <c r="B57" s="2"/>
      <c r="C57" s="2"/>
      <c r="D57" s="1"/>
      <c r="E57" s="2"/>
      <c r="F57" s="2"/>
      <c r="G57" s="2"/>
      <c r="H57" s="2"/>
      <c r="I57" s="2"/>
      <c r="J57" s="2"/>
      <c r="K57" s="3"/>
      <c r="L57" s="3"/>
      <c r="M57" s="60"/>
      <c r="N57" s="60"/>
      <c r="O57" s="2"/>
      <c r="P57" s="72"/>
      <c r="Q57" s="1"/>
      <c r="R57" s="79"/>
      <c r="S57" s="2"/>
      <c r="T57" s="2"/>
      <c r="U57" s="2"/>
      <c r="V57" s="2"/>
      <c r="W57" s="3"/>
      <c r="X57" s="82"/>
      <c r="Y57" s="82"/>
      <c r="Z57" s="5"/>
    </row>
    <row r="58" spans="1:26" s="43" customFormat="1" ht="17.399999999999999" x14ac:dyDescent="0.3">
      <c r="A58" s="1"/>
      <c r="B58" s="2"/>
      <c r="C58" s="2"/>
      <c r="D58" s="1"/>
      <c r="E58" s="2"/>
      <c r="F58" s="2"/>
      <c r="G58" s="2"/>
      <c r="H58" s="2"/>
      <c r="I58" s="2"/>
      <c r="J58" s="2"/>
      <c r="K58" s="3"/>
      <c r="L58" s="3"/>
      <c r="M58" s="60"/>
      <c r="N58" s="60"/>
      <c r="O58" s="2"/>
      <c r="P58" s="72"/>
      <c r="Q58" s="1"/>
      <c r="R58" s="79"/>
      <c r="S58" s="2"/>
      <c r="T58" s="2"/>
      <c r="U58" s="2"/>
      <c r="V58" s="2"/>
      <c r="W58" s="3"/>
      <c r="X58" s="82"/>
      <c r="Y58" s="82"/>
      <c r="Z58" s="5"/>
    </row>
    <row r="59" spans="1:26" s="43" customFormat="1" ht="17.399999999999999" x14ac:dyDescent="0.3">
      <c r="A59" s="1"/>
      <c r="B59" s="2"/>
      <c r="C59" s="2"/>
      <c r="D59" s="1"/>
      <c r="E59" s="2"/>
      <c r="F59" s="2"/>
      <c r="G59" s="2"/>
      <c r="H59" s="2"/>
      <c r="I59" s="2"/>
      <c r="J59" s="2"/>
      <c r="K59" s="3"/>
      <c r="L59" s="3"/>
      <c r="M59" s="60"/>
      <c r="N59" s="60"/>
      <c r="O59" s="2"/>
      <c r="P59" s="72"/>
      <c r="Q59" s="1"/>
      <c r="R59" s="79"/>
      <c r="S59" s="2"/>
      <c r="T59" s="2"/>
      <c r="U59" s="2"/>
      <c r="V59" s="2"/>
      <c r="W59" s="3"/>
      <c r="X59" s="82"/>
      <c r="Y59" s="82"/>
      <c r="Z59" s="5"/>
    </row>
    <row r="60" spans="1:26" s="43" customFormat="1" ht="17.399999999999999" x14ac:dyDescent="0.3">
      <c r="A60" s="1"/>
      <c r="B60" s="2"/>
      <c r="C60" s="2"/>
      <c r="D60" s="1"/>
      <c r="E60" s="2"/>
      <c r="F60" s="2"/>
      <c r="G60" s="2"/>
      <c r="H60" s="2"/>
      <c r="I60" s="2"/>
      <c r="J60" s="2"/>
      <c r="K60" s="3"/>
      <c r="L60" s="3"/>
      <c r="M60" s="60"/>
      <c r="N60" s="60"/>
      <c r="O60" s="2"/>
      <c r="P60" s="72"/>
      <c r="Q60" s="1"/>
      <c r="R60" s="79"/>
      <c r="S60" s="2"/>
      <c r="T60" s="2"/>
      <c r="U60" s="2"/>
      <c r="V60" s="2"/>
      <c r="W60" s="3"/>
      <c r="X60" s="82"/>
      <c r="Y60" s="82"/>
      <c r="Z60" s="5"/>
    </row>
    <row r="61" spans="1:26" s="43" customFormat="1" ht="17.399999999999999" x14ac:dyDescent="0.3">
      <c r="A61" s="1"/>
      <c r="B61" s="2"/>
      <c r="C61" s="2"/>
      <c r="D61" s="1"/>
      <c r="E61" s="2"/>
      <c r="F61" s="2"/>
      <c r="G61" s="2"/>
      <c r="H61" s="2"/>
      <c r="I61" s="2"/>
      <c r="J61" s="2"/>
      <c r="K61" s="3"/>
      <c r="L61" s="3"/>
      <c r="M61" s="60"/>
      <c r="N61" s="60"/>
      <c r="O61" s="2"/>
      <c r="P61" s="72"/>
      <c r="Q61" s="1"/>
      <c r="R61" s="79"/>
      <c r="S61" s="2"/>
      <c r="T61" s="2"/>
      <c r="U61" s="2"/>
      <c r="V61" s="2"/>
      <c r="W61" s="3"/>
      <c r="X61" s="82"/>
      <c r="Y61" s="82"/>
      <c r="Z61" s="5"/>
    </row>
    <row r="62" spans="1:26" s="43" customFormat="1" ht="17.399999999999999" x14ac:dyDescent="0.3">
      <c r="A62" s="1"/>
      <c r="B62" s="2"/>
      <c r="C62" s="2"/>
      <c r="D62" s="1"/>
      <c r="E62" s="2"/>
      <c r="F62" s="2"/>
      <c r="G62" s="2"/>
      <c r="H62" s="2"/>
      <c r="I62" s="2"/>
      <c r="J62" s="2"/>
      <c r="K62" s="3"/>
      <c r="L62" s="3"/>
      <c r="M62" s="60"/>
      <c r="N62" s="60"/>
      <c r="O62" s="2"/>
      <c r="P62" s="72"/>
      <c r="Q62" s="1"/>
      <c r="R62" s="79"/>
      <c r="S62" s="2"/>
      <c r="T62" s="2"/>
      <c r="U62" s="2"/>
      <c r="V62" s="2"/>
      <c r="W62" s="3"/>
      <c r="X62" s="82"/>
      <c r="Y62" s="82"/>
      <c r="Z62" s="5"/>
    </row>
    <row r="63" spans="1:26" s="43" customFormat="1" ht="17.399999999999999" x14ac:dyDescent="0.3">
      <c r="A63" s="1"/>
      <c r="B63" s="2"/>
      <c r="C63" s="2"/>
      <c r="D63" s="1"/>
      <c r="E63" s="2"/>
      <c r="F63" s="2"/>
      <c r="G63" s="2"/>
      <c r="H63" s="2"/>
      <c r="I63" s="2"/>
      <c r="J63" s="2"/>
      <c r="K63" s="3"/>
      <c r="L63" s="3"/>
      <c r="M63" s="60"/>
      <c r="N63" s="60"/>
      <c r="O63" s="2"/>
      <c r="P63" s="72"/>
      <c r="Q63" s="1"/>
      <c r="R63" s="79"/>
      <c r="S63" s="2"/>
      <c r="T63" s="2"/>
      <c r="U63" s="2"/>
      <c r="V63" s="2"/>
      <c r="W63" s="3"/>
      <c r="X63" s="82"/>
      <c r="Y63" s="82"/>
      <c r="Z63" s="5"/>
    </row>
    <row r="64" spans="1:26" s="43" customFormat="1" ht="17.399999999999999" x14ac:dyDescent="0.3">
      <c r="A64" s="1"/>
      <c r="B64" s="2"/>
      <c r="C64" s="2"/>
      <c r="D64" s="1"/>
      <c r="E64" s="2"/>
      <c r="F64" s="2"/>
      <c r="G64" s="2"/>
      <c r="H64" s="2"/>
      <c r="I64" s="2"/>
      <c r="J64" s="2"/>
      <c r="K64" s="3"/>
      <c r="L64" s="3"/>
      <c r="M64" s="60"/>
      <c r="N64" s="60"/>
      <c r="O64" s="2"/>
      <c r="P64" s="72"/>
      <c r="Q64" s="1"/>
      <c r="R64" s="79"/>
      <c r="S64" s="2"/>
      <c r="T64" s="2"/>
      <c r="U64" s="2"/>
      <c r="V64" s="2"/>
      <c r="W64" s="3"/>
      <c r="X64" s="82"/>
      <c r="Y64" s="82"/>
      <c r="Z64" s="5"/>
    </row>
    <row r="65" spans="1:26" s="43" customFormat="1" ht="17.399999999999999" x14ac:dyDescent="0.3">
      <c r="A65" s="1"/>
      <c r="B65" s="2"/>
      <c r="C65" s="2"/>
      <c r="D65" s="1"/>
      <c r="E65" s="2"/>
      <c r="F65" s="2"/>
      <c r="G65" s="2"/>
      <c r="H65" s="2"/>
      <c r="I65" s="2"/>
      <c r="J65" s="2"/>
      <c r="K65" s="3"/>
      <c r="L65" s="3"/>
      <c r="M65" s="60"/>
      <c r="N65" s="60"/>
      <c r="O65" s="2"/>
      <c r="P65" s="72"/>
      <c r="Q65" s="1"/>
      <c r="R65" s="79"/>
      <c r="S65" s="2"/>
      <c r="T65" s="2"/>
      <c r="U65" s="2"/>
      <c r="V65" s="2"/>
      <c r="W65" s="3"/>
      <c r="X65" s="82"/>
      <c r="Y65" s="82"/>
      <c r="Z65" s="5"/>
    </row>
    <row r="66" spans="1:26" s="43" customFormat="1" ht="17.399999999999999" x14ac:dyDescent="0.3">
      <c r="A66" s="1"/>
      <c r="B66" s="2"/>
      <c r="C66" s="2"/>
      <c r="D66" s="1"/>
      <c r="E66" s="2"/>
      <c r="F66" s="2"/>
      <c r="G66" s="2"/>
      <c r="H66" s="2"/>
      <c r="I66" s="2"/>
      <c r="J66" s="2"/>
      <c r="K66" s="3"/>
      <c r="L66" s="3"/>
      <c r="M66" s="60"/>
      <c r="N66" s="60"/>
      <c r="O66" s="2"/>
      <c r="P66" s="72"/>
      <c r="Q66" s="1"/>
      <c r="R66" s="79"/>
      <c r="S66" s="2"/>
      <c r="T66" s="2"/>
      <c r="U66" s="2"/>
      <c r="V66" s="2"/>
      <c r="W66" s="3"/>
      <c r="X66" s="82"/>
      <c r="Y66" s="82"/>
      <c r="Z66" s="5"/>
    </row>
    <row r="67" spans="1:26" s="43" customFormat="1" ht="17.399999999999999" x14ac:dyDescent="0.3">
      <c r="A67" s="1"/>
      <c r="B67" s="2"/>
      <c r="C67" s="2"/>
      <c r="D67" s="1"/>
      <c r="E67" s="2"/>
      <c r="F67" s="2"/>
      <c r="G67" s="2"/>
      <c r="H67" s="2"/>
      <c r="I67" s="2"/>
      <c r="J67" s="2"/>
      <c r="K67" s="3"/>
      <c r="L67" s="3"/>
      <c r="M67" s="60"/>
      <c r="N67" s="60"/>
      <c r="O67" s="2"/>
      <c r="P67" s="72"/>
      <c r="Q67" s="1"/>
      <c r="R67" s="79"/>
      <c r="S67" s="2"/>
      <c r="T67" s="2"/>
      <c r="U67" s="2"/>
      <c r="V67" s="2"/>
      <c r="W67" s="3"/>
      <c r="X67" s="82"/>
      <c r="Y67" s="82"/>
      <c r="Z67" s="5"/>
    </row>
    <row r="68" spans="1:26" s="43" customFormat="1" ht="17.399999999999999" x14ac:dyDescent="0.3">
      <c r="A68" s="1"/>
      <c r="B68" s="2"/>
      <c r="C68" s="2"/>
      <c r="D68" s="1"/>
      <c r="E68" s="2"/>
      <c r="F68" s="2"/>
      <c r="G68" s="2"/>
      <c r="H68" s="2"/>
      <c r="I68" s="2"/>
      <c r="J68" s="2"/>
      <c r="K68" s="3"/>
      <c r="L68" s="3"/>
      <c r="M68" s="60"/>
      <c r="N68" s="60"/>
      <c r="O68" s="2"/>
      <c r="P68" s="72"/>
      <c r="Q68" s="1"/>
      <c r="R68" s="79"/>
      <c r="S68" s="2"/>
      <c r="T68" s="2"/>
      <c r="U68" s="2"/>
      <c r="V68" s="2"/>
      <c r="W68" s="3"/>
      <c r="X68" s="82"/>
      <c r="Y68" s="82"/>
      <c r="Z68" s="5"/>
    </row>
    <row r="69" spans="1:26" s="43" customFormat="1" ht="17.399999999999999" x14ac:dyDescent="0.3">
      <c r="A69" s="1"/>
      <c r="B69" s="2"/>
      <c r="C69" s="2"/>
      <c r="D69" s="1"/>
      <c r="E69" s="2"/>
      <c r="F69" s="2"/>
      <c r="G69" s="2"/>
      <c r="H69" s="2"/>
      <c r="I69" s="2"/>
      <c r="J69" s="2"/>
      <c r="K69" s="3"/>
      <c r="L69" s="3"/>
      <c r="M69" s="60"/>
      <c r="N69" s="60"/>
      <c r="O69" s="2"/>
      <c r="P69" s="72"/>
      <c r="Q69" s="1"/>
      <c r="R69" s="79"/>
      <c r="S69" s="2"/>
      <c r="T69" s="2"/>
      <c r="U69" s="2"/>
      <c r="V69" s="2"/>
      <c r="W69" s="3"/>
      <c r="X69" s="82"/>
      <c r="Y69" s="82"/>
      <c r="Z69" s="5"/>
    </row>
    <row r="70" spans="1:26" s="43" customFormat="1" ht="17.399999999999999" x14ac:dyDescent="0.3">
      <c r="A70" s="1"/>
      <c r="B70" s="2"/>
      <c r="C70" s="2"/>
      <c r="D70" s="1"/>
      <c r="E70" s="2"/>
      <c r="F70" s="2"/>
      <c r="G70" s="2"/>
      <c r="H70" s="2"/>
      <c r="I70" s="2"/>
      <c r="J70" s="2"/>
      <c r="K70" s="3"/>
      <c r="L70" s="3"/>
      <c r="M70" s="60"/>
      <c r="N70" s="60"/>
      <c r="O70" s="2"/>
      <c r="P70" s="72"/>
      <c r="Q70" s="1"/>
      <c r="R70" s="79"/>
      <c r="S70" s="2"/>
      <c r="T70" s="2"/>
      <c r="U70" s="2"/>
      <c r="V70" s="2"/>
      <c r="W70" s="3"/>
      <c r="X70" s="82"/>
      <c r="Y70" s="82"/>
      <c r="Z70" s="5"/>
    </row>
    <row r="71" spans="1:26" s="43" customFormat="1" ht="17.399999999999999" x14ac:dyDescent="0.3">
      <c r="A71" s="1"/>
      <c r="B71" s="2"/>
      <c r="C71" s="2"/>
      <c r="D71" s="1"/>
      <c r="E71" s="2"/>
      <c r="F71" s="2"/>
      <c r="G71" s="2"/>
      <c r="H71" s="2"/>
      <c r="I71" s="2"/>
      <c r="J71" s="2"/>
      <c r="K71" s="3"/>
      <c r="L71" s="3"/>
      <c r="M71" s="60"/>
      <c r="N71" s="60"/>
      <c r="O71" s="2"/>
      <c r="P71" s="72"/>
      <c r="Q71" s="1"/>
      <c r="R71" s="79"/>
      <c r="S71" s="2"/>
      <c r="T71" s="2"/>
      <c r="U71" s="2"/>
      <c r="V71" s="2"/>
      <c r="W71" s="3"/>
      <c r="X71" s="82"/>
      <c r="Y71" s="82"/>
      <c r="Z71" s="5"/>
    </row>
    <row r="72" spans="1:26" s="43" customFormat="1" ht="17.399999999999999" x14ac:dyDescent="0.3">
      <c r="A72" s="1"/>
      <c r="B72" s="2"/>
      <c r="C72" s="2"/>
      <c r="D72" s="1"/>
      <c r="E72" s="2"/>
      <c r="F72" s="2"/>
      <c r="G72" s="2"/>
      <c r="H72" s="2"/>
      <c r="I72" s="2"/>
      <c r="J72" s="2"/>
      <c r="K72" s="3"/>
      <c r="L72" s="3"/>
      <c r="M72" s="60"/>
      <c r="N72" s="60"/>
      <c r="O72" s="2"/>
      <c r="P72" s="72"/>
      <c r="Q72" s="1"/>
      <c r="R72" s="79"/>
      <c r="S72" s="2"/>
      <c r="T72" s="2"/>
      <c r="U72" s="2"/>
      <c r="V72" s="2"/>
      <c r="W72" s="3"/>
      <c r="X72" s="82"/>
      <c r="Y72" s="82"/>
      <c r="Z72" s="5"/>
    </row>
    <row r="73" spans="1:26" s="43" customFormat="1" ht="17.399999999999999" x14ac:dyDescent="0.3">
      <c r="A73" s="1"/>
      <c r="B73" s="2"/>
      <c r="C73" s="2"/>
      <c r="D73" s="1"/>
      <c r="E73" s="2"/>
      <c r="F73" s="2"/>
      <c r="G73" s="2"/>
      <c r="H73" s="2"/>
      <c r="I73" s="2"/>
      <c r="J73" s="2"/>
      <c r="K73" s="3"/>
      <c r="L73" s="3"/>
      <c r="M73" s="60"/>
      <c r="N73" s="60"/>
      <c r="O73" s="2"/>
      <c r="P73" s="72"/>
      <c r="Q73" s="1"/>
      <c r="R73" s="79"/>
      <c r="S73" s="2"/>
      <c r="T73" s="2"/>
      <c r="U73" s="2"/>
      <c r="V73" s="2"/>
      <c r="W73" s="3"/>
      <c r="X73" s="82"/>
      <c r="Y73" s="82"/>
      <c r="Z73" s="5"/>
    </row>
    <row r="74" spans="1:26" s="43" customFormat="1" ht="17.399999999999999" x14ac:dyDescent="0.3">
      <c r="A74" s="1"/>
      <c r="B74" s="2"/>
      <c r="C74" s="2"/>
      <c r="D74" s="1"/>
      <c r="E74" s="2"/>
      <c r="F74" s="2"/>
      <c r="G74" s="2"/>
      <c r="H74" s="2"/>
      <c r="I74" s="2"/>
      <c r="J74" s="2"/>
      <c r="K74" s="3"/>
      <c r="L74" s="3"/>
      <c r="M74" s="60"/>
      <c r="N74" s="60"/>
      <c r="O74" s="2"/>
      <c r="P74" s="72"/>
      <c r="Q74" s="1"/>
      <c r="R74" s="79"/>
      <c r="S74" s="2"/>
      <c r="T74" s="2"/>
      <c r="U74" s="2"/>
      <c r="V74" s="2"/>
      <c r="W74" s="3"/>
      <c r="X74" s="82"/>
      <c r="Y74" s="82"/>
      <c r="Z74" s="5"/>
    </row>
    <row r="75" spans="1:26" s="43" customFormat="1" ht="17.399999999999999" x14ac:dyDescent="0.3">
      <c r="A75" s="1"/>
      <c r="B75" s="2"/>
      <c r="C75" s="2"/>
      <c r="D75" s="1"/>
      <c r="E75" s="2"/>
      <c r="F75" s="2"/>
      <c r="G75" s="2"/>
      <c r="H75" s="2"/>
      <c r="I75" s="2"/>
      <c r="J75" s="2"/>
      <c r="K75" s="3"/>
      <c r="L75" s="3"/>
      <c r="M75" s="60"/>
      <c r="N75" s="60"/>
      <c r="O75" s="2"/>
      <c r="P75" s="72"/>
      <c r="Q75" s="1"/>
      <c r="R75" s="79"/>
      <c r="S75" s="2"/>
      <c r="T75" s="2"/>
      <c r="U75" s="2"/>
      <c r="V75" s="2"/>
      <c r="W75" s="3"/>
      <c r="X75" s="82"/>
      <c r="Y75" s="82"/>
      <c r="Z75" s="5"/>
    </row>
    <row r="76" spans="1:26" s="43" customFormat="1" ht="17.399999999999999" x14ac:dyDescent="0.3">
      <c r="A76" s="1"/>
      <c r="B76" s="2"/>
      <c r="C76" s="2"/>
      <c r="D76" s="1"/>
      <c r="E76" s="2"/>
      <c r="F76" s="2"/>
      <c r="G76" s="2"/>
      <c r="H76" s="2"/>
      <c r="I76" s="2"/>
      <c r="J76" s="2"/>
      <c r="K76" s="3"/>
      <c r="L76" s="3"/>
      <c r="M76" s="60"/>
      <c r="N76" s="60"/>
      <c r="O76" s="2"/>
      <c r="P76" s="72"/>
      <c r="Q76" s="1"/>
      <c r="R76" s="79"/>
      <c r="S76" s="2"/>
      <c r="T76" s="2"/>
      <c r="U76" s="2"/>
      <c r="V76" s="2"/>
      <c r="W76" s="3"/>
      <c r="X76" s="82"/>
      <c r="Y76" s="82"/>
      <c r="Z76" s="5"/>
    </row>
    <row r="77" spans="1:26" s="43" customFormat="1" ht="17.399999999999999" x14ac:dyDescent="0.3">
      <c r="A77" s="1"/>
      <c r="B77" s="2"/>
      <c r="C77" s="2"/>
      <c r="D77" s="1"/>
      <c r="E77" s="2"/>
      <c r="F77" s="2"/>
      <c r="G77" s="2"/>
      <c r="H77" s="2"/>
      <c r="I77" s="2"/>
      <c r="J77" s="2"/>
      <c r="K77" s="3"/>
      <c r="L77" s="3"/>
      <c r="M77" s="60"/>
      <c r="N77" s="60"/>
      <c r="O77" s="2"/>
      <c r="P77" s="72"/>
      <c r="Q77" s="1"/>
      <c r="R77" s="79"/>
      <c r="S77" s="2"/>
      <c r="T77" s="2"/>
      <c r="U77" s="2"/>
      <c r="V77" s="2"/>
      <c r="W77" s="3"/>
      <c r="X77" s="82"/>
      <c r="Y77" s="82"/>
      <c r="Z77" s="5"/>
    </row>
    <row r="78" spans="1:26" s="43" customFormat="1" ht="17.399999999999999" x14ac:dyDescent="0.3">
      <c r="A78" s="1"/>
      <c r="B78" s="2"/>
      <c r="C78" s="2"/>
      <c r="D78" s="1"/>
      <c r="E78" s="2"/>
      <c r="F78" s="2"/>
      <c r="G78" s="2"/>
      <c r="H78" s="2"/>
      <c r="I78" s="2"/>
      <c r="J78" s="2"/>
      <c r="K78" s="3"/>
      <c r="L78" s="3"/>
      <c r="M78" s="60"/>
      <c r="N78" s="60"/>
      <c r="O78" s="2"/>
      <c r="P78" s="72"/>
      <c r="Q78" s="1"/>
      <c r="R78" s="79"/>
      <c r="S78" s="2"/>
      <c r="T78" s="2"/>
      <c r="U78" s="2"/>
      <c r="V78" s="2"/>
      <c r="W78" s="3"/>
      <c r="X78" s="82"/>
      <c r="Y78" s="82"/>
      <c r="Z78" s="5"/>
    </row>
    <row r="79" spans="1:26" s="43" customFormat="1" ht="17.399999999999999" x14ac:dyDescent="0.3">
      <c r="A79" s="1"/>
      <c r="B79" s="2"/>
      <c r="C79" s="2"/>
      <c r="D79" s="1"/>
      <c r="E79" s="2"/>
      <c r="F79" s="2"/>
      <c r="G79" s="2"/>
      <c r="H79" s="2"/>
      <c r="I79" s="2"/>
      <c r="J79" s="2"/>
      <c r="K79" s="3"/>
      <c r="L79" s="3"/>
      <c r="M79" s="60"/>
      <c r="N79" s="60"/>
      <c r="O79" s="2"/>
      <c r="P79" s="72"/>
      <c r="Q79" s="1"/>
      <c r="R79" s="79"/>
      <c r="S79" s="2"/>
      <c r="T79" s="2"/>
      <c r="U79" s="2"/>
      <c r="V79" s="2"/>
      <c r="W79" s="3"/>
      <c r="X79" s="82"/>
      <c r="Y79" s="82"/>
      <c r="Z79" s="5"/>
    </row>
    <row r="80" spans="1:26" s="43" customFormat="1" ht="17.399999999999999" x14ac:dyDescent="0.3">
      <c r="A80" s="1"/>
      <c r="B80" s="2"/>
      <c r="C80" s="2"/>
      <c r="D80" s="1"/>
      <c r="E80" s="2"/>
      <c r="F80" s="2"/>
      <c r="G80" s="2"/>
      <c r="H80" s="2"/>
      <c r="I80" s="2"/>
      <c r="J80" s="2"/>
      <c r="K80" s="3"/>
      <c r="L80" s="3"/>
      <c r="M80" s="60"/>
      <c r="N80" s="60"/>
      <c r="O80" s="2"/>
      <c r="P80" s="72"/>
      <c r="Q80" s="1"/>
      <c r="R80" s="79"/>
      <c r="S80" s="2"/>
      <c r="T80" s="2"/>
      <c r="U80" s="2"/>
      <c r="V80" s="2"/>
      <c r="W80" s="3"/>
      <c r="X80" s="82"/>
      <c r="Y80" s="82"/>
      <c r="Z80" s="5"/>
    </row>
    <row r="81" spans="1:26" s="43" customFormat="1" ht="17.399999999999999" x14ac:dyDescent="0.3">
      <c r="A81" s="1"/>
      <c r="B81" s="2"/>
      <c r="C81" s="2"/>
      <c r="D81" s="1"/>
      <c r="E81" s="2"/>
      <c r="F81" s="2"/>
      <c r="G81" s="2"/>
      <c r="H81" s="2"/>
      <c r="I81" s="2"/>
      <c r="J81" s="2"/>
      <c r="K81" s="3"/>
      <c r="L81" s="3"/>
      <c r="M81" s="60"/>
      <c r="N81" s="60"/>
      <c r="O81" s="2"/>
      <c r="P81" s="72"/>
      <c r="Q81" s="1"/>
      <c r="R81" s="79"/>
      <c r="S81" s="2"/>
      <c r="T81" s="2"/>
      <c r="U81" s="2"/>
      <c r="V81" s="2"/>
      <c r="W81" s="3"/>
      <c r="X81" s="82"/>
      <c r="Y81" s="82"/>
      <c r="Z81" s="5"/>
    </row>
    <row r="82" spans="1:26" s="43" customFormat="1" ht="17.399999999999999" x14ac:dyDescent="0.3">
      <c r="A82" s="1"/>
      <c r="B82" s="2"/>
      <c r="C82" s="2"/>
      <c r="D82" s="1"/>
      <c r="E82" s="2"/>
      <c r="F82" s="2"/>
      <c r="G82" s="2"/>
      <c r="H82" s="2"/>
      <c r="I82" s="2"/>
      <c r="J82" s="2"/>
      <c r="K82" s="3"/>
      <c r="L82" s="3"/>
      <c r="M82" s="60"/>
      <c r="N82" s="60"/>
      <c r="O82" s="2"/>
      <c r="P82" s="72"/>
      <c r="Q82" s="1"/>
      <c r="R82" s="79"/>
      <c r="S82" s="2"/>
      <c r="T82" s="2"/>
      <c r="U82" s="2"/>
      <c r="V82" s="2"/>
      <c r="W82" s="3"/>
      <c r="X82" s="82"/>
      <c r="Y82" s="82"/>
      <c r="Z82" s="5"/>
    </row>
    <row r="83" spans="1:26" s="43" customFormat="1" ht="17.399999999999999" x14ac:dyDescent="0.3">
      <c r="A83" s="1"/>
      <c r="B83" s="2"/>
      <c r="C83" s="2"/>
      <c r="D83" s="1"/>
      <c r="E83" s="2"/>
      <c r="F83" s="2"/>
      <c r="G83" s="2"/>
      <c r="H83" s="2"/>
      <c r="I83" s="2"/>
      <c r="J83" s="2"/>
      <c r="K83" s="3"/>
      <c r="L83" s="3"/>
      <c r="M83" s="60"/>
      <c r="N83" s="60"/>
      <c r="O83" s="2"/>
      <c r="P83" s="72"/>
      <c r="Q83" s="1"/>
      <c r="R83" s="79"/>
      <c r="S83" s="2"/>
      <c r="T83" s="2"/>
      <c r="U83" s="2"/>
      <c r="V83" s="2"/>
      <c r="W83" s="3"/>
      <c r="X83" s="82"/>
      <c r="Y83" s="82"/>
      <c r="Z83" s="5"/>
    </row>
    <row r="84" spans="1:26" s="43" customFormat="1" ht="17.399999999999999" x14ac:dyDescent="0.3">
      <c r="A84" s="1"/>
      <c r="B84" s="2"/>
      <c r="C84" s="2"/>
      <c r="D84" s="1"/>
      <c r="E84" s="2"/>
      <c r="F84" s="2"/>
      <c r="G84" s="2"/>
      <c r="H84" s="2"/>
      <c r="I84" s="2"/>
      <c r="J84" s="2"/>
      <c r="K84" s="3"/>
      <c r="L84" s="3"/>
      <c r="M84" s="60"/>
      <c r="N84" s="60"/>
      <c r="O84" s="2"/>
      <c r="P84" s="72"/>
      <c r="Q84" s="1"/>
      <c r="R84" s="79"/>
      <c r="S84" s="2"/>
      <c r="T84" s="2"/>
      <c r="U84" s="2"/>
      <c r="V84" s="2"/>
      <c r="W84" s="3"/>
      <c r="X84" s="82"/>
      <c r="Y84" s="82"/>
      <c r="Z84" s="5"/>
    </row>
    <row r="85" spans="1:26" s="43" customFormat="1" ht="17.399999999999999" x14ac:dyDescent="0.3">
      <c r="A85" s="1"/>
      <c r="B85" s="2"/>
      <c r="C85" s="2"/>
      <c r="D85" s="1"/>
      <c r="E85" s="2"/>
      <c r="F85" s="2"/>
      <c r="G85" s="2"/>
      <c r="H85" s="2"/>
      <c r="I85" s="2"/>
      <c r="J85" s="2"/>
      <c r="K85" s="3"/>
      <c r="L85" s="3"/>
      <c r="M85" s="60"/>
      <c r="N85" s="60"/>
      <c r="O85" s="2"/>
      <c r="P85" s="72"/>
      <c r="Q85" s="1"/>
      <c r="R85" s="79"/>
      <c r="S85" s="2"/>
      <c r="T85" s="2"/>
      <c r="U85" s="2"/>
      <c r="V85" s="2"/>
      <c r="W85" s="3"/>
      <c r="X85" s="82"/>
      <c r="Y85" s="82"/>
      <c r="Z85" s="5"/>
    </row>
    <row r="86" spans="1:26" s="43" customFormat="1" ht="17.399999999999999" x14ac:dyDescent="0.3">
      <c r="A86" s="1"/>
      <c r="B86" s="2"/>
      <c r="C86" s="2"/>
      <c r="D86" s="1"/>
      <c r="E86" s="2"/>
      <c r="F86" s="2"/>
      <c r="G86" s="2"/>
      <c r="H86" s="2"/>
      <c r="I86" s="2"/>
      <c r="J86" s="2"/>
      <c r="K86" s="3"/>
      <c r="L86" s="3"/>
      <c r="M86" s="60"/>
      <c r="N86" s="60"/>
      <c r="O86" s="2"/>
      <c r="P86" s="72"/>
      <c r="Q86" s="1"/>
      <c r="R86" s="79"/>
      <c r="S86" s="2"/>
      <c r="T86" s="2"/>
      <c r="U86" s="2"/>
      <c r="V86" s="2"/>
      <c r="W86" s="3"/>
      <c r="X86" s="82"/>
      <c r="Y86" s="82"/>
      <c r="Z86" s="5"/>
    </row>
    <row r="87" spans="1:26" s="43" customFormat="1" ht="17.399999999999999" x14ac:dyDescent="0.3">
      <c r="A87" s="1"/>
      <c r="B87" s="2"/>
      <c r="C87" s="2"/>
      <c r="D87" s="1"/>
      <c r="E87" s="2"/>
      <c r="F87" s="2"/>
      <c r="G87" s="2"/>
      <c r="H87" s="2"/>
      <c r="I87" s="2"/>
      <c r="J87" s="2"/>
      <c r="K87" s="3"/>
      <c r="L87" s="3"/>
      <c r="M87" s="60"/>
      <c r="N87" s="60"/>
      <c r="O87" s="2"/>
      <c r="P87" s="72"/>
      <c r="Q87" s="1"/>
      <c r="R87" s="79"/>
      <c r="S87" s="2"/>
      <c r="T87" s="2"/>
      <c r="U87" s="2"/>
      <c r="V87" s="2"/>
      <c r="W87" s="3"/>
      <c r="X87" s="82"/>
      <c r="Y87" s="82"/>
      <c r="Z87" s="5"/>
    </row>
    <row r="88" spans="1:26" s="43" customFormat="1" ht="17.399999999999999" x14ac:dyDescent="0.3">
      <c r="A88" s="1"/>
      <c r="B88" s="2"/>
      <c r="C88" s="2"/>
      <c r="D88" s="1"/>
      <c r="E88" s="2"/>
      <c r="F88" s="2"/>
      <c r="G88" s="2"/>
      <c r="H88" s="2"/>
      <c r="I88" s="2"/>
      <c r="J88" s="2"/>
      <c r="K88" s="3"/>
      <c r="L88" s="3"/>
      <c r="M88" s="60"/>
      <c r="N88" s="60"/>
      <c r="O88" s="2"/>
      <c r="P88" s="72"/>
      <c r="Q88" s="1"/>
      <c r="R88" s="79"/>
      <c r="S88" s="2"/>
      <c r="T88" s="2"/>
      <c r="U88" s="2"/>
      <c r="V88" s="2"/>
      <c r="W88" s="3"/>
      <c r="X88" s="82"/>
      <c r="Y88" s="82"/>
      <c r="Z88" s="5"/>
    </row>
    <row r="89" spans="1:26" s="43" customFormat="1" ht="17.399999999999999" x14ac:dyDescent="0.3">
      <c r="A89" s="1"/>
      <c r="B89" s="2"/>
      <c r="C89" s="2"/>
      <c r="D89" s="1"/>
      <c r="E89" s="2"/>
      <c r="F89" s="2"/>
      <c r="G89" s="2"/>
      <c r="H89" s="2"/>
      <c r="I89" s="2"/>
      <c r="J89" s="2"/>
      <c r="K89" s="3"/>
      <c r="L89" s="3"/>
      <c r="M89" s="60"/>
      <c r="N89" s="60"/>
      <c r="O89" s="2"/>
      <c r="P89" s="72"/>
      <c r="Q89" s="1"/>
      <c r="R89" s="79"/>
      <c r="S89" s="2"/>
      <c r="T89" s="2"/>
      <c r="U89" s="2"/>
      <c r="V89" s="2"/>
      <c r="W89" s="3"/>
      <c r="X89" s="82"/>
      <c r="Y89" s="82"/>
      <c r="Z89" s="5"/>
    </row>
    <row r="90" spans="1:26" s="43" customFormat="1" ht="17.399999999999999" x14ac:dyDescent="0.3">
      <c r="A90" s="1"/>
      <c r="B90" s="2"/>
      <c r="C90" s="2"/>
      <c r="D90" s="1"/>
      <c r="E90" s="2"/>
      <c r="F90" s="2"/>
      <c r="G90" s="2"/>
      <c r="H90" s="2"/>
      <c r="I90" s="2"/>
      <c r="J90" s="2"/>
      <c r="K90" s="3"/>
      <c r="L90" s="3"/>
      <c r="M90" s="60"/>
      <c r="N90" s="60"/>
      <c r="O90" s="2"/>
      <c r="P90" s="72"/>
      <c r="Q90" s="1"/>
      <c r="R90" s="79"/>
      <c r="S90" s="2"/>
      <c r="T90" s="2"/>
      <c r="U90" s="2"/>
      <c r="V90" s="2"/>
      <c r="W90" s="3"/>
      <c r="X90" s="82"/>
      <c r="Y90" s="82"/>
      <c r="Z90" s="5"/>
    </row>
    <row r="91" spans="1:26" s="43" customFormat="1" ht="17.399999999999999" x14ac:dyDescent="0.3">
      <c r="A91" s="1"/>
      <c r="B91" s="2"/>
      <c r="C91" s="2"/>
      <c r="D91" s="1"/>
      <c r="E91" s="2"/>
      <c r="F91" s="2"/>
      <c r="G91" s="2"/>
      <c r="H91" s="2"/>
      <c r="I91" s="2"/>
      <c r="J91" s="2"/>
      <c r="K91" s="3"/>
      <c r="L91" s="3"/>
      <c r="M91" s="60"/>
      <c r="N91" s="60"/>
      <c r="O91" s="2"/>
      <c r="P91" s="72"/>
      <c r="Q91" s="1"/>
      <c r="R91" s="79"/>
      <c r="S91" s="2"/>
      <c r="T91" s="2"/>
      <c r="U91" s="2"/>
      <c r="V91" s="2"/>
      <c r="W91" s="3"/>
      <c r="X91" s="82"/>
      <c r="Y91" s="82"/>
      <c r="Z91" s="5"/>
    </row>
    <row r="92" spans="1:26" s="43" customFormat="1" ht="17.399999999999999" x14ac:dyDescent="0.3">
      <c r="A92" s="1"/>
      <c r="B92" s="2"/>
      <c r="C92" s="2"/>
      <c r="D92" s="1"/>
      <c r="E92" s="2"/>
      <c r="F92" s="2"/>
      <c r="G92" s="2"/>
      <c r="H92" s="2"/>
      <c r="I92" s="2"/>
      <c r="J92" s="2"/>
      <c r="K92" s="3"/>
      <c r="L92" s="3"/>
      <c r="M92" s="60"/>
      <c r="N92" s="60"/>
      <c r="O92" s="2"/>
      <c r="P92" s="72"/>
      <c r="Q92" s="1"/>
      <c r="R92" s="79"/>
      <c r="S92" s="2"/>
      <c r="T92" s="2"/>
      <c r="U92" s="2"/>
      <c r="V92" s="2"/>
      <c r="W92" s="3"/>
      <c r="X92" s="82"/>
      <c r="Y92" s="82"/>
      <c r="Z92" s="5"/>
    </row>
    <row r="93" spans="1:26" s="43" customFormat="1" ht="17.399999999999999" x14ac:dyDescent="0.3">
      <c r="A93" s="1"/>
      <c r="B93" s="2"/>
      <c r="C93" s="2"/>
      <c r="D93" s="1"/>
      <c r="E93" s="2"/>
      <c r="F93" s="2"/>
      <c r="G93" s="2"/>
      <c r="H93" s="2"/>
      <c r="I93" s="2"/>
      <c r="J93" s="2"/>
      <c r="K93" s="3"/>
      <c r="L93" s="3"/>
      <c r="M93" s="60"/>
      <c r="N93" s="60"/>
      <c r="O93" s="2"/>
      <c r="P93" s="72"/>
      <c r="Q93" s="1"/>
      <c r="R93" s="79"/>
      <c r="S93" s="2"/>
      <c r="T93" s="2"/>
      <c r="U93" s="2"/>
      <c r="V93" s="2"/>
      <c r="W93" s="3"/>
      <c r="X93" s="82"/>
      <c r="Y93" s="82"/>
      <c r="Z93" s="5"/>
    </row>
    <row r="94" spans="1:26" s="43" customFormat="1" ht="17.399999999999999" x14ac:dyDescent="0.3">
      <c r="A94" s="1"/>
      <c r="B94" s="2"/>
      <c r="C94" s="2"/>
      <c r="D94" s="1"/>
      <c r="E94" s="2"/>
      <c r="F94" s="2"/>
      <c r="G94" s="2"/>
      <c r="H94" s="2"/>
      <c r="I94" s="2"/>
      <c r="J94" s="2"/>
      <c r="K94" s="3"/>
      <c r="L94" s="3"/>
      <c r="M94" s="60"/>
      <c r="N94" s="60"/>
      <c r="O94" s="2"/>
      <c r="P94" s="72"/>
      <c r="Q94" s="1"/>
      <c r="R94" s="79"/>
      <c r="S94" s="2"/>
      <c r="T94" s="2"/>
      <c r="U94" s="2"/>
      <c r="V94" s="2"/>
      <c r="W94" s="3"/>
      <c r="X94" s="82"/>
      <c r="Y94" s="82"/>
      <c r="Z94" s="5"/>
    </row>
    <row r="95" spans="1:26" s="43" customFormat="1" ht="17.399999999999999" x14ac:dyDescent="0.3">
      <c r="A95" s="1"/>
      <c r="B95" s="2"/>
      <c r="C95" s="2"/>
      <c r="D95" s="1"/>
      <c r="E95" s="2"/>
      <c r="F95" s="2"/>
      <c r="G95" s="2"/>
      <c r="H95" s="2"/>
      <c r="I95" s="2"/>
      <c r="J95" s="2"/>
      <c r="K95" s="3"/>
      <c r="L95" s="3"/>
      <c r="M95" s="60"/>
      <c r="N95" s="60"/>
      <c r="O95" s="2"/>
      <c r="P95" s="72"/>
      <c r="Q95" s="1"/>
      <c r="R95" s="79"/>
      <c r="S95" s="2"/>
      <c r="T95" s="2"/>
      <c r="U95" s="2"/>
      <c r="V95" s="2"/>
      <c r="W95" s="3"/>
      <c r="X95" s="82"/>
      <c r="Y95" s="82"/>
      <c r="Z95" s="5"/>
    </row>
    <row r="96" spans="1:26" s="43" customFormat="1" ht="17.399999999999999" x14ac:dyDescent="0.3">
      <c r="A96" s="1"/>
      <c r="B96" s="2"/>
      <c r="C96" s="2"/>
      <c r="D96" s="1"/>
      <c r="E96" s="2"/>
      <c r="F96" s="2"/>
      <c r="G96" s="2"/>
      <c r="H96" s="2"/>
      <c r="I96" s="2"/>
      <c r="J96" s="2"/>
      <c r="K96" s="3"/>
      <c r="L96" s="3"/>
      <c r="M96" s="60"/>
      <c r="N96" s="60"/>
      <c r="O96" s="2"/>
      <c r="P96" s="72"/>
      <c r="Q96" s="1"/>
      <c r="R96" s="79"/>
      <c r="S96" s="2"/>
      <c r="T96" s="2"/>
      <c r="U96" s="2"/>
      <c r="V96" s="2"/>
      <c r="W96" s="3"/>
      <c r="X96" s="82"/>
      <c r="Y96" s="82"/>
      <c r="Z96" s="5"/>
    </row>
    <row r="97" spans="1:26" s="43" customFormat="1" ht="17.399999999999999" x14ac:dyDescent="0.3">
      <c r="A97" s="1"/>
      <c r="B97" s="2"/>
      <c r="C97" s="2"/>
      <c r="D97" s="1"/>
      <c r="E97" s="2"/>
      <c r="F97" s="2"/>
      <c r="G97" s="2"/>
      <c r="H97" s="2"/>
      <c r="I97" s="2"/>
      <c r="J97" s="2"/>
      <c r="K97" s="3"/>
      <c r="L97" s="3"/>
      <c r="M97" s="60"/>
      <c r="N97" s="60"/>
      <c r="O97" s="2"/>
      <c r="P97" s="72"/>
      <c r="Q97" s="1"/>
      <c r="R97" s="79"/>
      <c r="S97" s="2"/>
      <c r="T97" s="2"/>
      <c r="U97" s="2"/>
      <c r="V97" s="2"/>
      <c r="W97" s="3"/>
      <c r="X97" s="82"/>
      <c r="Y97" s="82"/>
      <c r="Z97" s="5"/>
    </row>
    <row r="98" spans="1:26" s="43" customFormat="1" ht="17.399999999999999" x14ac:dyDescent="0.3">
      <c r="A98" s="1"/>
      <c r="B98" s="2"/>
      <c r="C98" s="2"/>
      <c r="D98" s="1"/>
      <c r="E98" s="2"/>
      <c r="F98" s="2"/>
      <c r="G98" s="2"/>
      <c r="H98" s="2"/>
      <c r="I98" s="2"/>
      <c r="J98" s="2"/>
      <c r="K98" s="3"/>
      <c r="L98" s="3"/>
      <c r="M98" s="60"/>
      <c r="N98" s="60"/>
      <c r="O98" s="2"/>
      <c r="P98" s="72"/>
      <c r="Q98" s="1"/>
      <c r="R98" s="79"/>
      <c r="S98" s="2"/>
      <c r="T98" s="2"/>
      <c r="U98" s="2"/>
      <c r="V98" s="2"/>
      <c r="W98" s="3"/>
      <c r="X98" s="82"/>
      <c r="Y98" s="82"/>
      <c r="Z98" s="5"/>
    </row>
    <row r="99" spans="1:26" s="43" customFormat="1" ht="17.399999999999999" x14ac:dyDescent="0.3">
      <c r="A99" s="1"/>
      <c r="B99" s="2"/>
      <c r="C99" s="2"/>
      <c r="D99" s="1"/>
      <c r="E99" s="2"/>
      <c r="F99" s="2"/>
      <c r="G99" s="2"/>
      <c r="H99" s="2"/>
      <c r="I99" s="2"/>
      <c r="J99" s="2"/>
      <c r="K99" s="3"/>
      <c r="L99" s="3"/>
      <c r="M99" s="60"/>
      <c r="N99" s="60"/>
      <c r="O99" s="2"/>
      <c r="P99" s="72"/>
      <c r="Q99" s="1"/>
      <c r="R99" s="79"/>
      <c r="S99" s="2"/>
      <c r="T99" s="2"/>
      <c r="U99" s="2"/>
      <c r="V99" s="2"/>
      <c r="W99" s="3"/>
      <c r="X99" s="82"/>
      <c r="Y99" s="82"/>
      <c r="Z99" s="5"/>
    </row>
    <row r="100" spans="1:26" s="43" customFormat="1" ht="17.399999999999999" x14ac:dyDescent="0.3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3"/>
      <c r="L100" s="3"/>
      <c r="M100" s="60"/>
      <c r="N100" s="60"/>
      <c r="O100" s="2"/>
      <c r="P100" s="72"/>
      <c r="Q100" s="1"/>
      <c r="R100" s="79"/>
      <c r="S100" s="2"/>
      <c r="T100" s="2"/>
      <c r="U100" s="2"/>
      <c r="V100" s="2"/>
      <c r="W100" s="3"/>
      <c r="X100" s="82"/>
      <c r="Y100" s="82"/>
      <c r="Z100" s="5"/>
    </row>
    <row r="101" spans="1:26" s="43" customFormat="1" ht="17.399999999999999" x14ac:dyDescent="0.3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3"/>
      <c r="L101" s="3"/>
      <c r="M101" s="60"/>
      <c r="N101" s="60"/>
      <c r="O101" s="2"/>
      <c r="P101" s="72"/>
      <c r="Q101" s="1"/>
      <c r="R101" s="79"/>
      <c r="S101" s="2"/>
      <c r="T101" s="2"/>
      <c r="U101" s="2"/>
      <c r="V101" s="2"/>
      <c r="W101" s="3"/>
      <c r="X101" s="82"/>
      <c r="Y101" s="82"/>
      <c r="Z101" s="5"/>
    </row>
    <row r="102" spans="1:26" s="43" customFormat="1" ht="17.399999999999999" x14ac:dyDescent="0.3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3"/>
      <c r="L102" s="3"/>
      <c r="M102" s="60"/>
      <c r="N102" s="60"/>
      <c r="O102" s="2"/>
      <c r="P102" s="72"/>
      <c r="Q102" s="1"/>
      <c r="R102" s="79"/>
      <c r="S102" s="2"/>
      <c r="T102" s="2"/>
      <c r="U102" s="2"/>
      <c r="V102" s="2"/>
      <c r="W102" s="3"/>
      <c r="X102" s="82"/>
      <c r="Y102" s="82"/>
      <c r="Z102" s="5"/>
    </row>
    <row r="103" spans="1:26" s="43" customFormat="1" ht="17.399999999999999" x14ac:dyDescent="0.3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3"/>
      <c r="L103" s="3"/>
      <c r="M103" s="60"/>
      <c r="N103" s="60"/>
      <c r="O103" s="2"/>
      <c r="P103" s="72"/>
      <c r="Q103" s="1"/>
      <c r="R103" s="79"/>
      <c r="S103" s="2"/>
      <c r="T103" s="2"/>
      <c r="U103" s="2"/>
      <c r="V103" s="2"/>
      <c r="W103" s="3"/>
      <c r="X103" s="82"/>
      <c r="Y103" s="82"/>
      <c r="Z103" s="5"/>
    </row>
    <row r="104" spans="1:26" s="43" customFormat="1" ht="17.399999999999999" x14ac:dyDescent="0.3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3"/>
      <c r="L104" s="3"/>
      <c r="M104" s="60"/>
      <c r="N104" s="60"/>
      <c r="O104" s="2"/>
      <c r="P104" s="72"/>
      <c r="Q104" s="1"/>
      <c r="R104" s="79"/>
      <c r="S104" s="2"/>
      <c r="T104" s="2"/>
      <c r="U104" s="2"/>
      <c r="V104" s="2"/>
      <c r="W104" s="3"/>
      <c r="X104" s="82"/>
      <c r="Y104" s="82"/>
      <c r="Z104" s="5"/>
    </row>
    <row r="105" spans="1:26" s="43" customFormat="1" ht="17.399999999999999" x14ac:dyDescent="0.3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3"/>
      <c r="L105" s="3"/>
      <c r="M105" s="60"/>
      <c r="N105" s="60"/>
      <c r="O105" s="2"/>
      <c r="P105" s="72"/>
      <c r="Q105" s="1"/>
      <c r="R105" s="79"/>
      <c r="S105" s="2"/>
      <c r="T105" s="2"/>
      <c r="U105" s="2"/>
      <c r="V105" s="2"/>
      <c r="W105" s="3"/>
      <c r="X105" s="82"/>
      <c r="Y105" s="82"/>
      <c r="Z105" s="5"/>
    </row>
    <row r="106" spans="1:26" s="43" customFormat="1" ht="17.399999999999999" x14ac:dyDescent="0.3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3"/>
      <c r="L106" s="3"/>
      <c r="M106" s="60"/>
      <c r="N106" s="60"/>
      <c r="O106" s="2"/>
      <c r="P106" s="72"/>
      <c r="Q106" s="1"/>
      <c r="R106" s="79"/>
      <c r="S106" s="2"/>
      <c r="T106" s="2"/>
      <c r="U106" s="2"/>
      <c r="V106" s="2"/>
      <c r="W106" s="3"/>
      <c r="X106" s="82"/>
      <c r="Y106" s="82"/>
      <c r="Z106" s="5"/>
    </row>
    <row r="107" spans="1:26" s="43" customFormat="1" ht="17.399999999999999" x14ac:dyDescent="0.3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3"/>
      <c r="L107" s="3"/>
      <c r="M107" s="60"/>
      <c r="N107" s="60"/>
      <c r="O107" s="2"/>
      <c r="P107" s="72"/>
      <c r="Q107" s="1"/>
      <c r="R107" s="79"/>
      <c r="S107" s="2"/>
      <c r="T107" s="2"/>
      <c r="U107" s="2"/>
      <c r="V107" s="2"/>
      <c r="W107" s="3"/>
      <c r="X107" s="82"/>
      <c r="Y107" s="82"/>
      <c r="Z107" s="5"/>
    </row>
    <row r="108" spans="1:26" s="43" customFormat="1" ht="17.399999999999999" x14ac:dyDescent="0.3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3"/>
      <c r="L108" s="3"/>
      <c r="M108" s="60"/>
      <c r="N108" s="60"/>
      <c r="O108" s="2"/>
      <c r="P108" s="72"/>
      <c r="Q108" s="1"/>
      <c r="R108" s="79"/>
      <c r="S108" s="2"/>
      <c r="T108" s="2"/>
      <c r="U108" s="2"/>
      <c r="V108" s="2"/>
      <c r="W108" s="3"/>
      <c r="X108" s="82"/>
      <c r="Y108" s="82"/>
      <c r="Z108" s="5"/>
    </row>
    <row r="109" spans="1:26" s="43" customFormat="1" ht="17.399999999999999" x14ac:dyDescent="0.3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3"/>
      <c r="L109" s="3"/>
      <c r="M109" s="60"/>
      <c r="N109" s="60"/>
      <c r="O109" s="2"/>
      <c r="P109" s="72"/>
      <c r="Q109" s="1"/>
      <c r="R109" s="79"/>
      <c r="S109" s="2"/>
      <c r="T109" s="2"/>
      <c r="U109" s="2"/>
      <c r="V109" s="2"/>
      <c r="W109" s="3"/>
      <c r="X109" s="82"/>
      <c r="Y109" s="82"/>
      <c r="Z109" s="5"/>
    </row>
    <row r="110" spans="1:26" s="43" customFormat="1" ht="17.399999999999999" x14ac:dyDescent="0.3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3"/>
      <c r="L110" s="3"/>
      <c r="M110" s="60"/>
      <c r="N110" s="60"/>
      <c r="O110" s="2"/>
      <c r="P110" s="72"/>
      <c r="Q110" s="1"/>
      <c r="R110" s="79"/>
      <c r="S110" s="2"/>
      <c r="T110" s="2"/>
      <c r="U110" s="2"/>
      <c r="V110" s="2"/>
      <c r="W110" s="3"/>
      <c r="X110" s="82"/>
      <c r="Y110" s="82"/>
      <c r="Z110" s="5"/>
    </row>
    <row r="111" spans="1:26" s="43" customFormat="1" ht="17.399999999999999" x14ac:dyDescent="0.3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3"/>
      <c r="L111" s="3"/>
      <c r="M111" s="60"/>
      <c r="N111" s="60"/>
      <c r="O111" s="2"/>
      <c r="P111" s="72"/>
      <c r="Q111" s="1"/>
      <c r="R111" s="79"/>
      <c r="S111" s="2"/>
      <c r="T111" s="2"/>
      <c r="U111" s="2"/>
      <c r="V111" s="2"/>
      <c r="W111" s="3"/>
      <c r="X111" s="82"/>
      <c r="Y111" s="82"/>
      <c r="Z111" s="5"/>
    </row>
    <row r="112" spans="1:26" s="43" customFormat="1" ht="17.399999999999999" x14ac:dyDescent="0.3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3"/>
      <c r="L112" s="3"/>
      <c r="M112" s="60"/>
      <c r="N112" s="60"/>
      <c r="O112" s="2"/>
      <c r="P112" s="72"/>
      <c r="Q112" s="1"/>
      <c r="R112" s="79"/>
      <c r="S112" s="2"/>
      <c r="T112" s="2"/>
      <c r="U112" s="2"/>
      <c r="V112" s="2"/>
      <c r="W112" s="3"/>
      <c r="X112" s="82"/>
      <c r="Y112" s="82"/>
      <c r="Z112" s="5"/>
    </row>
    <row r="113" spans="1:26" s="43" customFormat="1" ht="17.399999999999999" x14ac:dyDescent="0.3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3"/>
      <c r="L113" s="3"/>
      <c r="M113" s="60"/>
      <c r="N113" s="60"/>
      <c r="O113" s="2"/>
      <c r="P113" s="72"/>
      <c r="Q113" s="1"/>
      <c r="R113" s="79"/>
      <c r="S113" s="2"/>
      <c r="T113" s="2"/>
      <c r="U113" s="2"/>
      <c r="V113" s="2"/>
      <c r="W113" s="3"/>
      <c r="X113" s="82"/>
      <c r="Y113" s="82"/>
      <c r="Z113" s="5"/>
    </row>
    <row r="114" spans="1:26" s="43" customFormat="1" ht="17.399999999999999" x14ac:dyDescent="0.3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3"/>
      <c r="L114" s="3"/>
      <c r="M114" s="60"/>
      <c r="N114" s="60"/>
      <c r="O114" s="2"/>
      <c r="P114" s="72"/>
      <c r="Q114" s="1"/>
      <c r="R114" s="79"/>
      <c r="S114" s="2"/>
      <c r="T114" s="2"/>
      <c r="U114" s="2"/>
      <c r="V114" s="2"/>
      <c r="W114" s="3"/>
      <c r="X114" s="82"/>
      <c r="Y114" s="82"/>
      <c r="Z114" s="5"/>
    </row>
    <row r="115" spans="1:26" s="43" customFormat="1" ht="17.399999999999999" x14ac:dyDescent="0.3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3"/>
      <c r="L115" s="3"/>
      <c r="M115" s="60"/>
      <c r="N115" s="60"/>
      <c r="O115" s="2"/>
      <c r="P115" s="72"/>
      <c r="Q115" s="1"/>
      <c r="R115" s="79"/>
      <c r="S115" s="2"/>
      <c r="T115" s="2"/>
      <c r="U115" s="2"/>
      <c r="V115" s="2"/>
      <c r="W115" s="3"/>
      <c r="X115" s="82"/>
      <c r="Y115" s="82"/>
      <c r="Z115" s="5"/>
    </row>
    <row r="116" spans="1:26" s="43" customFormat="1" ht="17.399999999999999" x14ac:dyDescent="0.3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3"/>
      <c r="L116" s="3"/>
      <c r="M116" s="60"/>
      <c r="N116" s="60"/>
      <c r="O116" s="2"/>
      <c r="P116" s="72"/>
      <c r="Q116" s="1"/>
      <c r="R116" s="79"/>
      <c r="S116" s="2"/>
      <c r="T116" s="2"/>
      <c r="U116" s="2"/>
      <c r="V116" s="2"/>
      <c r="W116" s="3"/>
      <c r="X116" s="82"/>
      <c r="Y116" s="82"/>
      <c r="Z116" s="5"/>
    </row>
    <row r="117" spans="1:26" s="43" customFormat="1" ht="17.399999999999999" x14ac:dyDescent="0.3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3"/>
      <c r="L117" s="3"/>
      <c r="M117" s="60"/>
      <c r="N117" s="60"/>
      <c r="O117" s="2"/>
      <c r="P117" s="72"/>
      <c r="Q117" s="1"/>
      <c r="R117" s="79"/>
      <c r="S117" s="2"/>
      <c r="T117" s="2"/>
      <c r="U117" s="2"/>
      <c r="V117" s="2"/>
      <c r="W117" s="3"/>
      <c r="X117" s="82"/>
      <c r="Y117" s="82"/>
      <c r="Z117" s="5"/>
    </row>
    <row r="118" spans="1:26" s="43" customFormat="1" ht="17.399999999999999" x14ac:dyDescent="0.3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3"/>
      <c r="L118" s="3"/>
      <c r="M118" s="60"/>
      <c r="N118" s="60"/>
      <c r="O118" s="2"/>
      <c r="P118" s="72"/>
      <c r="Q118" s="1"/>
      <c r="R118" s="79"/>
      <c r="S118" s="2"/>
      <c r="T118" s="2"/>
      <c r="U118" s="2"/>
      <c r="V118" s="2"/>
      <c r="W118" s="3"/>
      <c r="X118" s="82"/>
      <c r="Y118" s="82"/>
      <c r="Z118" s="5"/>
    </row>
    <row r="119" spans="1:26" s="43" customFormat="1" ht="17.399999999999999" x14ac:dyDescent="0.3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3"/>
      <c r="L119" s="3"/>
      <c r="M119" s="60"/>
      <c r="N119" s="60"/>
      <c r="O119" s="2"/>
      <c r="P119" s="72"/>
      <c r="Q119" s="1"/>
      <c r="R119" s="79"/>
      <c r="S119" s="2"/>
      <c r="T119" s="2"/>
      <c r="U119" s="2"/>
      <c r="V119" s="2"/>
      <c r="W119" s="3"/>
      <c r="X119" s="82"/>
      <c r="Y119" s="82"/>
      <c r="Z119" s="5"/>
    </row>
    <row r="120" spans="1:26" s="43" customFormat="1" ht="17.399999999999999" x14ac:dyDescent="0.3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3"/>
      <c r="L120" s="3"/>
      <c r="M120" s="60"/>
      <c r="N120" s="60"/>
      <c r="O120" s="2"/>
      <c r="P120" s="72"/>
      <c r="Q120" s="1"/>
      <c r="R120" s="79"/>
      <c r="S120" s="2"/>
      <c r="T120" s="2"/>
      <c r="U120" s="2"/>
      <c r="V120" s="2"/>
      <c r="W120" s="3"/>
      <c r="X120" s="82"/>
      <c r="Y120" s="82"/>
      <c r="Z120" s="5"/>
    </row>
    <row r="121" spans="1:26" s="43" customFormat="1" ht="17.399999999999999" x14ac:dyDescent="0.3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3"/>
      <c r="L121" s="3"/>
      <c r="M121" s="60"/>
      <c r="N121" s="60"/>
      <c r="O121" s="2"/>
      <c r="P121" s="72"/>
      <c r="Q121" s="1"/>
      <c r="R121" s="79"/>
      <c r="S121" s="2"/>
      <c r="T121" s="2"/>
      <c r="U121" s="2"/>
      <c r="V121" s="2"/>
      <c r="W121" s="3"/>
      <c r="X121" s="82"/>
      <c r="Y121" s="82"/>
      <c r="Z121" s="5"/>
    </row>
    <row r="122" spans="1:26" s="43" customFormat="1" ht="17.399999999999999" x14ac:dyDescent="0.3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3"/>
      <c r="L122" s="3"/>
      <c r="M122" s="60"/>
      <c r="N122" s="60"/>
      <c r="O122" s="2"/>
      <c r="P122" s="72"/>
      <c r="Q122" s="1"/>
      <c r="R122" s="79"/>
      <c r="S122" s="2"/>
      <c r="T122" s="2"/>
      <c r="U122" s="2"/>
      <c r="V122" s="2"/>
      <c r="W122" s="3"/>
      <c r="X122" s="82"/>
      <c r="Y122" s="82"/>
      <c r="Z122" s="5"/>
    </row>
    <row r="123" spans="1:26" s="43" customFormat="1" ht="17.399999999999999" x14ac:dyDescent="0.3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3"/>
      <c r="L123" s="3"/>
      <c r="M123" s="60"/>
      <c r="N123" s="60"/>
      <c r="O123" s="2"/>
      <c r="P123" s="72"/>
      <c r="Q123" s="1"/>
      <c r="R123" s="79"/>
      <c r="S123" s="2"/>
      <c r="T123" s="2"/>
      <c r="U123" s="2"/>
      <c r="V123" s="2"/>
      <c r="W123" s="3"/>
      <c r="X123" s="82"/>
      <c r="Y123" s="82"/>
      <c r="Z123" s="5"/>
    </row>
    <row r="124" spans="1:26" s="43" customFormat="1" ht="17.399999999999999" x14ac:dyDescent="0.3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3"/>
      <c r="L124" s="3"/>
      <c r="M124" s="60"/>
      <c r="N124" s="60"/>
      <c r="O124" s="2"/>
      <c r="P124" s="72"/>
      <c r="Q124" s="1"/>
      <c r="R124" s="79"/>
      <c r="S124" s="2"/>
      <c r="T124" s="2"/>
      <c r="U124" s="2"/>
      <c r="V124" s="2"/>
      <c r="W124" s="3"/>
      <c r="X124" s="82"/>
      <c r="Y124" s="82"/>
      <c r="Z124" s="5"/>
    </row>
    <row r="125" spans="1:26" s="43" customFormat="1" ht="17.399999999999999" x14ac:dyDescent="0.3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3"/>
      <c r="L125" s="3"/>
      <c r="M125" s="60"/>
      <c r="N125" s="60"/>
      <c r="O125" s="2"/>
      <c r="P125" s="72"/>
      <c r="Q125" s="1"/>
      <c r="R125" s="79"/>
      <c r="S125" s="2"/>
      <c r="T125" s="2"/>
      <c r="U125" s="2"/>
      <c r="V125" s="2"/>
      <c r="W125" s="3"/>
      <c r="X125" s="82"/>
      <c r="Y125" s="82"/>
      <c r="Z125" s="5"/>
    </row>
    <row r="126" spans="1:26" s="43" customFormat="1" ht="17.399999999999999" x14ac:dyDescent="0.3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3"/>
      <c r="L126" s="3"/>
      <c r="M126" s="60"/>
      <c r="N126" s="60"/>
      <c r="O126" s="2"/>
      <c r="P126" s="72"/>
      <c r="Q126" s="1"/>
      <c r="R126" s="79"/>
      <c r="S126" s="2"/>
      <c r="T126" s="2"/>
      <c r="U126" s="2"/>
      <c r="V126" s="2"/>
      <c r="W126" s="3"/>
      <c r="X126" s="82"/>
      <c r="Y126" s="82"/>
      <c r="Z126" s="5"/>
    </row>
    <row r="127" spans="1:26" s="43" customFormat="1" ht="17.399999999999999" x14ac:dyDescent="0.3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3"/>
      <c r="L127" s="3"/>
      <c r="M127" s="60"/>
      <c r="N127" s="60"/>
      <c r="O127" s="2"/>
      <c r="P127" s="72"/>
      <c r="Q127" s="1"/>
      <c r="R127" s="79"/>
      <c r="S127" s="2"/>
      <c r="T127" s="2"/>
      <c r="U127" s="2"/>
      <c r="V127" s="2"/>
      <c r="W127" s="3"/>
      <c r="X127" s="82"/>
      <c r="Y127" s="82"/>
      <c r="Z127" s="5"/>
    </row>
    <row r="128" spans="1:26" s="43" customFormat="1" ht="17.399999999999999" x14ac:dyDescent="0.3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3"/>
      <c r="L128" s="3"/>
      <c r="M128" s="60"/>
      <c r="N128" s="60"/>
      <c r="O128" s="2"/>
      <c r="P128" s="72"/>
      <c r="Q128" s="1"/>
      <c r="R128" s="79"/>
      <c r="S128" s="2"/>
      <c r="T128" s="2"/>
      <c r="U128" s="2"/>
      <c r="V128" s="2"/>
      <c r="W128" s="3"/>
      <c r="X128" s="82"/>
      <c r="Y128" s="82"/>
      <c r="Z128" s="5"/>
    </row>
    <row r="129" spans="1:26" s="43" customFormat="1" ht="17.399999999999999" x14ac:dyDescent="0.3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3"/>
      <c r="L129" s="3"/>
      <c r="M129" s="60"/>
      <c r="N129" s="60"/>
      <c r="O129" s="2"/>
      <c r="P129" s="72"/>
      <c r="Q129" s="1"/>
      <c r="R129" s="79"/>
      <c r="S129" s="2"/>
      <c r="T129" s="2"/>
      <c r="U129" s="2"/>
      <c r="V129" s="2"/>
      <c r="W129" s="3"/>
      <c r="X129" s="82"/>
      <c r="Y129" s="82"/>
      <c r="Z129" s="5"/>
    </row>
    <row r="130" spans="1:26" s="43" customFormat="1" ht="17.399999999999999" x14ac:dyDescent="0.3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3"/>
      <c r="L130" s="3"/>
      <c r="M130" s="60"/>
      <c r="N130" s="60"/>
      <c r="O130" s="2"/>
      <c r="P130" s="72"/>
      <c r="Q130" s="1"/>
      <c r="R130" s="79"/>
      <c r="S130" s="2"/>
      <c r="T130" s="2"/>
      <c r="U130" s="2"/>
      <c r="V130" s="2"/>
      <c r="W130" s="3"/>
      <c r="X130" s="82"/>
      <c r="Y130" s="82"/>
      <c r="Z130" s="5"/>
    </row>
    <row r="131" spans="1:26" s="43" customFormat="1" ht="17.399999999999999" x14ac:dyDescent="0.3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3"/>
      <c r="L131" s="3"/>
      <c r="M131" s="60"/>
      <c r="N131" s="60"/>
      <c r="O131" s="2"/>
      <c r="P131" s="72"/>
      <c r="Q131" s="1"/>
      <c r="R131" s="79"/>
      <c r="S131" s="2"/>
      <c r="T131" s="2"/>
      <c r="U131" s="2"/>
      <c r="V131" s="2"/>
      <c r="W131" s="3"/>
      <c r="X131" s="82"/>
      <c r="Y131" s="82"/>
      <c r="Z131" s="5"/>
    </row>
    <row r="132" spans="1:26" s="43" customFormat="1" ht="17.399999999999999" x14ac:dyDescent="0.3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3"/>
      <c r="L132" s="3"/>
      <c r="M132" s="60"/>
      <c r="N132" s="60"/>
      <c r="O132" s="2"/>
      <c r="P132" s="72"/>
      <c r="Q132" s="1"/>
      <c r="R132" s="79"/>
      <c r="S132" s="2"/>
      <c r="T132" s="2"/>
      <c r="U132" s="2"/>
      <c r="V132" s="2"/>
      <c r="W132" s="3"/>
      <c r="X132" s="82"/>
      <c r="Y132" s="82"/>
      <c r="Z132" s="5"/>
    </row>
    <row r="133" spans="1:26" s="43" customFormat="1" ht="17.399999999999999" x14ac:dyDescent="0.3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3"/>
      <c r="L133" s="3"/>
      <c r="M133" s="60"/>
      <c r="N133" s="60"/>
      <c r="O133" s="2"/>
      <c r="P133" s="72"/>
      <c r="Q133" s="1"/>
      <c r="R133" s="79"/>
      <c r="S133" s="2"/>
      <c r="T133" s="2"/>
      <c r="U133" s="2"/>
      <c r="V133" s="2"/>
      <c r="W133" s="3"/>
      <c r="X133" s="82"/>
      <c r="Y133" s="82"/>
      <c r="Z133" s="5"/>
    </row>
    <row r="134" spans="1:26" s="43" customFormat="1" ht="17.399999999999999" x14ac:dyDescent="0.3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3"/>
      <c r="L134" s="3"/>
      <c r="M134" s="60"/>
      <c r="N134" s="60"/>
      <c r="O134" s="2"/>
      <c r="P134" s="72"/>
      <c r="Q134" s="1"/>
      <c r="R134" s="79"/>
      <c r="S134" s="2"/>
      <c r="T134" s="2"/>
      <c r="U134" s="2"/>
      <c r="V134" s="2"/>
      <c r="W134" s="3"/>
      <c r="X134" s="82"/>
      <c r="Y134" s="82"/>
      <c r="Z134" s="5"/>
    </row>
    <row r="135" spans="1:26" s="43" customFormat="1" ht="17.399999999999999" x14ac:dyDescent="0.3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3"/>
      <c r="L135" s="3"/>
      <c r="M135" s="60"/>
      <c r="N135" s="60"/>
      <c r="O135" s="2"/>
      <c r="P135" s="72"/>
      <c r="Q135" s="1"/>
      <c r="R135" s="79"/>
      <c r="S135" s="2"/>
      <c r="T135" s="2"/>
      <c r="U135" s="2"/>
      <c r="V135" s="2"/>
      <c r="W135" s="3"/>
      <c r="X135" s="82"/>
      <c r="Y135" s="82"/>
      <c r="Z135" s="5"/>
    </row>
    <row r="136" spans="1:26" s="43" customFormat="1" ht="17.399999999999999" x14ac:dyDescent="0.3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3"/>
      <c r="L136" s="3"/>
      <c r="M136" s="60"/>
      <c r="N136" s="60"/>
      <c r="O136" s="2"/>
      <c r="P136" s="72"/>
      <c r="Q136" s="1"/>
      <c r="R136" s="79"/>
      <c r="S136" s="2"/>
      <c r="T136" s="2"/>
      <c r="U136" s="2"/>
      <c r="V136" s="2"/>
      <c r="W136" s="3"/>
      <c r="X136" s="82"/>
      <c r="Y136" s="82"/>
      <c r="Z136" s="5"/>
    </row>
    <row r="137" spans="1:26" s="43" customFormat="1" ht="17.399999999999999" x14ac:dyDescent="0.3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3"/>
      <c r="L137" s="3"/>
      <c r="M137" s="60"/>
      <c r="N137" s="60"/>
      <c r="O137" s="2"/>
      <c r="P137" s="72"/>
      <c r="Q137" s="1"/>
      <c r="R137" s="79"/>
      <c r="S137" s="2"/>
      <c r="T137" s="2"/>
      <c r="U137" s="2"/>
      <c r="V137" s="2"/>
      <c r="W137" s="3"/>
      <c r="X137" s="82"/>
      <c r="Y137" s="82"/>
      <c r="Z137" s="5"/>
    </row>
    <row r="138" spans="1:26" s="43" customFormat="1" ht="17.399999999999999" x14ac:dyDescent="0.3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3"/>
      <c r="L138" s="3"/>
      <c r="M138" s="60"/>
      <c r="N138" s="60"/>
      <c r="O138" s="2"/>
      <c r="P138" s="72"/>
      <c r="Q138" s="1"/>
      <c r="R138" s="79"/>
      <c r="S138" s="2"/>
      <c r="T138" s="2"/>
      <c r="U138" s="2"/>
      <c r="V138" s="2"/>
      <c r="W138" s="3"/>
      <c r="X138" s="82"/>
      <c r="Y138" s="82"/>
      <c r="Z138" s="5"/>
    </row>
    <row r="139" spans="1:26" s="43" customFormat="1" ht="17.399999999999999" x14ac:dyDescent="0.3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3"/>
      <c r="L139" s="3"/>
      <c r="M139" s="60"/>
      <c r="N139" s="60"/>
      <c r="O139" s="2"/>
      <c r="P139" s="72"/>
      <c r="Q139" s="1"/>
      <c r="R139" s="79"/>
      <c r="S139" s="2"/>
      <c r="T139" s="2"/>
      <c r="U139" s="2"/>
      <c r="V139" s="2"/>
      <c r="W139" s="3"/>
      <c r="X139" s="82"/>
      <c r="Y139" s="82"/>
      <c r="Z139" s="5"/>
    </row>
    <row r="140" spans="1:26" s="43" customFormat="1" ht="17.399999999999999" x14ac:dyDescent="0.3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3"/>
      <c r="L140" s="3"/>
      <c r="M140" s="60"/>
      <c r="N140" s="60"/>
      <c r="O140" s="2"/>
      <c r="P140" s="72"/>
      <c r="Q140" s="1"/>
      <c r="R140" s="79"/>
      <c r="S140" s="2"/>
      <c r="T140" s="2"/>
      <c r="U140" s="2"/>
      <c r="V140" s="2"/>
      <c r="W140" s="3"/>
      <c r="X140" s="82"/>
      <c r="Y140" s="82"/>
      <c r="Z140" s="5"/>
    </row>
    <row r="141" spans="1:26" s="43" customFormat="1" ht="17.399999999999999" x14ac:dyDescent="0.3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3"/>
      <c r="L141" s="3"/>
      <c r="M141" s="60"/>
      <c r="N141" s="60"/>
      <c r="O141" s="2"/>
      <c r="P141" s="72"/>
      <c r="Q141" s="1"/>
      <c r="R141" s="79"/>
      <c r="S141" s="2"/>
      <c r="T141" s="2"/>
      <c r="U141" s="2"/>
      <c r="V141" s="2"/>
      <c r="W141" s="3"/>
      <c r="X141" s="82"/>
      <c r="Y141" s="82"/>
      <c r="Z141" s="5"/>
    </row>
    <row r="142" spans="1:26" s="43" customFormat="1" ht="17.399999999999999" x14ac:dyDescent="0.3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3"/>
      <c r="L142" s="3"/>
      <c r="M142" s="60"/>
      <c r="N142" s="60"/>
      <c r="O142" s="2"/>
      <c r="P142" s="72"/>
      <c r="Q142" s="1"/>
      <c r="R142" s="79"/>
      <c r="S142" s="2"/>
      <c r="T142" s="2"/>
      <c r="U142" s="2"/>
      <c r="V142" s="2"/>
      <c r="W142" s="3"/>
      <c r="X142" s="82"/>
      <c r="Y142" s="82"/>
      <c r="Z142" s="5"/>
    </row>
    <row r="143" spans="1:26" s="43" customFormat="1" ht="17.399999999999999" x14ac:dyDescent="0.3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3"/>
      <c r="L143" s="3"/>
      <c r="M143" s="60"/>
      <c r="N143" s="60"/>
      <c r="O143" s="2"/>
      <c r="P143" s="72"/>
      <c r="Q143" s="1"/>
      <c r="R143" s="79"/>
      <c r="S143" s="2"/>
      <c r="T143" s="2"/>
      <c r="U143" s="2"/>
      <c r="V143" s="2"/>
      <c r="W143" s="3"/>
      <c r="X143" s="82"/>
      <c r="Y143" s="82"/>
      <c r="Z143" s="5"/>
    </row>
    <row r="144" spans="1:26" s="43" customFormat="1" ht="17.399999999999999" x14ac:dyDescent="0.3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3"/>
      <c r="L144" s="3"/>
      <c r="M144" s="60"/>
      <c r="N144" s="60"/>
      <c r="O144" s="2"/>
      <c r="P144" s="72"/>
      <c r="Q144" s="1"/>
      <c r="R144" s="79"/>
      <c r="S144" s="2"/>
      <c r="T144" s="2"/>
      <c r="U144" s="2"/>
      <c r="V144" s="2"/>
      <c r="W144" s="3"/>
      <c r="X144" s="82"/>
      <c r="Y144" s="82"/>
      <c r="Z144" s="5"/>
    </row>
    <row r="145" spans="1:26" s="43" customFormat="1" ht="17.399999999999999" x14ac:dyDescent="0.3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3"/>
      <c r="L145" s="3"/>
      <c r="M145" s="60"/>
      <c r="N145" s="60"/>
      <c r="O145" s="2"/>
      <c r="P145" s="72"/>
      <c r="Q145" s="1"/>
      <c r="R145" s="79"/>
      <c r="S145" s="2"/>
      <c r="T145" s="2"/>
      <c r="U145" s="2"/>
      <c r="V145" s="2"/>
      <c r="W145" s="3"/>
      <c r="X145" s="82"/>
      <c r="Y145" s="82"/>
      <c r="Z145" s="5"/>
    </row>
    <row r="146" spans="1:26" s="43" customFormat="1" ht="17.399999999999999" x14ac:dyDescent="0.3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3"/>
      <c r="L146" s="3"/>
      <c r="M146" s="60"/>
      <c r="N146" s="60"/>
      <c r="O146" s="2"/>
      <c r="P146" s="72"/>
      <c r="Q146" s="1"/>
      <c r="R146" s="79"/>
      <c r="S146" s="2"/>
      <c r="T146" s="2"/>
      <c r="U146" s="2"/>
      <c r="V146" s="2"/>
      <c r="W146" s="3"/>
      <c r="X146" s="82"/>
      <c r="Y146" s="82"/>
      <c r="Z146" s="5"/>
    </row>
    <row r="147" spans="1:26" s="43" customFormat="1" ht="17.399999999999999" x14ac:dyDescent="0.3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3"/>
      <c r="L147" s="3"/>
      <c r="M147" s="60"/>
      <c r="N147" s="60"/>
      <c r="O147" s="2"/>
      <c r="P147" s="72"/>
      <c r="Q147" s="1"/>
      <c r="R147" s="79"/>
      <c r="S147" s="2"/>
      <c r="T147" s="2"/>
      <c r="U147" s="2"/>
      <c r="V147" s="2"/>
      <c r="W147" s="3"/>
      <c r="X147" s="82"/>
      <c r="Y147" s="82"/>
      <c r="Z147" s="5"/>
    </row>
    <row r="148" spans="1:26" s="43" customFormat="1" ht="17.399999999999999" x14ac:dyDescent="0.3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3"/>
      <c r="L148" s="3"/>
      <c r="M148" s="60"/>
      <c r="N148" s="60"/>
      <c r="O148" s="2"/>
      <c r="P148" s="72"/>
      <c r="Q148" s="1"/>
      <c r="R148" s="79"/>
      <c r="S148" s="2"/>
      <c r="T148" s="2"/>
      <c r="U148" s="2"/>
      <c r="V148" s="2"/>
      <c r="W148" s="3"/>
      <c r="X148" s="82"/>
      <c r="Y148" s="82"/>
      <c r="Z148" s="5"/>
    </row>
    <row r="149" spans="1:26" s="43" customFormat="1" ht="17.399999999999999" x14ac:dyDescent="0.3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3"/>
      <c r="L149" s="3"/>
      <c r="M149" s="60"/>
      <c r="N149" s="60"/>
      <c r="O149" s="2"/>
      <c r="P149" s="72"/>
      <c r="Q149" s="1"/>
      <c r="R149" s="79"/>
      <c r="S149" s="2"/>
      <c r="T149" s="2"/>
      <c r="U149" s="2"/>
      <c r="V149" s="2"/>
      <c r="W149" s="3"/>
      <c r="X149" s="82"/>
      <c r="Y149" s="82"/>
      <c r="Z149" s="5"/>
    </row>
    <row r="150" spans="1:26" s="43" customFormat="1" ht="17.399999999999999" x14ac:dyDescent="0.3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3"/>
      <c r="L150" s="3"/>
      <c r="M150" s="60"/>
      <c r="N150" s="60"/>
      <c r="O150" s="2"/>
      <c r="P150" s="72"/>
      <c r="Q150" s="1"/>
      <c r="R150" s="79"/>
      <c r="S150" s="2"/>
      <c r="T150" s="2"/>
      <c r="U150" s="2"/>
      <c r="V150" s="2"/>
      <c r="W150" s="3"/>
      <c r="X150" s="82"/>
      <c r="Y150" s="82"/>
      <c r="Z150" s="5"/>
    </row>
    <row r="151" spans="1:26" s="43" customFormat="1" ht="17.399999999999999" x14ac:dyDescent="0.3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3"/>
      <c r="L151" s="3"/>
      <c r="M151" s="60"/>
      <c r="N151" s="60"/>
      <c r="O151" s="2"/>
      <c r="P151" s="72"/>
      <c r="Q151" s="1"/>
      <c r="R151" s="79"/>
      <c r="S151" s="2"/>
      <c r="T151" s="2"/>
      <c r="U151" s="2"/>
      <c r="V151" s="2"/>
      <c r="W151" s="3"/>
      <c r="X151" s="82"/>
      <c r="Y151" s="82"/>
      <c r="Z151" s="5"/>
    </row>
    <row r="152" spans="1:26" s="43" customFormat="1" ht="17.399999999999999" x14ac:dyDescent="0.3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3"/>
      <c r="L152" s="3"/>
      <c r="M152" s="60"/>
      <c r="N152" s="60"/>
      <c r="O152" s="2"/>
      <c r="P152" s="72"/>
      <c r="Q152" s="1"/>
      <c r="R152" s="79"/>
      <c r="S152" s="2"/>
      <c r="T152" s="2"/>
      <c r="U152" s="2"/>
      <c r="V152" s="2"/>
      <c r="W152" s="3"/>
      <c r="X152" s="82"/>
      <c r="Y152" s="82"/>
      <c r="Z152" s="5"/>
    </row>
    <row r="153" spans="1:26" s="43" customFormat="1" ht="17.399999999999999" x14ac:dyDescent="0.3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3"/>
      <c r="L153" s="3"/>
      <c r="M153" s="60"/>
      <c r="N153" s="60"/>
      <c r="O153" s="2"/>
      <c r="P153" s="72"/>
      <c r="Q153" s="1"/>
      <c r="R153" s="79"/>
      <c r="S153" s="2"/>
      <c r="T153" s="2"/>
      <c r="U153" s="2"/>
      <c r="V153" s="2"/>
      <c r="W153" s="3"/>
      <c r="X153" s="82"/>
      <c r="Y153" s="82"/>
      <c r="Z153" s="5"/>
    </row>
    <row r="154" spans="1:26" s="43" customFormat="1" ht="17.399999999999999" x14ac:dyDescent="0.3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3"/>
      <c r="L154" s="3"/>
      <c r="M154" s="60"/>
      <c r="N154" s="60"/>
      <c r="O154" s="2"/>
      <c r="P154" s="72"/>
      <c r="Q154" s="1"/>
      <c r="R154" s="79"/>
      <c r="S154" s="2"/>
      <c r="T154" s="2"/>
      <c r="U154" s="2"/>
      <c r="V154" s="2"/>
      <c r="W154" s="3"/>
      <c r="X154" s="82"/>
      <c r="Y154" s="82"/>
      <c r="Z154" s="5"/>
    </row>
    <row r="155" spans="1:26" s="43" customFormat="1" ht="17.399999999999999" x14ac:dyDescent="0.3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3"/>
      <c r="L155" s="3"/>
      <c r="M155" s="60"/>
      <c r="N155" s="60"/>
      <c r="O155" s="2"/>
      <c r="P155" s="72"/>
      <c r="Q155" s="1"/>
      <c r="R155" s="79"/>
      <c r="S155" s="2"/>
      <c r="T155" s="2"/>
      <c r="U155" s="2"/>
      <c r="V155" s="2"/>
      <c r="W155" s="3"/>
      <c r="X155" s="82"/>
      <c r="Y155" s="82"/>
      <c r="Z155" s="5"/>
    </row>
    <row r="156" spans="1:26" s="43" customFormat="1" ht="17.399999999999999" x14ac:dyDescent="0.3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3"/>
      <c r="L156" s="3"/>
      <c r="M156" s="60"/>
      <c r="N156" s="60"/>
      <c r="O156" s="2"/>
      <c r="P156" s="72"/>
      <c r="Q156" s="1"/>
      <c r="R156" s="79"/>
      <c r="S156" s="2"/>
      <c r="T156" s="2"/>
      <c r="U156" s="2"/>
      <c r="V156" s="2"/>
      <c r="W156" s="3"/>
      <c r="X156" s="82"/>
      <c r="Y156" s="82"/>
      <c r="Z156" s="5"/>
    </row>
    <row r="157" spans="1:26" s="43" customFormat="1" ht="17.399999999999999" x14ac:dyDescent="0.3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3"/>
      <c r="L157" s="3"/>
      <c r="M157" s="60"/>
      <c r="N157" s="60"/>
      <c r="O157" s="2"/>
      <c r="P157" s="72"/>
      <c r="Q157" s="1"/>
      <c r="R157" s="79"/>
      <c r="S157" s="2"/>
      <c r="T157" s="2"/>
      <c r="U157" s="2"/>
      <c r="V157" s="2"/>
      <c r="W157" s="3"/>
      <c r="X157" s="82"/>
      <c r="Y157" s="82"/>
      <c r="Z157" s="5"/>
    </row>
    <row r="158" spans="1:26" s="43" customFormat="1" ht="17.399999999999999" x14ac:dyDescent="0.3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3"/>
      <c r="L158" s="3"/>
      <c r="M158" s="60"/>
      <c r="N158" s="60"/>
      <c r="O158" s="2"/>
      <c r="P158" s="72"/>
      <c r="Q158" s="1"/>
      <c r="R158" s="79"/>
      <c r="S158" s="2"/>
      <c r="T158" s="2"/>
      <c r="U158" s="2"/>
      <c r="V158" s="2"/>
      <c r="W158" s="3"/>
      <c r="X158" s="82"/>
      <c r="Y158" s="82"/>
      <c r="Z158" s="5"/>
    </row>
    <row r="159" spans="1:26" s="43" customFormat="1" ht="17.399999999999999" x14ac:dyDescent="0.3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3"/>
      <c r="L159" s="3"/>
      <c r="M159" s="60"/>
      <c r="N159" s="60"/>
      <c r="O159" s="2"/>
      <c r="P159" s="72"/>
      <c r="Q159" s="1"/>
      <c r="R159" s="79"/>
      <c r="S159" s="2"/>
      <c r="T159" s="2"/>
      <c r="U159" s="2"/>
      <c r="V159" s="2"/>
      <c r="W159" s="3"/>
      <c r="X159" s="82"/>
      <c r="Y159" s="82"/>
      <c r="Z159" s="5"/>
    </row>
    <row r="160" spans="1:26" s="43" customFormat="1" ht="17.399999999999999" x14ac:dyDescent="0.3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3"/>
      <c r="L160" s="3"/>
      <c r="M160" s="60"/>
      <c r="N160" s="60"/>
      <c r="O160" s="2"/>
      <c r="P160" s="72"/>
      <c r="Q160" s="1"/>
      <c r="R160" s="79"/>
      <c r="S160" s="2"/>
      <c r="T160" s="2"/>
      <c r="U160" s="2"/>
      <c r="V160" s="2"/>
      <c r="W160" s="3"/>
      <c r="X160" s="82"/>
      <c r="Y160" s="82"/>
      <c r="Z160" s="5"/>
    </row>
    <row r="161" spans="1:26" s="43" customFormat="1" ht="17.399999999999999" x14ac:dyDescent="0.3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3"/>
      <c r="L161" s="3"/>
      <c r="M161" s="60"/>
      <c r="N161" s="60"/>
      <c r="O161" s="2"/>
      <c r="P161" s="72"/>
      <c r="Q161" s="1"/>
      <c r="R161" s="79"/>
      <c r="S161" s="2"/>
      <c r="T161" s="2"/>
      <c r="U161" s="2"/>
      <c r="V161" s="2"/>
      <c r="W161" s="3"/>
      <c r="X161" s="82"/>
      <c r="Y161" s="82"/>
      <c r="Z161" s="5"/>
    </row>
    <row r="162" spans="1:26" s="43" customFormat="1" ht="17.399999999999999" x14ac:dyDescent="0.3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3"/>
      <c r="L162" s="3"/>
      <c r="M162" s="60"/>
      <c r="N162" s="60"/>
      <c r="O162" s="2"/>
      <c r="P162" s="72"/>
      <c r="Q162" s="1"/>
      <c r="R162" s="79"/>
      <c r="S162" s="2"/>
      <c r="T162" s="2"/>
      <c r="U162" s="2"/>
      <c r="V162" s="2"/>
      <c r="W162" s="3"/>
      <c r="X162" s="82"/>
      <c r="Y162" s="82"/>
      <c r="Z162" s="5"/>
    </row>
    <row r="163" spans="1:26" s="43" customFormat="1" ht="17.399999999999999" x14ac:dyDescent="0.3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3"/>
      <c r="L163" s="3"/>
      <c r="M163" s="60"/>
      <c r="N163" s="60"/>
      <c r="O163" s="2"/>
      <c r="P163" s="72"/>
      <c r="Q163" s="1"/>
      <c r="R163" s="79"/>
      <c r="S163" s="2"/>
      <c r="T163" s="2"/>
      <c r="U163" s="2"/>
      <c r="V163" s="2"/>
      <c r="W163" s="3"/>
      <c r="X163" s="82"/>
      <c r="Y163" s="82"/>
      <c r="Z163" s="5"/>
    </row>
    <row r="164" spans="1:26" s="43" customFormat="1" ht="17.399999999999999" x14ac:dyDescent="0.3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3"/>
      <c r="L164" s="3"/>
      <c r="M164" s="60"/>
      <c r="N164" s="60"/>
      <c r="O164" s="2"/>
      <c r="P164" s="72"/>
      <c r="Q164" s="1"/>
      <c r="R164" s="79"/>
      <c r="S164" s="2"/>
      <c r="T164" s="2"/>
      <c r="U164" s="2"/>
      <c r="V164" s="2"/>
      <c r="W164" s="3"/>
      <c r="X164" s="82"/>
      <c r="Y164" s="82"/>
      <c r="Z164" s="5"/>
    </row>
    <row r="165" spans="1:26" s="43" customFormat="1" ht="17.399999999999999" x14ac:dyDescent="0.3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3"/>
      <c r="L165" s="3"/>
      <c r="M165" s="60"/>
      <c r="N165" s="60"/>
      <c r="O165" s="2"/>
      <c r="P165" s="72"/>
      <c r="Q165" s="1"/>
      <c r="R165" s="79"/>
      <c r="S165" s="2"/>
      <c r="T165" s="2"/>
      <c r="U165" s="2"/>
      <c r="V165" s="2"/>
      <c r="W165" s="3"/>
      <c r="X165" s="82"/>
      <c r="Y165" s="82"/>
      <c r="Z165" s="5"/>
    </row>
    <row r="166" spans="1:26" s="43" customFormat="1" ht="17.399999999999999" x14ac:dyDescent="0.3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3"/>
      <c r="L166" s="3"/>
      <c r="M166" s="60"/>
      <c r="N166" s="60"/>
      <c r="O166" s="2"/>
      <c r="P166" s="72"/>
      <c r="Q166" s="1"/>
      <c r="R166" s="79"/>
      <c r="S166" s="2"/>
      <c r="T166" s="2"/>
      <c r="U166" s="2"/>
      <c r="V166" s="2"/>
      <c r="W166" s="3"/>
      <c r="X166" s="82"/>
      <c r="Y166" s="82"/>
      <c r="Z166" s="5"/>
    </row>
    <row r="167" spans="1:26" s="43" customFormat="1" ht="17.399999999999999" x14ac:dyDescent="0.3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3"/>
      <c r="L167" s="3"/>
      <c r="M167" s="60"/>
      <c r="N167" s="60"/>
      <c r="O167" s="2"/>
      <c r="P167" s="72"/>
      <c r="Q167" s="1"/>
      <c r="R167" s="79"/>
      <c r="S167" s="2"/>
      <c r="T167" s="2"/>
      <c r="U167" s="2"/>
      <c r="V167" s="2"/>
      <c r="W167" s="3"/>
      <c r="X167" s="82"/>
      <c r="Y167" s="82"/>
      <c r="Z167" s="5"/>
    </row>
    <row r="168" spans="1:26" s="43" customFormat="1" ht="17.399999999999999" x14ac:dyDescent="0.3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3"/>
      <c r="L168" s="3"/>
      <c r="M168" s="60"/>
      <c r="N168" s="60"/>
      <c r="O168" s="2"/>
      <c r="P168" s="72"/>
      <c r="Q168" s="1"/>
      <c r="R168" s="79"/>
      <c r="S168" s="2"/>
      <c r="T168" s="2"/>
      <c r="U168" s="2"/>
      <c r="V168" s="2"/>
      <c r="W168" s="3"/>
      <c r="X168" s="82"/>
      <c r="Y168" s="82"/>
      <c r="Z168" s="5"/>
    </row>
    <row r="169" spans="1:26" s="43" customFormat="1" ht="17.399999999999999" x14ac:dyDescent="0.3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3"/>
      <c r="L169" s="3"/>
      <c r="M169" s="60"/>
      <c r="N169" s="60"/>
      <c r="O169" s="2"/>
      <c r="P169" s="72"/>
      <c r="Q169" s="1"/>
      <c r="R169" s="79"/>
      <c r="S169" s="2"/>
      <c r="T169" s="2"/>
      <c r="U169" s="2"/>
      <c r="V169" s="2"/>
      <c r="W169" s="3"/>
      <c r="X169" s="82"/>
      <c r="Y169" s="82"/>
      <c r="Z169" s="5"/>
    </row>
    <row r="170" spans="1:26" s="43" customFormat="1" ht="17.399999999999999" x14ac:dyDescent="0.3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3"/>
      <c r="L170" s="3"/>
      <c r="M170" s="60"/>
      <c r="N170" s="60"/>
      <c r="O170" s="2"/>
      <c r="P170" s="72"/>
      <c r="Q170" s="1"/>
      <c r="R170" s="79"/>
      <c r="S170" s="2"/>
      <c r="T170" s="2"/>
      <c r="U170" s="2"/>
      <c r="V170" s="2"/>
      <c r="W170" s="3"/>
      <c r="X170" s="82"/>
      <c r="Y170" s="82"/>
      <c r="Z170" s="5"/>
    </row>
    <row r="171" spans="1:26" s="43" customFormat="1" ht="17.399999999999999" x14ac:dyDescent="0.3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3"/>
      <c r="L171" s="3"/>
      <c r="M171" s="60"/>
      <c r="N171" s="60"/>
      <c r="O171" s="2"/>
      <c r="P171" s="72"/>
      <c r="Q171" s="1"/>
      <c r="R171" s="79"/>
      <c r="S171" s="2"/>
      <c r="T171" s="2"/>
      <c r="U171" s="2"/>
      <c r="V171" s="2"/>
      <c r="W171" s="3"/>
      <c r="X171" s="82"/>
      <c r="Y171" s="82"/>
      <c r="Z171" s="5"/>
    </row>
    <row r="172" spans="1:26" s="43" customFormat="1" ht="17.399999999999999" x14ac:dyDescent="0.3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3"/>
      <c r="L172" s="3"/>
      <c r="M172" s="60"/>
      <c r="N172" s="60"/>
      <c r="O172" s="2"/>
      <c r="P172" s="72"/>
      <c r="Q172" s="1"/>
      <c r="R172" s="79"/>
      <c r="S172" s="2"/>
      <c r="T172" s="2"/>
      <c r="U172" s="2"/>
      <c r="V172" s="2"/>
      <c r="W172" s="3"/>
      <c r="X172" s="82"/>
      <c r="Y172" s="82"/>
      <c r="Z172" s="5"/>
    </row>
    <row r="173" spans="1:26" s="43" customFormat="1" ht="17.399999999999999" x14ac:dyDescent="0.3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3"/>
      <c r="L173" s="3"/>
      <c r="M173" s="60"/>
      <c r="N173" s="60"/>
      <c r="O173" s="2"/>
      <c r="P173" s="72"/>
      <c r="Q173" s="1"/>
      <c r="R173" s="79"/>
      <c r="S173" s="2"/>
      <c r="T173" s="2"/>
      <c r="U173" s="2"/>
      <c r="V173" s="2"/>
      <c r="W173" s="3"/>
      <c r="X173" s="82"/>
      <c r="Y173" s="82"/>
      <c r="Z173" s="5"/>
    </row>
    <row r="174" spans="1:26" s="43" customFormat="1" ht="17.399999999999999" x14ac:dyDescent="0.3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3"/>
      <c r="L174" s="3"/>
      <c r="M174" s="60"/>
      <c r="N174" s="60"/>
      <c r="O174" s="2"/>
      <c r="P174" s="72"/>
      <c r="Q174" s="1"/>
      <c r="R174" s="79"/>
      <c r="S174" s="2"/>
      <c r="T174" s="2"/>
      <c r="U174" s="2"/>
      <c r="V174" s="2"/>
      <c r="W174" s="3"/>
      <c r="X174" s="82"/>
      <c r="Y174" s="82"/>
      <c r="Z174" s="5"/>
    </row>
    <row r="175" spans="1:26" s="43" customFormat="1" ht="17.399999999999999" x14ac:dyDescent="0.3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3"/>
      <c r="L175" s="3"/>
      <c r="M175" s="60"/>
      <c r="N175" s="60"/>
      <c r="O175" s="2"/>
      <c r="P175" s="72"/>
      <c r="Q175" s="1"/>
      <c r="R175" s="79"/>
      <c r="S175" s="2"/>
      <c r="T175" s="2"/>
      <c r="U175" s="2"/>
      <c r="V175" s="2"/>
      <c r="W175" s="3"/>
      <c r="X175" s="82"/>
      <c r="Y175" s="82"/>
      <c r="Z175" s="5"/>
    </row>
    <row r="176" spans="1:26" s="43" customFormat="1" ht="17.399999999999999" x14ac:dyDescent="0.3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3"/>
      <c r="L176" s="3"/>
      <c r="M176" s="60"/>
      <c r="N176" s="60"/>
      <c r="O176" s="2"/>
      <c r="P176" s="72"/>
      <c r="Q176" s="1"/>
      <c r="R176" s="79"/>
      <c r="S176" s="2"/>
      <c r="T176" s="2"/>
      <c r="U176" s="2"/>
      <c r="V176" s="2"/>
      <c r="W176" s="3"/>
      <c r="X176" s="82"/>
      <c r="Y176" s="82"/>
      <c r="Z176" s="5"/>
    </row>
    <row r="177" spans="1:35" s="43" customFormat="1" ht="17.399999999999999" x14ac:dyDescent="0.3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3"/>
      <c r="L177" s="3"/>
      <c r="M177" s="60"/>
      <c r="N177" s="60"/>
      <c r="O177" s="2"/>
      <c r="P177" s="72"/>
      <c r="Q177" s="1"/>
      <c r="R177" s="79"/>
      <c r="S177" s="2"/>
      <c r="T177" s="2"/>
      <c r="U177" s="2"/>
      <c r="V177" s="2"/>
      <c r="W177" s="3"/>
      <c r="X177" s="82"/>
      <c r="Y177" s="82"/>
      <c r="Z177" s="5"/>
    </row>
    <row r="178" spans="1:35" s="43" customFormat="1" ht="17.399999999999999" x14ac:dyDescent="0.3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3"/>
      <c r="L178" s="3"/>
      <c r="M178" s="60"/>
      <c r="N178" s="60"/>
      <c r="O178" s="2"/>
      <c r="P178" s="72"/>
      <c r="Q178" s="1"/>
      <c r="R178" s="79"/>
      <c r="S178" s="2"/>
      <c r="T178" s="2"/>
      <c r="U178" s="2"/>
      <c r="V178" s="2"/>
      <c r="W178" s="3"/>
      <c r="X178" s="82"/>
      <c r="Y178" s="82"/>
      <c r="Z178" s="5"/>
    </row>
    <row r="179" spans="1:35" s="43" customFormat="1" ht="17.399999999999999" x14ac:dyDescent="0.3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3"/>
      <c r="L179" s="3"/>
      <c r="M179" s="60"/>
      <c r="N179" s="60"/>
      <c r="O179" s="2"/>
      <c r="P179" s="72"/>
      <c r="Q179" s="1"/>
      <c r="R179" s="79"/>
      <c r="S179" s="2"/>
      <c r="T179" s="2"/>
      <c r="U179" s="2"/>
      <c r="V179" s="2"/>
      <c r="W179" s="3"/>
      <c r="X179" s="82"/>
      <c r="Y179" s="82"/>
      <c r="Z179" s="5"/>
    </row>
    <row r="180" spans="1:35" s="43" customFormat="1" ht="17.399999999999999" x14ac:dyDescent="0.3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3"/>
      <c r="L180" s="3"/>
      <c r="M180" s="60"/>
      <c r="N180" s="60"/>
      <c r="O180" s="2"/>
      <c r="P180" s="72"/>
      <c r="Q180" s="1"/>
      <c r="R180" s="79"/>
      <c r="S180" s="2"/>
      <c r="T180" s="2"/>
      <c r="U180" s="2"/>
      <c r="V180" s="2"/>
      <c r="W180" s="3"/>
      <c r="X180" s="82"/>
      <c r="Y180" s="82"/>
      <c r="Z180" s="5"/>
      <c r="AB180" s="58"/>
      <c r="AC180" s="58"/>
      <c r="AD180" s="58"/>
      <c r="AE180" s="58"/>
      <c r="AF180" s="59"/>
      <c r="AG180" s="59"/>
      <c r="AH180" s="59"/>
      <c r="AI180" s="59"/>
    </row>
  </sheetData>
  <mergeCells count="1">
    <mergeCell ref="F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Shrawon</vt:lpstr>
      <vt:lpstr>Bhadra</vt:lpstr>
      <vt:lpstr>Aswin</vt:lpstr>
      <vt:lpstr>Kartik</vt:lpstr>
      <vt:lpstr>Mangsir</vt:lpstr>
      <vt:lpstr>Poush</vt:lpstr>
      <vt:lpstr>Magh</vt:lpstr>
      <vt:lpstr>Falgun</vt:lpstr>
      <vt:lpstr>Chaitra</vt:lpstr>
      <vt:lpstr>Baisakh</vt:lpstr>
      <vt:lpstr>Jeastha</vt:lpstr>
      <vt:lpstr>Asar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aleeda maharjan</dc:creator>
  <cp:lastModifiedBy>Rahul Shakya</cp:lastModifiedBy>
  <dcterms:created xsi:type="dcterms:W3CDTF">2023-11-06T14:04:09Z</dcterms:created>
  <dcterms:modified xsi:type="dcterms:W3CDTF">2023-11-19T06:31:35Z</dcterms:modified>
</cp:coreProperties>
</file>