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lm\OneDrive\Documents\databootcamp\kickstarter\"/>
    </mc:Choice>
  </mc:AlternateContent>
  <xr:revisionPtr revIDLastSave="0" documentId="13_ncr:1_{1CC684A1-93F7-4715-8348-72D15483E1D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Outcomes based on launch date" sheetId="7" r:id="rId1"/>
    <sheet name="Theater outcomes by Launch Date" sheetId="14" r:id="rId2"/>
    <sheet name="Sheet3" sheetId="15" r:id="rId3"/>
    <sheet name="Kickstarter" sheetId="1" r:id="rId4"/>
    <sheet name="Sheet11" sheetId="11" r:id="rId5"/>
    <sheet name="edinurgh research" sheetId="8" r:id="rId6"/>
    <sheet name="category statistics" sheetId="3" r:id="rId7"/>
    <sheet name="subcategory statistics" sheetId="4" r:id="rId8"/>
  </sheets>
  <definedNames>
    <definedName name="_xlnm._FilterDatabase" localSheetId="3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5" l="1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H3" i="15"/>
  <c r="H4" i="15"/>
  <c r="H5" i="15"/>
  <c r="H6" i="15"/>
  <c r="H7" i="15"/>
  <c r="H8" i="15"/>
  <c r="H9" i="15"/>
  <c r="H10" i="15"/>
  <c r="H11" i="15"/>
  <c r="H12" i="15"/>
  <c r="H13" i="15"/>
  <c r="H2" i="15"/>
  <c r="G2" i="15"/>
  <c r="F2" i="15"/>
  <c r="E5" i="15"/>
  <c r="E6" i="15"/>
  <c r="E7" i="15"/>
  <c r="E8" i="15"/>
  <c r="E9" i="15"/>
  <c r="E10" i="15"/>
  <c r="E11" i="15"/>
  <c r="E12" i="15"/>
  <c r="E13" i="15"/>
  <c r="E4" i="15"/>
  <c r="E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9" i="15"/>
  <c r="B8" i="15"/>
  <c r="B7" i="15"/>
  <c r="B6" i="15"/>
  <c r="B5" i="15"/>
  <c r="B4" i="15"/>
  <c r="B3" i="15"/>
  <c r="B2" i="15"/>
  <c r="B10" i="15"/>
  <c r="C14" i="11"/>
  <c r="C6" i="11"/>
  <c r="C13" i="11"/>
  <c r="C15" i="11" s="1"/>
  <c r="C5" i="11"/>
  <c r="C12" i="11"/>
  <c r="B12" i="11"/>
  <c r="B15" i="11"/>
  <c r="B14" i="11"/>
  <c r="B6" i="11"/>
  <c r="B13" i="11"/>
  <c r="B5" i="11"/>
  <c r="B4" i="11"/>
  <c r="C4" i="11"/>
  <c r="C11" i="11"/>
  <c r="B11" i="11"/>
  <c r="C10" i="11"/>
  <c r="B10" i="11"/>
  <c r="C3" i="11"/>
  <c r="B3" i="11"/>
  <c r="C2" i="11"/>
  <c r="B2" i="11"/>
  <c r="C3" i="8"/>
  <c r="C4" i="8"/>
  <c r="C5" i="8"/>
  <c r="C6" i="8"/>
  <c r="C2" i="8"/>
  <c r="B2" i="8"/>
  <c r="B3" i="8"/>
  <c r="B4" i="8"/>
  <c r="B5" i="8"/>
  <c r="B6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7" i="11" l="1"/>
  <c r="C7" i="1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<sst xmlns="http://schemas.openxmlformats.org/spreadsheetml/2006/main" count="33048" uniqueCount="8419">
  <si>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</si>
  <si>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</si>
  <si>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</si>
  <si>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</si>
  <si>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</si>
  <si>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</si>
  <si>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</si>
  <si>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</si>
  <si>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</si>
  <si>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</si>
  <si>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</si>
  <si>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</si>
  <si>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</si>
  <si>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</si>
  <si>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</si>
  <si>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</si>
  <si>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</si>
  <si>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</si>
  <si>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</si>
  <si>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</si>
  <si>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</si>
  <si>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</si>
  <si>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</si>
  <si>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</si>
  <si>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</si>
  <si>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</si>
  <si>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</si>
  <si>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</si>
  <si>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</si>
  <si>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</si>
  <si>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</si>
  <si>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</si>
  <si>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</si>
  <si>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</si>
  <si>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</si>
  <si>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</si>
  <si>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</si>
  <si>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</si>
  <si>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</si>
  <si>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</si>
  <si>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</si>
  <si>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</si>
  <si>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</si>
  <si>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</si>
  <si>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</si>
  <si>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</si>
  <si>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</si>
  <si>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</si>
  <si>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</si>
  <si>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</si>
  <si>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</si>
  <si>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</si>
  <si>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</si>
  <si>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</si>
  <si>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</si>
  <si>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</si>
  <si>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</si>
  <si>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</si>
  <si>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</si>
  <si>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</si>
  <si>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</si>
  <si>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</si>
  <si>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</si>
  <si>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</si>
  <si>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</si>
  <si>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</si>
  <si>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</si>
  <si>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</si>
  <si>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</si>
  <si>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</si>
  <si>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</si>
  <si>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</si>
  <si>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</si>
  <si>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</si>
  <si>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</si>
  <si>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</si>
  <si>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</si>
  <si>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</si>
  <si>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</si>
  <si>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</si>
  <si>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</si>
  <si>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</si>
  <si>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</si>
  <si>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</si>
  <si>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</si>
  <si>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</si>
  <si>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</si>
  <si>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</si>
  <si>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</si>
  <si>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</si>
  <si>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</si>
  <si>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</si>
  <si>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</si>
  <si>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</si>
  <si>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</si>
  <si>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</si>
  <si>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</si>
  <si>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</si>
  <si>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</si>
  <si>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</si>
  <si>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</si>
  <si>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</si>
  <si>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</si>
  <si>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</si>
  <si>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</si>
  <si>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</si>
  <si>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</si>
  <si>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</si>
  <si>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</si>
  <si>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</si>
  <si>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</si>
  <si>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</si>
  <si>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</si>
  <si>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</si>
  <si>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</si>
  <si>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</si>
  <si>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</si>
  <si>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</si>
  <si>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</si>
  <si>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</si>
  <si>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</si>
  <si>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</si>
  <si>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</si>
  <si>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</si>
  <si>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</si>
  <si>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</si>
  <si>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</si>
  <si>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</si>
  <si>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</si>
  <si>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</si>
  <si>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</si>
  <si>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</si>
  <si>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</si>
  <si>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</si>
  <si>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</si>
  <si>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</si>
  <si>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</si>
  <si>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</si>
  <si>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</si>
  <si>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</si>
  <si>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</si>
  <si>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</si>
  <si>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</si>
  <si>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</si>
  <si>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</si>
  <si>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</si>
  <si>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</si>
  <si>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</si>
  <si>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</si>
  <si>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</si>
  <si>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</si>
  <si>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</si>
  <si>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</si>
  <si>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</si>
  <si>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</si>
  <si>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</si>
  <si>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</si>
  <si>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</si>
  <si>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</si>
  <si>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</si>
  <si>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</si>
  <si>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</si>
  <si>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</si>
  <si>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</si>
  <si>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</si>
  <si>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</si>
  <si>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</si>
  <si>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</si>
  <si>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</si>
  <si>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</si>
  <si>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</si>
  <si>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</si>
  <si>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</si>
  <si>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</si>
  <si>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</si>
  <si>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</si>
  <si>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</si>
  <si>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</si>
  <si>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</si>
  <si>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</si>
  <si>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</si>
  <si>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</si>
  <si>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</si>
  <si>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</si>
  <si>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</si>
  <si>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</si>
  <si>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</si>
  <si>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</si>
  <si>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</si>
  <si>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</si>
  <si>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</si>
  <si>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</si>
  <si>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</si>
  <si>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</si>
  <si>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</si>
  <si>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</si>
  <si>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</si>
  <si>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</si>
  <si>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</si>
  <si>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</si>
  <si>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</si>
  <si>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</si>
  <si>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</si>
  <si>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</si>
  <si>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</si>
  <si>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</si>
  <si>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</si>
  <si>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</si>
  <si>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</si>
  <si>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</si>
  <si>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</si>
  <si>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</si>
  <si>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</si>
  <si>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</si>
  <si>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</si>
  <si>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</si>
  <si>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</si>
  <si>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</si>
  <si>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</si>
  <si>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</si>
  <si>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</si>
  <si>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</si>
  <si>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</si>
  <si>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</si>
  <si>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</si>
  <si>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</si>
  <si>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</si>
  <si>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</si>
  <si>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</si>
  <si>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</si>
  <si>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</si>
  <si>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</si>
  <si>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</si>
  <si>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</si>
  <si>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</si>
  <si>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</si>
  <si>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</si>
  <si>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</si>
  <si>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</si>
  <si>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</si>
  <si>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</si>
  <si>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</si>
  <si>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</si>
  <si>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</si>
  <si>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</si>
  <si>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</si>
  <si>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</si>
  <si>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</si>
  <si>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</si>
  <si>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</si>
  <si>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</si>
  <si>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</si>
  <si>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</si>
  <si>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</si>
  <si>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</si>
  <si>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</si>
  <si>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</si>
  <si>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</si>
  <si>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</si>
  <si>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</si>
  <si>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</si>
  <si>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</si>
  <si>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</si>
  <si>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</si>
  <si>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</si>
  <si>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</si>
  <si>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</si>
  <si>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</si>
  <si>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</si>
  <si>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</si>
  <si>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</si>
  <si>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</si>
  <si>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</si>
  <si>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</si>
  <si>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</si>
  <si>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</si>
  <si>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</si>
  <si>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</si>
  <si>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</si>
  <si>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</si>
  <si>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</si>
  <si>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</si>
  <si>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</si>
  <si>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</si>
  <si>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</si>
  <si>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</si>
  <si>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</si>
  <si>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</si>
  <si>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</si>
  <si>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</si>
  <si>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</si>
  <si>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</si>
  <si>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</si>
  <si>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</si>
  <si>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</si>
  <si>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</si>
  <si>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</si>
  <si>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</si>
  <si>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</si>
  <si>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</si>
  <si>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</si>
  <si>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</si>
  <si>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</si>
  <si>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</si>
  <si>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</si>
  <si>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</si>
  <si>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</si>
  <si>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</si>
  <si>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</si>
  <si>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</si>
  <si>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</si>
  <si>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</si>
  <si>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</si>
  <si>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</si>
  <si>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</si>
  <si>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</si>
  <si>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</si>
  <si>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</si>
  <si>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</si>
  <si>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</si>
  <si>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</si>
  <si>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</si>
  <si>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</si>
  <si>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</si>
  <si>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</si>
  <si>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</si>
  <si>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</si>
  <si>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</si>
  <si>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</si>
  <si>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</si>
  <si>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</si>
  <si>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</si>
  <si>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</si>
  <si>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</si>
  <si>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</si>
  <si>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</si>
  <si>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</si>
  <si>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</si>
  <si>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</si>
  <si>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</si>
  <si>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</si>
  <si>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</si>
  <si>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</si>
  <si>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</si>
  <si>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</si>
  <si>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</si>
  <si>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</si>
  <si>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</si>
  <si>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</si>
  <si>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</si>
  <si>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</si>
  <si>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</si>
  <si>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</si>
  <si>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</si>
  <si>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</si>
  <si>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</si>
  <si>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</si>
  <si>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</si>
  <si>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</si>
  <si>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</si>
  <si>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</si>
  <si>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</si>
  <si>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</si>
  <si>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</si>
  <si>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</si>
  <si>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</si>
  <si>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</si>
  <si>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</si>
  <si>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</si>
  <si>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</si>
  <si>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</si>
  <si>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</si>
  <si>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</si>
  <si>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</si>
  <si>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</si>
  <si>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</si>
  <si>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</si>
  <si>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</si>
  <si>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</si>
  <si>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</si>
  <si>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</si>
  <si>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</si>
  <si>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</si>
  <si>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</si>
  <si>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</si>
  <si>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</si>
  <si>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</si>
  <si>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</si>
  <si>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</si>
  <si>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</si>
  <si>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</si>
  <si>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</si>
  <si>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</si>
  <si>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</si>
  <si>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</si>
  <si>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</si>
  <si>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</si>
  <si>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</si>
  <si>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</si>
  <si>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</si>
  <si>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</si>
  <si>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</si>
  <si>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</si>
  <si>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</si>
  <si>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</si>
  <si>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</si>
  <si>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</si>
  <si>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</si>
  <si>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</si>
  <si>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</si>
  <si>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</si>
  <si>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</si>
  <si>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</si>
  <si>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</si>
  <si>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</si>
  <si>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</si>
  <si>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</si>
  <si>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</si>
  <si>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</si>
  <si>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</si>
  <si>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</si>
  <si>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</si>
  <si>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</si>
  <si>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</si>
  <si>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</si>
  <si>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</si>
  <si>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</si>
  <si>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</si>
  <si>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</si>
  <si>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</si>
  <si>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</si>
  <si>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</si>
  <si>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</si>
  <si>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</si>
  <si>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</si>
  <si>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</si>
  <si>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</si>
  <si>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</si>
  <si>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</si>
  <si>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</si>
  <si>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</si>
  <si>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</si>
  <si>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</si>
  <si>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</si>
  <si>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</si>
  <si>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</si>
  <si>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</si>
  <si>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</si>
  <si>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</si>
  <si>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</si>
  <si>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</si>
  <si>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</si>
  <si>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</si>
  <si>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</si>
  <si>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</si>
  <si>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</si>
  <si>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</si>
  <si>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</si>
  <si>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</si>
  <si>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</si>
  <si>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</si>
  <si>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</si>
  <si>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</si>
  <si>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</si>
  <si>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</si>
  <si>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</si>
  <si>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</si>
  <si>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</si>
  <si>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</si>
  <si>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</si>
  <si>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</si>
  <si>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</si>
  <si>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</si>
  <si>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</si>
  <si>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</si>
  <si>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</si>
  <si>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</si>
  <si>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</si>
  <si>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</si>
  <si>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</si>
  <si>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</si>
  <si>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</si>
  <si>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</si>
  <si>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</si>
  <si>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</si>
  <si>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</si>
  <si>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</si>
  <si>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</si>
  <si>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</si>
  <si>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</si>
  <si>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</si>
  <si>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</si>
  <si>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</si>
  <si>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</si>
  <si>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</si>
  <si>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</si>
  <si>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</si>
  <si>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</si>
  <si>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</si>
  <si>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</si>
  <si>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</si>
  <si>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</si>
  <si>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</si>
  <si>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</si>
  <si>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</si>
  <si>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</si>
  <si>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</si>
  <si>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</si>
  <si>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</si>
  <si>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</si>
  <si>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</si>
  <si>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</si>
  <si>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</si>
  <si>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</si>
  <si>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</si>
  <si>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</si>
  <si>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</si>
  <si>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</si>
  <si>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</si>
  <si>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</si>
  <si>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</si>
  <si>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</si>
  <si>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</si>
  <si>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</si>
  <si>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</si>
  <si>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</si>
  <si>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</si>
  <si>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</si>
  <si>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</si>
  <si>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</si>
  <si>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</si>
  <si>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</si>
  <si>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</si>
  <si>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</si>
  <si>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</si>
  <si>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</si>
  <si>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</si>
  <si>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</si>
  <si>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</si>
  <si>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</si>
  <si>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</si>
  <si>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</si>
  <si>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</si>
  <si>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</si>
  <si>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</si>
  <si>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</si>
  <si>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</si>
  <si>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</si>
  <si>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</si>
  <si>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</si>
  <si>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</si>
  <si>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</si>
  <si>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</si>
  <si>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</si>
  <si>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</si>
  <si>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</si>
  <si>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</si>
  <si>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</si>
  <si>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</si>
  <si>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</si>
  <si>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</si>
  <si>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</si>
  <si>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</si>
  <si>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</si>
  <si>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</si>
  <si>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</si>
  <si>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</si>
  <si>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</si>
  <si>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</si>
  <si>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</si>
  <si>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</si>
  <si>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</si>
  <si>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</si>
  <si>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</si>
  <si>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</si>
  <si>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</si>
  <si>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</si>
  <si>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</si>
  <si>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</si>
  <si>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</si>
  <si>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</si>
  <si>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</si>
  <si>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</si>
  <si>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</si>
  <si>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</si>
  <si>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</si>
  <si>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</si>
  <si>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</si>
  <si>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</si>
  <si>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</si>
  <si>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</si>
  <si>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</si>
  <si>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</si>
  <si>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</si>
  <si>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</si>
  <si>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</si>
  <si>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</si>
  <si>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</si>
  <si>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</si>
  <si>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</si>
  <si>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</si>
  <si>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</si>
  <si>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</si>
  <si>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</si>
  <si>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</si>
  <si>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</si>
  <si>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</si>
  <si>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</si>
  <si>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</si>
  <si>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</si>
  <si>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</si>
  <si>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</si>
  <si>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</si>
  <si>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</si>
  <si>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</si>
  <si>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</si>
  <si>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</si>
  <si>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</si>
  <si>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</si>
  <si>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</si>
  <si>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</si>
  <si>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</si>
  <si>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</si>
  <si>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</si>
  <si>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</si>
  <si>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</si>
  <si>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</si>
  <si>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</si>
  <si>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</si>
  <si>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</si>
  <si>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</si>
  <si>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</si>
  <si>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</si>
  <si>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</si>
  <si>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</si>
  <si>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</si>
  <si>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</si>
  <si>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</si>
  <si>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</si>
  <si>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</si>
  <si>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</si>
  <si>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</si>
  <si>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</si>
  <si>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</si>
  <si>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</si>
  <si>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</si>
  <si>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</si>
  <si>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</si>
  <si>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</si>
  <si>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</si>
  <si>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</si>
  <si>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</si>
  <si>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</si>
  <si>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</si>
  <si>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</si>
  <si>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</si>
  <si>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</si>
  <si>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</si>
  <si>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</si>
  <si>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</si>
  <si>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</si>
  <si>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</si>
  <si>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</si>
  <si>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</si>
  <si>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</si>
  <si>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</si>
  <si>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</si>
  <si>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</si>
  <si>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</si>
  <si>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</si>
  <si>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</si>
  <si>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</si>
  <si>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</si>
  <si>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</si>
  <si>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</si>
  <si>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</si>
  <si>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</si>
  <si>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</si>
  <si>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</si>
  <si>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</si>
  <si>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</si>
  <si>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</si>
  <si>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</si>
  <si>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</si>
  <si>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</si>
  <si>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</si>
  <si>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</si>
  <si>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</si>
  <si>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</si>
  <si>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</si>
  <si>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</si>
  <si>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</si>
  <si>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</si>
  <si>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</si>
  <si>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</si>
  <si>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</si>
  <si>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</si>
  <si>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</si>
  <si>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</si>
  <si>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</si>
  <si>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</si>
  <si>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</si>
  <si>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</si>
  <si>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</si>
  <si>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</si>
  <si>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</si>
  <si>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</si>
  <si>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</si>
  <si>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</si>
  <si>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</si>
  <si>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</si>
  <si>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</si>
  <si>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</si>
  <si>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</si>
  <si>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</si>
  <si>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</si>
  <si>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</si>
  <si>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</si>
  <si>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</si>
  <si>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</si>
  <si>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</si>
  <si>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</si>
  <si>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</si>
  <si>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</si>
  <si>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</si>
  <si>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</si>
  <si>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</si>
  <si>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</si>
  <si>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</si>
  <si>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</si>
  <si>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</si>
  <si>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</si>
  <si>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</si>
  <si>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</si>
  <si>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</si>
  <si>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</si>
  <si>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</si>
  <si>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</si>
  <si>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</si>
  <si>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</si>
  <si>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</si>
  <si>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</si>
  <si>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</si>
  <si>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</si>
  <si>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</si>
  <si>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</si>
  <si>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</si>
  <si>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</si>
  <si>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</si>
  <si>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</si>
  <si>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</si>
  <si>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</si>
  <si>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</si>
  <si>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</si>
  <si>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</si>
  <si>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</si>
  <si>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</si>
  <si>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</si>
  <si>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</si>
  <si>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</si>
  <si>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</si>
  <si>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</si>
  <si>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</si>
  <si>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</si>
  <si>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</si>
  <si>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</si>
  <si>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</si>
  <si>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</si>
  <si>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</si>
  <si>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</si>
  <si>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</si>
  <si>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</si>
  <si>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</si>
  <si>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</si>
  <si>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</si>
  <si>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</si>
  <si>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</si>
  <si>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</si>
  <si>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</si>
  <si>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</si>
  <si>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</si>
  <si>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</si>
  <si>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</si>
  <si>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</si>
  <si>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</si>
  <si>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</si>
  <si>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</si>
  <si>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</si>
  <si>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</si>
  <si>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</si>
  <si>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</si>
  <si>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</si>
  <si>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</si>
  <si>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</si>
  <si>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</si>
  <si>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</si>
  <si>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</si>
  <si>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</si>
  <si>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</si>
  <si>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</si>
  <si>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</si>
  <si>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</si>
  <si>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</si>
  <si>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</si>
  <si>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</si>
  <si>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</si>
  <si>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</si>
  <si>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</si>
  <si>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</si>
  <si>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</si>
  <si>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</si>
  <si>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</si>
  <si>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</si>
  <si>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</si>
  <si>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</si>
  <si>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</si>
  <si>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</si>
  <si>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</si>
  <si>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</si>
  <si>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</si>
  <si>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</si>
  <si>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</si>
  <si>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</si>
  <si>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</si>
  <si>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</si>
  <si>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</si>
  <si>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</si>
  <si>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</si>
  <si>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</si>
  <si>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</si>
  <si>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</si>
  <si>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</si>
  <si>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</si>
  <si>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</si>
  <si>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</si>
  <si>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</si>
  <si>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</si>
  <si>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</si>
  <si>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</si>
  <si>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</si>
  <si>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</si>
  <si>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</si>
  <si>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</si>
  <si>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</si>
  <si>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</si>
  <si>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</si>
  <si>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</si>
  <si>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</si>
  <si>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</si>
  <si>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</si>
  <si>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</si>
  <si>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</si>
  <si>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</si>
  <si>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</si>
  <si>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</si>
  <si>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</si>
  <si>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</si>
  <si>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</si>
  <si>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</si>
  <si>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</si>
  <si>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</si>
  <si>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</si>
  <si>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</si>
  <si>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</si>
  <si>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</si>
  <si>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</si>
  <si>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</si>
  <si>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</si>
  <si>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</si>
  <si>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</si>
  <si>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</si>
  <si>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</si>
  <si>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</si>
  <si>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</si>
  <si>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</si>
  <si>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</si>
  <si>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</si>
  <si>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</si>
  <si>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</si>
  <si>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</si>
  <si>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</si>
  <si>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</si>
  <si>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</si>
  <si>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</si>
  <si>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</si>
  <si>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</si>
  <si>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</si>
  <si>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</si>
  <si>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</si>
  <si>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</si>
  <si>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</si>
  <si>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</si>
  <si>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</si>
  <si>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</si>
  <si>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</si>
  <si>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</si>
  <si>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</si>
  <si>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</si>
  <si>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</si>
  <si>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</si>
  <si>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</si>
  <si>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</si>
  <si>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</si>
  <si>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</si>
  <si>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</si>
  <si>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</si>
  <si>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</si>
  <si>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</si>
  <si>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</si>
  <si>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</si>
  <si>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</si>
  <si>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</si>
  <si>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</si>
  <si>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</si>
  <si>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</si>
  <si>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</si>
  <si>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</si>
  <si>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</si>
  <si>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</si>
  <si>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</si>
  <si>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</si>
  <si>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</si>
  <si>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</si>
  <si>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</si>
  <si>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</si>
  <si>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</si>
  <si>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</si>
  <si>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</si>
  <si>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</si>
  <si>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</si>
  <si>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</si>
  <si>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</si>
  <si>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</si>
  <si>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</si>
  <si>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</si>
  <si>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</si>
  <si>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</si>
  <si>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</si>
  <si>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</si>
  <si>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</si>
  <si>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</si>
  <si>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</si>
  <si>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</si>
  <si>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</si>
  <si>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</si>
  <si>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</si>
  <si>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</si>
  <si>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</si>
  <si>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</si>
  <si>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</si>
  <si>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</si>
  <si>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</si>
  <si>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</si>
  <si>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</si>
  <si>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</si>
  <si>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</si>
  <si>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</si>
  <si>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</si>
  <si>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</si>
  <si>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</si>
  <si>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</si>
  <si>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</si>
  <si>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</si>
  <si>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</si>
  <si>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</si>
  <si>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</si>
  <si>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</si>
  <si>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</si>
  <si>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</si>
  <si>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</si>
  <si>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</si>
  <si>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</si>
  <si>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</si>
  <si>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</si>
  <si>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</si>
  <si>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</si>
  <si>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</si>
  <si>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</si>
  <si>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</si>
  <si>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</si>
  <si>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</si>
  <si>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</si>
  <si>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</si>
  <si>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</si>
  <si>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</si>
  <si>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</si>
  <si>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</si>
  <si>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</si>
  <si>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</si>
  <si>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</si>
  <si>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</si>
  <si>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</si>
  <si>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</si>
  <si>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</si>
  <si>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</si>
  <si>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</si>
  <si>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</si>
  <si>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</si>
  <si>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</si>
  <si>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</si>
  <si>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</si>
  <si>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</si>
  <si>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</si>
  <si>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</si>
  <si>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</si>
  <si>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</si>
  <si>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</si>
  <si>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</si>
  <si>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</si>
  <si>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</si>
  <si>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</si>
  <si>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</si>
  <si>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</si>
  <si>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</si>
  <si>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</si>
  <si>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</si>
  <si>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</si>
  <si>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</si>
  <si>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</si>
  <si>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</si>
  <si>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</si>
  <si>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</si>
  <si>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</si>
  <si>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</si>
  <si>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</si>
  <si>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</si>
  <si>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</si>
  <si>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</si>
  <si>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</si>
  <si>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</si>
  <si>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</si>
  <si>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</si>
  <si>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</si>
  <si>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</si>
  <si>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</si>
  <si>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</si>
  <si>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</si>
  <si>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</si>
  <si>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</si>
  <si>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</si>
  <si>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</si>
  <si>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</si>
  <si>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</si>
  <si>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</si>
  <si>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</si>
  <si>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</si>
  <si>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</si>
  <si>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</si>
  <si>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</si>
  <si>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</si>
  <si>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</si>
  <si>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</si>
  <si>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</si>
  <si>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</si>
  <si>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</si>
  <si>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</si>
  <si>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</si>
  <si>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</si>
  <si>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</si>
  <si>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</si>
  <si>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</si>
  <si>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</si>
  <si>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</si>
  <si>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</si>
  <si>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</si>
  <si>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</si>
  <si>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</si>
  <si>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</si>
  <si>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</si>
  <si>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</si>
  <si>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</si>
  <si>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</si>
  <si>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</si>
  <si>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</si>
  <si>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</si>
  <si>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</si>
  <si>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</si>
  <si>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</si>
  <si>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</si>
  <si>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</si>
  <si>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</si>
  <si>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</si>
  <si>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</si>
  <si>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</si>
  <si>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</si>
  <si>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</si>
  <si>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</si>
  <si>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</si>
  <si>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</si>
  <si>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</si>
  <si>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</si>
  <si>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</si>
  <si>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</si>
  <si>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</si>
  <si>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</si>
  <si>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</si>
  <si>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</si>
  <si>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</si>
  <si>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</si>
  <si>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</si>
  <si>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</si>
  <si>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</si>
  <si>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</si>
  <si>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</si>
  <si>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</si>
  <si>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</si>
  <si>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</si>
  <si>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</si>
  <si>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</si>
  <si>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</si>
  <si>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</si>
  <si>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</si>
  <si>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</si>
  <si>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</si>
  <si>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</si>
  <si>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</si>
  <si>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</si>
  <si>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</si>
  <si>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</si>
  <si>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</si>
  <si>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</si>
  <si>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</si>
  <si>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</si>
  <si>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</si>
  <si>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</si>
  <si>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</si>
  <si>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</si>
  <si>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</si>
  <si>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</si>
  <si>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</si>
  <si>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</si>
  <si>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</si>
  <si>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</si>
  <si>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</si>
  <si>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</si>
  <si>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</si>
  <si>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</si>
  <si>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</si>
  <si>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</si>
  <si>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</si>
  <si>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</si>
  <si>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</si>
  <si>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</si>
  <si>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</si>
  <si>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</si>
  <si>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</si>
  <si>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</si>
  <si>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</si>
  <si>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</si>
  <si>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</si>
  <si>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</si>
  <si>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</si>
  <si>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</si>
  <si>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</si>
  <si>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</si>
  <si>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</si>
  <si>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</si>
  <si>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</si>
  <si>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</si>
  <si>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</si>
  <si>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</si>
  <si>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</si>
  <si>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</si>
  <si>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</si>
  <si>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</si>
  <si>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</si>
  <si>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</si>
  <si>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</si>
  <si>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</si>
  <si>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</si>
  <si>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</si>
  <si>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</si>
  <si>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</si>
  <si>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</si>
  <si>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</si>
  <si>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</si>
  <si>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</si>
  <si>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</si>
  <si>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</si>
  <si>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</si>
  <si>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</si>
  <si>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</si>
  <si>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</si>
  <si>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</si>
  <si>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</si>
  <si>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</si>
  <si>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</si>
  <si>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</si>
  <si>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</si>
  <si>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</si>
  <si>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</si>
  <si>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</si>
  <si>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</si>
  <si>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</si>
  <si>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</si>
  <si>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</si>
  <si>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</si>
  <si>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</si>
  <si>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</si>
  <si>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</si>
  <si>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</si>
  <si>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</si>
  <si>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</si>
  <si>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</si>
  <si>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</si>
  <si>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</si>
  <si>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</si>
  <si>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</si>
  <si>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</si>
  <si>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</si>
  <si>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</si>
  <si>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</si>
  <si>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</si>
  <si>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</si>
  <si>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</si>
  <si>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</si>
  <si>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</si>
  <si>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</si>
  <si>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</si>
  <si>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</si>
  <si>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</si>
  <si>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</si>
  <si>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</si>
  <si>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</si>
  <si>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</si>
  <si>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</si>
  <si>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</si>
  <si>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</si>
  <si>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</si>
  <si>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</si>
  <si>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</si>
  <si>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</si>
  <si>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</si>
  <si>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</si>
  <si>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</si>
  <si>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</si>
  <si>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</si>
  <si>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</si>
  <si>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</si>
  <si>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</si>
  <si>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</si>
  <si>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</si>
  <si>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</si>
  <si>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</si>
  <si>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</si>
  <si>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</si>
  <si>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</si>
  <si>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</si>
  <si>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</si>
  <si>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</si>
  <si>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</si>
  <si>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</si>
  <si>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</si>
  <si>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</si>
  <si>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</si>
  <si>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</si>
  <si>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</si>
  <si>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</si>
  <si>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</si>
  <si>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</si>
  <si>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</si>
  <si>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</si>
  <si>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</si>
  <si>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</si>
  <si>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</si>
  <si>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</si>
  <si>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</si>
  <si>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</si>
  <si>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</si>
  <si>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</si>
  <si>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</si>
  <si>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</si>
  <si>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</si>
  <si>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</si>
  <si>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</si>
  <si>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</si>
  <si>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</si>
  <si>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</si>
  <si>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</si>
  <si>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</si>
  <si>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</si>
  <si>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</si>
  <si>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</si>
  <si>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</si>
  <si>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</si>
  <si>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</si>
  <si>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</si>
  <si>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</si>
  <si>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</si>
  <si>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</si>
  <si>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</si>
  <si>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</si>
  <si>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</si>
  <si>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</si>
  <si>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</si>
  <si>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</si>
  <si>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</si>
  <si>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</si>
  <si>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</si>
  <si>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</si>
  <si>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</si>
  <si>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</si>
  <si>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</si>
  <si>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</si>
  <si>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</si>
  <si>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</si>
  <si>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</si>
  <si>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</si>
  <si>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</si>
  <si>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</si>
  <si>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</si>
  <si>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</si>
  <si>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</si>
  <si>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</si>
  <si>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</si>
  <si>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</si>
  <si>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</si>
  <si>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</si>
  <si>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</si>
  <si>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</si>
  <si>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</si>
  <si>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</si>
  <si>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</si>
  <si>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</si>
  <si>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</si>
  <si>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</si>
  <si>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</si>
  <si>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</si>
  <si>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</si>
  <si>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</si>
  <si>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</si>
  <si>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</si>
  <si>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</si>
  <si>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</si>
  <si>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</si>
  <si>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</si>
  <si>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</si>
  <si>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</si>
  <si>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</si>
  <si>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</si>
  <si>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</si>
  <si>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</si>
  <si>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</si>
  <si>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</si>
  <si>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</si>
  <si>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</si>
  <si>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</si>
  <si>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</si>
  <si>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</si>
  <si>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</si>
  <si>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</si>
  <si>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</si>
  <si>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</si>
  <si>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</si>
  <si>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</si>
  <si>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</si>
  <si>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</si>
  <si>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</si>
  <si>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</si>
  <si>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</si>
  <si>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</si>
  <si>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</si>
  <si>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</si>
  <si>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</si>
  <si>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</si>
  <si>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</si>
  <si>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</si>
  <si>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</si>
  <si>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</si>
  <si>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</si>
  <si>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</si>
  <si>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</si>
  <si>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</si>
  <si>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</si>
  <si>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</si>
  <si>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</si>
  <si>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</si>
  <si>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</si>
  <si>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</si>
  <si>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</si>
  <si>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</si>
  <si>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</si>
  <si>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</si>
  <si>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</si>
  <si>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</si>
  <si>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</si>
  <si>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</si>
  <si>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</si>
  <si>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</si>
  <si>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</si>
  <si>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</si>
  <si>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</si>
  <si>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</si>
  <si>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</si>
  <si>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</si>
  <si>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</si>
  <si>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</si>
  <si>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</si>
  <si>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</si>
  <si>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</si>
  <si>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</si>
  <si>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</si>
  <si>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</si>
  <si>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</si>
  <si>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</si>
  <si>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</si>
  <si>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</si>
  <si>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</si>
  <si>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</si>
  <si>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</si>
  <si>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</si>
  <si>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</si>
  <si>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</si>
  <si>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</si>
  <si>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</si>
  <si>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</si>
  <si>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</si>
  <si>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</si>
  <si>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</si>
  <si>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</si>
  <si>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</si>
  <si>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</si>
  <si>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</si>
  <si>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</si>
  <si>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</si>
  <si>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</si>
  <si>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</si>
  <si>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</si>
  <si>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</si>
  <si>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</si>
  <si>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</si>
  <si>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</si>
  <si>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</si>
  <si>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</si>
  <si>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</si>
  <si>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</si>
  <si>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</si>
  <si>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</si>
  <si>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</si>
  <si>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</si>
  <si>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</si>
  <si>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</si>
  <si>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</si>
  <si>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</si>
  <si>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</si>
  <si>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</si>
  <si>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</si>
  <si>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</si>
  <si>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</si>
  <si>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</si>
  <si>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</si>
  <si>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</si>
  <si>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</si>
  <si>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</si>
  <si>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</si>
  <si>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</si>
  <si>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</si>
  <si>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</si>
  <si>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</si>
  <si>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</si>
  <si>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</si>
  <si>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</si>
  <si>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</si>
  <si>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</si>
  <si>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</si>
  <si>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</si>
  <si>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</si>
  <si>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</si>
  <si>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</si>
  <si>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</si>
  <si>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</si>
  <si>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</si>
  <si>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</si>
  <si>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</si>
  <si>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</si>
  <si>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</si>
  <si>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</si>
  <si>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</si>
  <si>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</si>
  <si>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</si>
  <si>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</si>
  <si>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</si>
  <si>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</si>
  <si>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</si>
  <si>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</si>
  <si>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</si>
  <si>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</si>
  <si>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</si>
  <si>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</si>
  <si>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</si>
  <si>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</si>
  <si>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</si>
  <si>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</si>
  <si>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</si>
  <si>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</si>
  <si>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</si>
  <si>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</si>
  <si>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</si>
  <si>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</si>
  <si>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</si>
  <si>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</si>
  <si>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</si>
  <si>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</si>
  <si>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</si>
  <si>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</si>
  <si>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</si>
  <si>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</si>
  <si>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</si>
  <si>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</si>
  <si>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</si>
  <si>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</si>
  <si>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</si>
  <si>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</si>
  <si>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</si>
  <si>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</si>
  <si>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</si>
  <si>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</si>
  <si>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</si>
  <si>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</si>
  <si>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</si>
  <si>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</si>
  <si>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</si>
  <si>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</si>
  <si>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</si>
  <si>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</si>
  <si>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</si>
  <si>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</si>
  <si>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</si>
  <si>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</si>
  <si>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</si>
  <si>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</si>
  <si>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</si>
  <si>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</si>
  <si>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</si>
  <si>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</si>
  <si>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</si>
  <si>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</si>
  <si>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</si>
  <si>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</si>
  <si>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</si>
  <si>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</si>
  <si>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</si>
  <si>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</si>
  <si>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</si>
  <si>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</si>
  <si>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</si>
  <si>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</si>
  <si>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</si>
  <si>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</si>
  <si>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</si>
  <si>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</si>
  <si>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</si>
  <si>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</si>
  <si>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</si>
  <si>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</si>
  <si>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</si>
  <si>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</si>
  <si>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</si>
  <si>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</si>
  <si>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</si>
  <si>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</si>
  <si>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</si>
  <si>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</si>
  <si>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</si>
  <si>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</si>
  <si>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</si>
  <si>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</si>
  <si>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</si>
  <si>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</si>
  <si>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</si>
  <si>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</si>
  <si>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</si>
  <si>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</si>
  <si>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</si>
  <si>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</si>
  <si>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</si>
  <si>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</si>
  <si>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</si>
  <si>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</si>
  <si>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</si>
  <si>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</si>
  <si>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</si>
  <si>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</si>
  <si>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</si>
  <si>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</si>
  <si>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</si>
  <si>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</si>
  <si>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</si>
  <si>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</si>
  <si>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</si>
  <si>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</si>
  <si>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</si>
  <si>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</si>
  <si>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</si>
  <si>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</si>
  <si>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</si>
  <si>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</si>
  <si>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</si>
  <si>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</si>
  <si>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</si>
  <si>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</si>
  <si>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</si>
  <si>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</si>
  <si>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</si>
  <si>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</si>
  <si>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</si>
  <si>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</si>
  <si>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</si>
  <si>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</si>
  <si>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</si>
  <si>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</si>
  <si>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</si>
  <si>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</si>
  <si>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</si>
  <si>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</si>
  <si>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</si>
  <si>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</si>
  <si>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</si>
  <si>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</si>
  <si>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</si>
  <si>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</si>
  <si>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</si>
  <si>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</si>
  <si>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</si>
  <si>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</si>
  <si>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</si>
  <si>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</si>
  <si>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</si>
  <si>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</si>
  <si>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</si>
  <si>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</si>
  <si>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</si>
  <si>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</si>
  <si>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</si>
  <si>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</si>
  <si>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</si>
  <si>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</si>
  <si>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</si>
  <si>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</si>
  <si>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</si>
  <si>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</si>
  <si>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</si>
  <si>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</si>
  <si>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</si>
  <si>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</si>
  <si>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</si>
  <si>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</si>
  <si>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</si>
  <si>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</si>
  <si>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</si>
  <si>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</si>
  <si>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</si>
  <si>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</si>
  <si>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</si>
  <si>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</si>
  <si>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</si>
  <si>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</si>
  <si>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</si>
  <si>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</si>
  <si>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</si>
  <si>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</si>
  <si>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</si>
  <si>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</si>
  <si>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</si>
  <si>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</si>
  <si>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</si>
  <si>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</si>
  <si>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</si>
  <si>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</si>
  <si>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</si>
  <si>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</si>
  <si>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</si>
  <si>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</si>
  <si>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</si>
  <si>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</si>
  <si>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</si>
  <si>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</si>
  <si>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</si>
  <si>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</si>
  <si>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</si>
  <si>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</si>
  <si>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</si>
  <si>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</si>
  <si>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</si>
  <si>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</si>
  <si>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</si>
  <si>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</si>
  <si>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</si>
  <si>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</si>
  <si>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</si>
  <si>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</si>
  <si>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</si>
  <si>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</si>
  <si>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</si>
  <si>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</si>
  <si>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</si>
  <si>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</si>
  <si>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</si>
  <si>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</si>
  <si>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</si>
  <si>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</si>
  <si>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</si>
  <si>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</si>
  <si>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</si>
  <si>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</si>
  <si>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</si>
  <si>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</si>
  <si>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</si>
  <si>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</si>
  <si>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</si>
  <si>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</si>
  <si>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</si>
  <si>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</si>
  <si>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</si>
  <si>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</si>
  <si>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</si>
  <si>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</si>
  <si>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</si>
  <si>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</si>
  <si>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</si>
  <si>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</si>
  <si>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</si>
  <si>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</si>
  <si>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</si>
  <si>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</si>
  <si>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</si>
  <si>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</si>
  <si>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</si>
  <si>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</si>
  <si>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</si>
  <si>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</si>
  <si>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</si>
  <si>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</si>
  <si>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</si>
  <si>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</si>
  <si>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</si>
  <si>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</si>
  <si>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</si>
  <si>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</si>
  <si>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</si>
  <si>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</si>
  <si>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</si>
  <si>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</si>
  <si>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</si>
  <si>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</si>
  <si>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</si>
  <si>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</si>
  <si>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</si>
  <si>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</si>
  <si>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</si>
  <si>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</si>
  <si>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</si>
  <si>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</si>
  <si>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</si>
  <si>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</si>
  <si>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</si>
  <si>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</si>
  <si>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</si>
  <si>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</si>
  <si>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</si>
  <si>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</si>
  <si>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</si>
  <si>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</si>
  <si>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</si>
  <si>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</si>
  <si>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</si>
  <si>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</si>
  <si>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</si>
  <si>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</si>
  <si>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</si>
  <si>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</si>
  <si>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</si>
  <si>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</si>
  <si>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</si>
  <si>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</si>
  <si>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</si>
  <si>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</si>
  <si>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</si>
  <si>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</si>
  <si>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</si>
  <si>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</si>
  <si>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</si>
  <si>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</si>
  <si>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</si>
  <si>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</si>
  <si>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</si>
  <si>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</si>
  <si>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</si>
  <si>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</si>
  <si>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</si>
  <si>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</si>
  <si>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</si>
  <si>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</si>
  <si>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</si>
  <si>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</si>
  <si>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</si>
  <si>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</si>
  <si>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</si>
  <si>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</si>
  <si>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</si>
  <si>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</si>
  <si>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</si>
  <si>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</si>
  <si>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</si>
  <si>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</si>
  <si>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</si>
  <si>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</si>
  <si>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</si>
  <si>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</si>
  <si>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</si>
  <si>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</si>
  <si>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</si>
  <si>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</si>
  <si>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</si>
  <si>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</si>
  <si>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</si>
  <si>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</si>
  <si>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</si>
  <si>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</si>
  <si>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</si>
  <si>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</si>
  <si>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</si>
  <si>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</si>
  <si>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</si>
  <si>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</si>
  <si>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</si>
  <si>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</si>
  <si>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</si>
  <si>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</si>
  <si>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</si>
  <si>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</si>
  <si>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</si>
  <si>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</si>
  <si>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</si>
  <si>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</si>
  <si>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</si>
  <si>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</si>
  <si>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</si>
  <si>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</si>
  <si>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</si>
  <si>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</si>
  <si>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</si>
  <si>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</si>
  <si>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</si>
  <si>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</si>
  <si>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</si>
  <si>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</si>
  <si>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</si>
  <si>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</si>
  <si>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</si>
  <si>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</si>
  <si>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</si>
  <si>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</si>
  <si>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</si>
  <si>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</si>
  <si>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</si>
  <si>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</si>
  <si>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</si>
  <si>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</si>
  <si>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</si>
  <si>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</si>
  <si>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</si>
  <si>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</si>
  <si>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</si>
  <si>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</si>
  <si>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</si>
  <si>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</si>
  <si>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</si>
  <si>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</si>
  <si>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</si>
  <si>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</si>
  <si>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</si>
  <si>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</si>
  <si>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</si>
  <si>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</si>
  <si>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</si>
  <si>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</si>
  <si>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</si>
  <si>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</si>
  <si>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</si>
  <si>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</si>
  <si>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</si>
  <si>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</si>
  <si>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</si>
  <si>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</si>
  <si>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</si>
  <si>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</si>
  <si>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</si>
  <si>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</si>
  <si>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</si>
  <si>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</si>
  <si>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</si>
  <si>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</si>
  <si>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</si>
  <si>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</si>
  <si>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</si>
  <si>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</si>
  <si>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</si>
  <si>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</si>
  <si>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</si>
  <si>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</si>
  <si>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</si>
  <si>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</si>
  <si>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</si>
  <si>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</si>
  <si>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</si>
  <si>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</si>
  <si>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</si>
  <si>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</si>
  <si>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</si>
  <si>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</si>
  <si>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</si>
  <si>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</si>
  <si>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</si>
  <si>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</si>
  <si>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</si>
  <si>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</si>
  <si>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</si>
  <si>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</si>
  <si>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</si>
  <si>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</si>
  <si>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</si>
  <si>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</si>
  <si>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</si>
  <si>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</si>
  <si>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</si>
  <si>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</si>
  <si>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</si>
  <si>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</si>
  <si>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</si>
  <si>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</si>
  <si>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</si>
  <si>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</si>
  <si>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</si>
  <si>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</si>
  <si>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</si>
  <si>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</si>
  <si>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</si>
  <si>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</si>
  <si>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</si>
  <si>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</si>
  <si>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</si>
  <si>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</si>
  <si>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</si>
  <si>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</si>
  <si>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</si>
  <si>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</si>
  <si>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</si>
  <si>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</si>
  <si>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</si>
  <si>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</si>
  <si>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</si>
  <si>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</si>
  <si>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</si>
  <si>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</si>
  <si>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</si>
  <si>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</si>
  <si>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</si>
  <si>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</si>
  <si>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</si>
  <si>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</si>
  <si>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</si>
  <si>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</si>
  <si>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</si>
  <si>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</si>
  <si>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</si>
  <si>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</si>
  <si>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</si>
  <si>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</si>
  <si>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</si>
  <si>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</si>
  <si>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</si>
  <si>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</si>
  <si>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</si>
  <si>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</si>
  <si>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</si>
  <si>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</si>
  <si>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</si>
  <si>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</si>
  <si>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</si>
  <si>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</si>
  <si>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</si>
  <si>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</si>
  <si>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</si>
  <si>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</si>
  <si>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</si>
  <si>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</si>
  <si>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</si>
  <si>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</si>
  <si>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</si>
  <si>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</si>
  <si>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</si>
  <si>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</si>
  <si>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</si>
  <si>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</si>
  <si>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</si>
  <si>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</si>
  <si>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</si>
  <si>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</si>
  <si>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</si>
  <si>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</si>
  <si>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</si>
  <si>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</si>
  <si>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</si>
  <si>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</si>
  <si>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</si>
  <si>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</si>
  <si>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</si>
  <si>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</si>
  <si>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</si>
  <si>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</si>
  <si>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</si>
  <si>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</si>
  <si>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</si>
  <si>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</si>
  <si>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</si>
  <si>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</si>
  <si>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</si>
  <si>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</si>
  <si>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</si>
  <si>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</si>
  <si>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</si>
  <si>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</si>
  <si>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</si>
  <si>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</si>
  <si>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</si>
  <si>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</si>
  <si>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</si>
  <si>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</si>
  <si>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</si>
  <si>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</si>
  <si>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</si>
  <si>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</si>
  <si>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</si>
  <si>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</si>
  <si>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</si>
  <si>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</si>
  <si>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</si>
  <si>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</si>
  <si>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</si>
  <si>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</si>
  <si>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</si>
  <si>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</si>
  <si>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</si>
  <si>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</si>
  <si>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</si>
  <si>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</si>
  <si>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</si>
  <si>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</si>
  <si>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</si>
  <si>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</si>
  <si>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</si>
  <si>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</si>
  <si>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</si>
  <si>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</si>
  <si>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</si>
  <si>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</si>
  <si>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</si>
  <si>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</si>
  <si>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</si>
  <si>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</si>
  <si>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</si>
  <si>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</si>
  <si>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</si>
  <si>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</si>
  <si>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</si>
  <si>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</si>
  <si>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</si>
  <si>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</si>
  <si>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</si>
  <si>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</si>
  <si>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</si>
  <si>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</si>
  <si>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</si>
  <si>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</si>
  <si>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</si>
  <si>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</si>
  <si>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</si>
  <si>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</si>
  <si>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</si>
  <si>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</si>
  <si>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</si>
  <si>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</si>
  <si>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</si>
  <si>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</si>
  <si>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</si>
  <si>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</si>
  <si>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</si>
  <si>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</si>
  <si>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</si>
  <si>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</si>
  <si>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</si>
  <si>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</si>
  <si>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</si>
  <si>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</si>
  <si>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</si>
  <si>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</si>
  <si>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</si>
  <si>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</si>
  <si>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</si>
  <si>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</si>
  <si>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</si>
  <si>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</si>
  <si>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</si>
  <si>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</si>
  <si>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</si>
  <si>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</si>
  <si>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</si>
  <si>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</si>
  <si>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</si>
  <si>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</si>
  <si>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</si>
  <si>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</si>
  <si>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</si>
  <si>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</si>
  <si>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</si>
  <si>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</si>
  <si>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</si>
  <si>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</si>
  <si>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</si>
  <si>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</si>
  <si>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</si>
  <si>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</si>
  <si>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</si>
  <si>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</si>
  <si>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</si>
  <si>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</si>
  <si>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</si>
  <si>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</si>
  <si>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</si>
  <si>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</si>
  <si>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</si>
  <si>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</si>
  <si>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</si>
  <si>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</si>
  <si>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</si>
  <si>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</si>
  <si>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</si>
  <si>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</si>
  <si>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</si>
  <si>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</si>
  <si>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</si>
  <si>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</si>
  <si>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</si>
  <si>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</si>
  <si>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</si>
  <si>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</si>
  <si>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</si>
  <si>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</si>
  <si>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</si>
  <si>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</si>
  <si>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</si>
  <si>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</si>
  <si>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</si>
  <si>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</si>
  <si>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</si>
  <si>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</si>
  <si>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</si>
  <si>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</si>
  <si>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</si>
  <si>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</si>
  <si>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</si>
  <si>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</si>
  <si>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</si>
  <si>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</si>
  <si>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</si>
  <si>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</si>
  <si>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</si>
  <si>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</si>
  <si>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</si>
  <si>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</si>
  <si>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</si>
  <si>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</si>
  <si>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</si>
  <si>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</si>
  <si>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</si>
  <si>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</si>
  <si>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</si>
  <si>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</si>
  <si>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</si>
  <si>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</si>
  <si>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</si>
  <si>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</si>
  <si>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</si>
  <si>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</si>
  <si>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</si>
  <si>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</si>
  <si>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</si>
  <si>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</si>
  <si>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</si>
  <si>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</si>
  <si>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</si>
  <si>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</si>
  <si>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</si>
  <si>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</si>
  <si>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</si>
  <si>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</si>
  <si>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</si>
  <si>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</si>
  <si>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</si>
  <si>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</si>
  <si>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</si>
  <si>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</si>
  <si>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</si>
  <si>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</si>
  <si>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</si>
  <si>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</si>
  <si>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</si>
  <si>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</si>
  <si>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</si>
  <si>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</si>
  <si>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</si>
  <si>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</si>
  <si>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</si>
  <si>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</si>
  <si>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</si>
  <si>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</si>
  <si>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</si>
  <si>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</si>
  <si>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</si>
  <si>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</si>
  <si>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</si>
  <si>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</si>
  <si>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</si>
  <si>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</si>
  <si>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</si>
  <si>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</si>
  <si>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</si>
  <si>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</si>
  <si>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</si>
  <si>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</si>
  <si>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</si>
  <si>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</si>
  <si>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</si>
  <si>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</si>
  <si>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</si>
  <si>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</si>
  <si>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</si>
  <si>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</si>
  <si>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</si>
  <si>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</si>
  <si>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</si>
  <si>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</si>
  <si>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</si>
  <si>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</si>
  <si>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</si>
  <si>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</si>
  <si>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</si>
  <si>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</si>
  <si>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</si>
  <si>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</si>
  <si>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</si>
  <si>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</si>
  <si>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</si>
  <si>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</si>
  <si>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</si>
  <si>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</si>
  <si>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</si>
  <si>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</si>
  <si>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</si>
  <si>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</si>
  <si>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</si>
  <si>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</si>
  <si>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</si>
  <si>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</si>
  <si>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</si>
  <si>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</si>
  <si>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</si>
  <si>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</si>
  <si>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</si>
  <si>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</si>
  <si>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</si>
  <si>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</si>
  <si>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</si>
  <si>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</si>
  <si>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</si>
  <si>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</si>
  <si>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</si>
  <si>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</si>
  <si>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</si>
  <si>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</si>
  <si>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</si>
  <si>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</si>
  <si>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</si>
  <si>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</si>
  <si>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</si>
  <si>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</si>
  <si>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</si>
  <si>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</si>
  <si>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</si>
  <si>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</si>
  <si>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</si>
  <si>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</si>
  <si>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</si>
  <si>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</si>
  <si>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</si>
  <si>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</si>
  <si>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</si>
  <si>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</si>
  <si>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</si>
  <si>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</si>
  <si>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</si>
  <si>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</si>
  <si>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</si>
  <si>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</si>
  <si>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</si>
  <si>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</si>
  <si>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</si>
  <si>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</si>
  <si>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</si>
  <si>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</si>
  <si>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</si>
  <si>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</si>
  <si>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</si>
  <si>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</si>
  <si>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</si>
  <si>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</si>
  <si>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</si>
  <si>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</si>
  <si>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</si>
  <si>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</si>
  <si>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</si>
  <si>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</si>
  <si>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</si>
  <si>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</si>
  <si>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</si>
  <si>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</si>
  <si>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</si>
  <si>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</si>
  <si>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</si>
  <si>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</si>
  <si>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</si>
  <si>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</si>
  <si>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</si>
  <si>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</si>
  <si>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</si>
  <si>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</si>
  <si>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</si>
  <si>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</si>
  <si>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</si>
  <si>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</si>
  <si>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</si>
  <si>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</si>
  <si>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</si>
  <si>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</si>
  <si>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</si>
  <si>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</si>
  <si>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</si>
  <si>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</si>
  <si>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</si>
  <si>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</si>
  <si>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</si>
  <si>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</si>
  <si>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</si>
  <si>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</si>
  <si>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</si>
  <si>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</si>
  <si>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</si>
  <si>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</si>
  <si>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</si>
  <si>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</si>
  <si>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</si>
  <si>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</si>
  <si>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</si>
  <si>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</si>
  <si>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</si>
  <si>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</si>
  <si>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</si>
  <si>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</si>
  <si>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</si>
  <si>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</si>
  <si>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</si>
  <si>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</si>
  <si>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</si>
  <si>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</si>
  <si>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</si>
  <si>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</si>
  <si>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</si>
  <si>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</si>
  <si>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</si>
  <si>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</si>
  <si>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</si>
  <si>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</si>
  <si>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</si>
  <si>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</si>
  <si>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</si>
  <si>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</si>
  <si>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</si>
  <si>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</si>
  <si>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</si>
  <si>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</si>
  <si>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</si>
  <si>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</si>
  <si>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</si>
  <si>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</si>
  <si>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</si>
  <si>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</si>
  <si>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</si>
  <si>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</si>
  <si>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</si>
  <si>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</si>
  <si>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</si>
  <si>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</si>
  <si>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</si>
  <si>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</si>
  <si>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</si>
  <si>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</si>
  <si>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</si>
  <si>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</si>
  <si>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</si>
  <si>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</si>
  <si>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</si>
  <si>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</si>
  <si>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</si>
  <si>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</si>
  <si>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</si>
  <si>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</si>
  <si>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</si>
  <si>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</si>
  <si>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</si>
  <si>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</si>
  <si>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</si>
  <si>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</si>
  <si>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</si>
  <si>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</si>
  <si>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</si>
  <si>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</si>
  <si>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</si>
  <si>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</si>
  <si>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</si>
  <si>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</si>
  <si>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</si>
  <si>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</si>
  <si>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</si>
  <si>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</si>
  <si>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</si>
  <si>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</si>
  <si>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</si>
  <si>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</si>
  <si>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</si>
  <si>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</si>
  <si>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</si>
  <si>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</si>
  <si>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</si>
  <si>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</si>
  <si>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</si>
  <si>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</si>
  <si>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</si>
  <si>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</si>
  <si>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</si>
  <si>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</si>
  <si>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</si>
  <si>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</si>
  <si>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</si>
  <si>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</si>
  <si>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</si>
  <si>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</si>
  <si>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</si>
  <si>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</si>
  <si>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</si>
  <si>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</si>
  <si>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</si>
  <si>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</si>
  <si>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</si>
  <si>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</si>
  <si>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</si>
  <si>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</si>
  <si>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</si>
  <si>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</si>
  <si>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</si>
  <si>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</si>
  <si>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</si>
  <si>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</si>
  <si>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</si>
  <si>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</si>
  <si>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</si>
  <si>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</si>
  <si>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</si>
  <si>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</si>
  <si>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</si>
  <si>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</si>
  <si>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</si>
  <si>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</si>
  <si>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</si>
  <si>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</si>
  <si>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</si>
  <si>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</si>
  <si>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</si>
  <si>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</si>
  <si>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</si>
  <si>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</si>
  <si>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</si>
  <si>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</si>
  <si>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</si>
  <si>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</si>
  <si>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</si>
  <si>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</si>
  <si>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</si>
  <si>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</si>
  <si>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</si>
  <si>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</si>
  <si>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</si>
  <si>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</si>
  <si>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</si>
  <si>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</si>
  <si>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</si>
  <si>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</si>
  <si>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</si>
  <si>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</si>
  <si>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</si>
  <si>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</si>
  <si>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</si>
  <si>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</si>
  <si>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</si>
  <si>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</si>
  <si>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</si>
  <si>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</si>
  <si>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</si>
  <si>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</si>
  <si>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</si>
  <si>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</si>
  <si>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</si>
  <si>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</si>
  <si>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</si>
  <si>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</si>
  <si>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</si>
  <si>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</si>
  <si>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</si>
  <si>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</si>
  <si>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</si>
  <si>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</si>
  <si>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</si>
  <si>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</si>
  <si>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</si>
  <si>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</si>
  <si>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</si>
  <si>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</si>
  <si>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</si>
  <si>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</si>
  <si>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</si>
  <si>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</si>
  <si>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</si>
  <si>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</si>
  <si>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</si>
  <si>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</si>
  <si>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</si>
  <si>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</si>
  <si>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</si>
  <si>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</si>
  <si>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</si>
  <si>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</si>
  <si>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</si>
  <si>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</si>
  <si>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</si>
  <si>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</si>
  <si>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</si>
  <si>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</si>
  <si>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</si>
  <si>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</si>
  <si>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</si>
  <si>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</si>
  <si>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</si>
  <si>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</si>
  <si>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</si>
  <si>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</si>
  <si>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</si>
  <si>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</si>
  <si>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</si>
  <si>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</si>
  <si>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</si>
  <si>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</si>
  <si>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</si>
  <si>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</si>
  <si>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</si>
  <si>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</si>
  <si>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</si>
  <si>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</si>
  <si>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</si>
  <si>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</si>
  <si>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</si>
  <si>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</si>
  <si>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</si>
  <si>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</si>
  <si>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</si>
  <si>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</si>
  <si>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</si>
  <si>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</si>
  <si>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</si>
  <si>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</si>
  <si>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</si>
  <si>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</si>
  <si>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</si>
  <si>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</si>
  <si>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</si>
  <si>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</si>
  <si>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</si>
  <si>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</si>
  <si>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</si>
  <si>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</si>
  <si>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</si>
  <si>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</si>
  <si>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</si>
  <si>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</si>
  <si>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</si>
  <si>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</si>
  <si>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</si>
  <si>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</si>
  <si>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</si>
  <si>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</si>
  <si>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</si>
  <si>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</si>
  <si>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</si>
  <si>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</si>
  <si>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</si>
  <si>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</si>
  <si>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</si>
  <si>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</si>
  <si>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</si>
  <si>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</si>
  <si>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</si>
  <si>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</si>
  <si>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</si>
  <si>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</si>
  <si>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</si>
  <si>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</si>
  <si>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</si>
  <si>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</si>
  <si>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</si>
  <si>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</si>
  <si>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</si>
  <si>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</si>
  <si>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</si>
  <si>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</si>
  <si>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</si>
  <si>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</si>
  <si>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</si>
  <si>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</si>
  <si>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</si>
  <si>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</si>
  <si>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</si>
  <si>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</si>
  <si>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</si>
  <si>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</si>
  <si>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</si>
  <si>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</si>
  <si>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</si>
  <si>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</si>
  <si>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</si>
  <si>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</si>
  <si>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</si>
  <si>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</si>
  <si>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</si>
  <si>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</si>
  <si>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</si>
  <si>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</si>
  <si>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</si>
  <si>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</si>
  <si>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</si>
  <si>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</si>
  <si>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</si>
  <si>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</si>
  <si>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</si>
  <si>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</si>
  <si>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</si>
  <si>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</si>
  <si>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</si>
  <si>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</si>
  <si>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</si>
  <si>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</si>
  <si>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</si>
  <si>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</si>
  <si>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</si>
  <si>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</si>
  <si>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</si>
  <si>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</si>
  <si>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</si>
  <si>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</si>
  <si>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</si>
  <si>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</si>
  <si>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</si>
  <si>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</si>
  <si>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</si>
  <si>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</si>
  <si>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</si>
  <si>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</si>
  <si>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</si>
  <si>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</si>
  <si>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</si>
  <si>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</si>
  <si>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</si>
  <si>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</si>
  <si>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</si>
  <si>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</si>
  <si>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</si>
  <si>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</si>
  <si>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</si>
  <si>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</si>
  <si>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</si>
  <si>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</si>
  <si>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</si>
  <si>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</si>
  <si>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</si>
  <si>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</si>
  <si>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</si>
  <si>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</si>
  <si>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</si>
  <si>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</si>
  <si>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</si>
  <si>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</si>
  <si>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</si>
  <si>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</si>
  <si>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</si>
  <si>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</si>
  <si>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</si>
  <si>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</si>
  <si>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</si>
  <si>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</si>
  <si>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</si>
  <si>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</si>
  <si>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</si>
  <si>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</si>
  <si>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</si>
  <si>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</si>
  <si>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</si>
  <si>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</si>
  <si>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</si>
  <si>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</si>
  <si>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</si>
  <si>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</si>
  <si>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</si>
  <si>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</si>
  <si>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</si>
  <si>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</si>
  <si>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</si>
  <si>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</si>
  <si>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</si>
  <si>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</si>
  <si>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</si>
  <si>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</si>
  <si>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</si>
  <si>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</si>
  <si>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</si>
  <si>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</si>
  <si>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</si>
  <si>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</si>
  <si>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</si>
  <si>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</si>
  <si>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</si>
  <si>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</si>
  <si>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</si>
  <si>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</si>
  <si>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</si>
  <si>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</si>
  <si>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</si>
  <si>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</si>
  <si>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</si>
  <si>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</si>
  <si>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</si>
  <si>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</si>
  <si>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</si>
  <si>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</si>
  <si>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</si>
  <si>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</si>
  <si>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</si>
  <si>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</si>
  <si>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</si>
  <si>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</si>
  <si>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</si>
  <si>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</si>
  <si>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</si>
  <si>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</si>
  <si>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</si>
  <si>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</si>
  <si>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</si>
  <si>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</si>
  <si>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</si>
  <si>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</si>
  <si>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</si>
  <si>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</si>
  <si>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</si>
  <si>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</si>
  <si>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</si>
  <si>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</si>
  <si>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</si>
  <si>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</si>
  <si>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</si>
  <si>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</si>
  <si>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</si>
  <si>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</si>
  <si>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</si>
  <si>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</si>
  <si>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</si>
  <si>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</si>
  <si>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</si>
  <si>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</si>
  <si>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</si>
  <si>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</si>
  <si>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</si>
  <si>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</si>
  <si>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</si>
  <si>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</si>
  <si>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</si>
  <si>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</si>
  <si>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</si>
  <si>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</si>
  <si>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</si>
  <si>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</si>
  <si>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</si>
  <si>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</si>
  <si>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</si>
  <si>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</si>
  <si>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</si>
  <si>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</si>
  <si>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</si>
  <si>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</si>
  <si>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</si>
  <si>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</si>
  <si>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</si>
  <si>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</si>
  <si>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</si>
  <si>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</si>
  <si>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</si>
  <si>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</si>
  <si>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</si>
  <si>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</si>
  <si>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</si>
  <si>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</si>
  <si>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</si>
  <si>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</si>
  <si>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</si>
  <si>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</si>
  <si>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</si>
  <si>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</si>
  <si>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</si>
  <si>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</si>
  <si>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</si>
  <si>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</si>
  <si>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</si>
  <si>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</si>
  <si>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</si>
  <si>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</si>
  <si>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</si>
  <si>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</si>
  <si>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</si>
  <si>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</si>
  <si>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</si>
  <si>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</si>
  <si>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</si>
  <si>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</si>
  <si>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</si>
  <si>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</si>
  <si>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</si>
  <si>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</si>
  <si>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</si>
  <si>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</si>
  <si>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</si>
  <si>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</si>
  <si>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</si>
  <si>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</si>
  <si>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</si>
  <si>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</si>
  <si>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</si>
  <si>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</si>
  <si>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</si>
  <si>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</si>
  <si>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</si>
  <si>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</si>
  <si>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</si>
  <si>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</si>
  <si>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</si>
  <si>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</si>
  <si>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</si>
  <si>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</si>
  <si>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</si>
  <si>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</si>
  <si>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</si>
  <si>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</si>
  <si>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</si>
  <si>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</si>
  <si>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</si>
  <si>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</si>
  <si>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</si>
  <si>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</si>
  <si>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</si>
  <si>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</si>
  <si>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</si>
  <si>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</si>
  <si>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</si>
  <si>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</si>
  <si>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</si>
  <si>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</si>
  <si>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</si>
  <si>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</si>
  <si>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</si>
  <si>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</si>
  <si>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</si>
  <si>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</si>
  <si>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</si>
  <si>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</si>
  <si>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</si>
  <si>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</si>
  <si>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</si>
  <si>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</si>
  <si>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</si>
  <si>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</si>
  <si>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</si>
  <si>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</si>
  <si>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</si>
  <si>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</si>
  <si>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</si>
  <si>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</si>
  <si>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</si>
  <si>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</si>
  <si>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</si>
  <si>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</si>
  <si>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</si>
  <si>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</si>
  <si>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</si>
  <si>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</si>
  <si>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</si>
  <si>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</si>
  <si>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</si>
  <si>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</si>
  <si>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</si>
  <si>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</si>
  <si>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</si>
  <si>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</si>
  <si>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</si>
  <si>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</si>
  <si>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</si>
  <si>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</si>
  <si>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</si>
  <si>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</si>
  <si>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</si>
  <si>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</si>
  <si>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</si>
  <si>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</si>
  <si>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</si>
  <si>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</si>
  <si>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</si>
  <si>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</si>
  <si>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</si>
  <si>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</si>
  <si>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</si>
  <si>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</si>
  <si>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</si>
  <si>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</si>
  <si>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</si>
  <si>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</si>
  <si>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</si>
  <si>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</si>
  <si>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</si>
  <si>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</si>
  <si>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</si>
  <si>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</si>
  <si>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</si>
  <si>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</si>
  <si>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</si>
  <si>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</si>
  <si>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</si>
  <si>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</si>
  <si>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</si>
  <si>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</si>
  <si>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</si>
  <si>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</si>
  <si>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</si>
  <si>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</si>
  <si>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</si>
  <si>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</si>
  <si>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</si>
  <si>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</si>
  <si>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</si>
  <si>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</si>
  <si>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</si>
  <si>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</si>
  <si>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</si>
  <si>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</si>
  <si>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</si>
  <si>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</si>
  <si>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</si>
  <si>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</si>
  <si>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</si>
  <si>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</si>
  <si>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</si>
  <si>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</si>
  <si>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</si>
  <si>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</si>
  <si>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</si>
  <si>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</si>
  <si>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</si>
  <si>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</si>
  <si>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</si>
  <si>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</si>
  <si>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</si>
  <si>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</si>
  <si>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</si>
  <si>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</si>
  <si>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</si>
  <si>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</si>
  <si>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</si>
  <si>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</si>
  <si>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</si>
  <si>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</si>
  <si>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</si>
  <si>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</si>
  <si>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</si>
  <si>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</si>
  <si>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</si>
  <si>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</si>
  <si>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</si>
  <si>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</si>
  <si>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</si>
  <si>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</si>
  <si>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</si>
  <si>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</si>
  <si>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</si>
  <si>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</si>
  <si>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</si>
  <si>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</si>
  <si>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</si>
  <si>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</si>
  <si>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</si>
  <si>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</si>
  <si>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</si>
  <si>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</si>
  <si>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</si>
  <si>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</si>
  <si>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</si>
  <si>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</si>
  <si>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</si>
  <si>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</si>
  <si>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</si>
  <si>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</si>
  <si>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</si>
  <si>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</si>
  <si>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</si>
  <si>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</si>
  <si>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</si>
  <si>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</si>
  <si>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</si>
  <si>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</si>
  <si>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</si>
  <si>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</si>
  <si>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</si>
  <si>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</si>
  <si>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</si>
  <si>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</si>
  <si>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</si>
  <si>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</si>
  <si>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</si>
  <si>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</si>
  <si>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</si>
  <si>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</si>
  <si>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</si>
  <si>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</si>
  <si>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</si>
  <si>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</si>
  <si>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</si>
  <si>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</si>
  <si>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</si>
  <si>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</si>
  <si>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</si>
  <si>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</si>
  <si>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</si>
  <si>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</si>
  <si>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</si>
  <si>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</si>
  <si>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</si>
  <si>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</si>
  <si>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</si>
  <si>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</si>
  <si>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</si>
  <si>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</si>
  <si>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</si>
  <si>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</si>
  <si>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</si>
  <si>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</si>
  <si>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</si>
  <si>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</si>
  <si>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</si>
  <si>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</si>
  <si>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</si>
  <si>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</si>
  <si>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</si>
  <si>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</si>
  <si>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</si>
  <si>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</si>
  <si>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</si>
  <si>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</si>
  <si>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</si>
  <si>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</si>
  <si>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</si>
  <si>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</si>
  <si>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</si>
  <si>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</si>
  <si>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</si>
  <si>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</si>
  <si>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</si>
  <si>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</si>
  <si>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</si>
  <si>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</si>
  <si>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</si>
  <si>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</si>
  <si>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</si>
  <si>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</si>
  <si>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</si>
  <si>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</si>
  <si>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</si>
  <si>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</si>
  <si>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</si>
  <si>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</si>
  <si>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</si>
  <si>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</si>
  <si>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</si>
  <si>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</si>
  <si>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</si>
  <si>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</si>
  <si>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</si>
  <si>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</si>
  <si>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</si>
  <si>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</si>
  <si>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</si>
  <si>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</si>
  <si>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</si>
  <si>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</si>
  <si>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</si>
  <si>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</si>
  <si>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</si>
  <si>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</si>
  <si>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</si>
  <si>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</si>
  <si>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</si>
  <si>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</si>
  <si>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</si>
  <si>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</si>
  <si>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</si>
  <si>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</si>
  <si>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</si>
  <si>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</si>
  <si>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</si>
  <si>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</si>
  <si>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</si>
  <si>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</si>
  <si>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</si>
  <si>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</si>
  <si>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</si>
  <si>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</si>
  <si>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</si>
  <si>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</si>
  <si>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</si>
  <si>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</si>
  <si>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</si>
  <si>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</si>
  <si>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</si>
  <si>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</si>
  <si>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</si>
  <si>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</si>
  <si>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</si>
  <si>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</si>
  <si>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</si>
  <si>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</si>
  <si>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</si>
  <si>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</si>
  <si>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</si>
  <si>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</si>
  <si>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</si>
  <si>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</si>
  <si>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</si>
  <si>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</si>
  <si>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</si>
  <si>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</si>
  <si>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</si>
  <si>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</si>
  <si>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</si>
  <si>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</si>
  <si>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</si>
  <si>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</si>
  <si>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</si>
  <si>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</si>
  <si>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</si>
  <si>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</si>
  <si>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</si>
  <si>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</si>
  <si>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</si>
  <si>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</si>
  <si>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</si>
  <si>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</si>
  <si>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</si>
  <si>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</si>
  <si>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</si>
  <si>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</si>
  <si>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</si>
  <si>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</si>
  <si>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</si>
  <si>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</si>
  <si>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</si>
  <si>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</si>
  <si>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</si>
  <si>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</si>
  <si>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</si>
  <si>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</si>
  <si>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</si>
  <si>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</si>
  <si>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</si>
  <si>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</si>
  <si>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</si>
  <si>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</si>
  <si>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</si>
  <si>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</si>
  <si>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</si>
  <si>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</si>
  <si>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</si>
  <si>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</si>
  <si>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</si>
  <si>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</si>
  <si>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</si>
  <si>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</si>
  <si>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</si>
  <si>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</si>
  <si>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</si>
  <si>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</si>
  <si>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</si>
  <si>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</si>
  <si>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</si>
  <si>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</si>
  <si>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</si>
  <si>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</si>
  <si>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</si>
  <si>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</si>
  <si>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</si>
  <si>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</si>
  <si>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</si>
  <si>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</si>
  <si>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</si>
  <si>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</si>
  <si>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</si>
  <si>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</si>
  <si>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</si>
  <si>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</si>
  <si>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</si>
  <si>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</si>
  <si>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</si>
  <si>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</si>
  <si>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</si>
  <si>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</si>
  <si>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</si>
  <si>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</si>
  <si>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</si>
  <si>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</si>
  <si>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</si>
  <si>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</si>
  <si>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</si>
  <si>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</si>
  <si>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</si>
  <si>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</si>
  <si>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</si>
  <si>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</si>
  <si>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</si>
  <si>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</si>
  <si>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</si>
  <si>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</si>
  <si>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</si>
  <si>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</si>
  <si>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</si>
  <si>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</si>
  <si>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</si>
  <si>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</si>
  <si>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</si>
  <si>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</si>
  <si>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</si>
  <si>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</si>
  <si>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</si>
  <si>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</si>
  <si>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</si>
  <si>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</si>
  <si>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</si>
  <si>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</si>
  <si>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</si>
  <si>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</si>
  <si>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</si>
  <si>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</si>
  <si>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</si>
  <si>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</si>
  <si>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</si>
  <si>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</si>
  <si>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</si>
  <si>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</si>
  <si>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</si>
  <si>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</si>
  <si>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</si>
  <si>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</si>
  <si>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</si>
  <si>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</si>
  <si>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</si>
  <si>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</si>
  <si>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</si>
  <si>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</si>
  <si>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</si>
  <si>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</si>
  <si>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</si>
  <si>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</si>
  <si>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</si>
  <si>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</si>
  <si>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</si>
  <si>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</si>
  <si>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</si>
  <si>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</si>
  <si>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</si>
  <si>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</si>
  <si>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</si>
  <si>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</si>
  <si>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</si>
  <si>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</si>
  <si>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</si>
  <si>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</si>
  <si>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</si>
  <si>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</si>
  <si>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</si>
  <si>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</si>
  <si>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</si>
  <si>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</si>
  <si>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</si>
  <si>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</si>
  <si>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</si>
  <si>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</si>
  <si>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</si>
  <si>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</si>
  <si>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</si>
  <si>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</si>
  <si>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</si>
  <si>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</si>
  <si>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</si>
  <si>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</si>
  <si>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</si>
  <si>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</si>
  <si>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</si>
  <si>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</si>
  <si>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</si>
  <si>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</si>
  <si>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</si>
  <si>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</si>
  <si>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</si>
  <si>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</si>
  <si>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</si>
  <si>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</si>
  <si>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</si>
  <si>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</si>
  <si>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</si>
  <si>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</si>
  <si>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</si>
  <si>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</si>
  <si>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</si>
  <si>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</si>
  <si>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</si>
  <si>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</si>
  <si>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</si>
  <si>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</si>
  <si>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</si>
  <si>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</si>
  <si>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</si>
  <si>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</si>
  <si>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</si>
  <si>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</si>
  <si>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</si>
  <si>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</si>
  <si>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</si>
  <si>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</si>
  <si>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</si>
  <si>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</si>
  <si>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</si>
  <si>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</si>
  <si>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</si>
  <si>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</si>
  <si>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</si>
  <si>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</si>
  <si>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</si>
  <si>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</si>
  <si>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</si>
  <si>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</si>
  <si>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</si>
  <si>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</si>
  <si>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</si>
  <si>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</si>
  <si>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</si>
  <si>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</si>
  <si>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</si>
  <si>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</si>
  <si>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</si>
  <si>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</si>
  <si>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</si>
  <si>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</si>
  <si>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</si>
  <si>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</si>
  <si>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</si>
  <si>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</si>
  <si>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</si>
  <si>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</si>
  <si>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</si>
  <si>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</si>
  <si>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</si>
  <si>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</si>
  <si>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</si>
  <si>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</si>
  <si>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</si>
  <si>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</si>
  <si>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</si>
  <si>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</si>
  <si>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</si>
  <si>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</si>
  <si>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</si>
  <si>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</si>
  <si>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</si>
  <si>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</si>
  <si>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</si>
  <si>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</si>
  <si>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</si>
  <si>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</si>
  <si>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</si>
  <si>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</si>
  <si>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</si>
  <si>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</si>
  <si>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</si>
  <si>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</si>
  <si>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</si>
  <si>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</si>
  <si>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</si>
  <si>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</si>
  <si>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</si>
  <si>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</si>
  <si>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</si>
  <si>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</si>
  <si>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</si>
  <si>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</si>
  <si>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</si>
  <si>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</si>
  <si>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</si>
  <si>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</si>
  <si>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</si>
  <si>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</si>
  <si>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</si>
  <si>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</si>
  <si>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</si>
  <si>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</si>
  <si>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</si>
  <si>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</si>
  <si>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</si>
  <si>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</si>
  <si>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</si>
  <si>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</si>
  <si>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</si>
  <si>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</si>
  <si>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</si>
  <si>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</si>
  <si>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</si>
  <si>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</si>
  <si>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</si>
  <si>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</si>
  <si>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</si>
  <si>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</si>
  <si>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</si>
  <si>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</si>
  <si>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</si>
  <si>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</si>
  <si>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</si>
  <si>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</si>
  <si>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</si>
  <si>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</si>
  <si>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</si>
  <si>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</si>
  <si>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</si>
  <si>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</si>
  <si>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</si>
  <si>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</si>
  <si>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</si>
  <si>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</si>
  <si>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</si>
  <si>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</si>
  <si>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</si>
  <si>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</si>
  <si>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</si>
  <si>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</si>
  <si>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</si>
  <si>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</si>
  <si>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</si>
  <si>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</si>
  <si>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</si>
  <si>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</si>
  <si>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</si>
  <si>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</si>
  <si>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</si>
  <si>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</si>
  <si>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</si>
  <si>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</si>
  <si>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</si>
  <si>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</si>
  <si>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</si>
  <si>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</si>
  <si>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</si>
  <si>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</si>
  <si>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</si>
  <si>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</si>
  <si>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</si>
  <si>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</si>
  <si>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</si>
  <si>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</si>
  <si>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</si>
  <si>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</si>
  <si>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</si>
  <si>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</si>
  <si>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</si>
  <si>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</si>
  <si>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</si>
  <si>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</si>
  <si>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</si>
  <si>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</si>
  <si>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</si>
  <si>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</si>
  <si>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</si>
  <si>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</si>
  <si>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</si>
  <si>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</si>
  <si>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</si>
  <si>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</si>
  <si>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</si>
  <si>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</si>
  <si>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</si>
  <si>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</si>
  <si>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</si>
  <si>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</si>
  <si>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</si>
  <si>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</si>
  <si>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</si>
  <si>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</si>
  <si>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</si>
  <si>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</si>
  <si>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</si>
  <si>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</si>
  <si>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</si>
  <si>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</si>
  <si>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</si>
  <si>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</si>
  <si>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</si>
  <si>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</si>
  <si>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</si>
  <si>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</si>
  <si>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</si>
  <si>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</si>
  <si>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</si>
  <si>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</si>
  <si>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</si>
  <si>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</si>
  <si>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</si>
  <si>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</si>
  <si>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</si>
  <si>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</si>
  <si>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</si>
  <si>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</si>
  <si>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</si>
  <si>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</si>
  <si>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</si>
  <si>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</si>
  <si>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</si>
  <si>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</si>
  <si>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</si>
  <si>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</si>
  <si>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</si>
  <si>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</si>
  <si>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</si>
  <si>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</si>
  <si>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</si>
  <si>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</si>
  <si>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</si>
  <si>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</si>
  <si>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</si>
  <si>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</si>
  <si>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</si>
  <si>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</si>
  <si>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</si>
  <si>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</si>
  <si>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</si>
  <si>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</si>
  <si>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</si>
  <si>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</si>
  <si>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</si>
  <si>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</si>
  <si>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</si>
  <si>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</si>
  <si>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</si>
  <si>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</si>
  <si>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</si>
  <si>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</si>
  <si>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</si>
  <si>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</si>
  <si>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</si>
  <si>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</si>
  <si>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</si>
  <si>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</si>
  <si>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</si>
  <si>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</si>
  <si>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</si>
  <si>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</si>
  <si>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</si>
  <si>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</si>
  <si>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</si>
  <si>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</si>
  <si>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</si>
  <si>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</si>
  <si>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</si>
  <si>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</si>
  <si>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</si>
  <si>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</si>
  <si>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</si>
  <si>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</si>
  <si>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</si>
  <si>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</si>
  <si>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</si>
  <si>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</si>
  <si>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</si>
  <si>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</si>
  <si>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</si>
  <si>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</si>
  <si>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</si>
  <si>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</si>
  <si>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</si>
  <si>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</si>
  <si>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</si>
  <si>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</si>
  <si>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</si>
  <si>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</si>
  <si>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</si>
  <si>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</si>
  <si>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</si>
  <si>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</si>
  <si>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</si>
  <si>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</si>
  <si>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</si>
  <si>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</si>
  <si>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</si>
  <si>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</si>
  <si>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</si>
  <si>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</si>
  <si>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</si>
  <si>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</si>
  <si>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</si>
  <si>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</si>
  <si>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</si>
  <si>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</si>
  <si>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</si>
  <si>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</si>
  <si>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</si>
  <si>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</si>
  <si>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</si>
  <si>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</si>
  <si>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</si>
  <si>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</si>
  <si>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</si>
  <si>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</si>
  <si>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</si>
  <si>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</si>
  <si>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</si>
  <si>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</si>
  <si>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</si>
  <si>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</si>
  <si>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</si>
  <si>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</si>
  <si>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</si>
  <si>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</si>
  <si>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</si>
  <si>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</si>
  <si>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</si>
  <si>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</si>
  <si>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</si>
  <si>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</si>
  <si>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</si>
  <si>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</si>
  <si>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</si>
  <si>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</si>
  <si>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</si>
  <si>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</si>
  <si>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</si>
  <si>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</si>
  <si>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</si>
  <si>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</si>
  <si>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</si>
  <si>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</si>
  <si>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</si>
  <si>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</si>
  <si>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</si>
  <si>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</si>
  <si>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</si>
  <si>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</si>
  <si>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</si>
  <si>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</si>
  <si>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</si>
  <si>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</si>
  <si>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</si>
  <si>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</si>
  <si>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</si>
  <si>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</si>
  <si>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</si>
  <si>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</si>
  <si>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</si>
  <si>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</si>
  <si>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</si>
  <si>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</si>
  <si>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</si>
  <si>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</si>
  <si>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</si>
  <si>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</si>
  <si>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</si>
  <si>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</si>
  <si>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</si>
  <si>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</si>
  <si>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</si>
  <si>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</si>
  <si>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</si>
  <si>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</si>
  <si>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</si>
  <si>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</si>
  <si>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</si>
  <si>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</si>
  <si>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</si>
  <si>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</si>
  <si>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</si>
  <si>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</si>
  <si>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</si>
  <si>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</si>
  <si>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</si>
  <si>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</si>
  <si>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</si>
  <si>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</si>
  <si>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</si>
  <si>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</si>
  <si>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</si>
  <si>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</si>
  <si>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</si>
  <si>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</si>
  <si>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</si>
  <si>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</si>
  <si>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</si>
  <si>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</si>
  <si>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</si>
  <si>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</si>
  <si>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</si>
  <si>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</si>
  <si>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</si>
  <si>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</si>
  <si>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</si>
  <si>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</si>
  <si>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</si>
  <si>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</si>
  <si>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</si>
  <si>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</si>
  <si>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</si>
  <si>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</si>
  <si>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</si>
  <si>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</si>
  <si>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</si>
  <si>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</si>
  <si>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</si>
  <si>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</si>
  <si>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</si>
  <si>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</si>
  <si>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</si>
  <si>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</si>
  <si>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</si>
  <si>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</si>
  <si>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</si>
  <si>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</si>
  <si>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</si>
  <si>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</si>
  <si>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</si>
  <si>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</si>
  <si>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</si>
  <si>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</si>
  <si>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</si>
  <si>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</si>
  <si>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</si>
  <si>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</si>
  <si>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</si>
  <si>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</si>
  <si>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</si>
  <si>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</si>
  <si>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</si>
  <si>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</si>
  <si>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</si>
  <si>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</si>
  <si>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</si>
  <si>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</si>
  <si>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</si>
  <si>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</si>
  <si>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</si>
  <si>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</si>
  <si>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</si>
  <si>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</si>
  <si>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</si>
  <si>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</si>
  <si>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</si>
  <si>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</si>
  <si>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</si>
  <si>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</si>
  <si>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</si>
  <si>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</si>
  <si>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</si>
  <si>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</si>
  <si>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</si>
  <si>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</si>
  <si>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</si>
  <si>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</si>
  <si>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</si>
  <si>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</si>
  <si>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</si>
  <si>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</si>
  <si>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</si>
  <si>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</si>
  <si>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</si>
  <si>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</si>
  <si>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</si>
  <si>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</si>
  <si>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</si>
  <si>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</si>
  <si>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</si>
  <si>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</si>
  <si>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</si>
  <si>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</si>
  <si>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</si>
  <si>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</si>
  <si>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</si>
  <si>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</si>
  <si>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</si>
  <si>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</si>
  <si>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</si>
  <si>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</si>
  <si>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</si>
  <si>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</si>
  <si>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</si>
  <si>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</si>
  <si>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</si>
  <si>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</si>
  <si>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</si>
  <si>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</si>
  <si>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</si>
  <si>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</si>
  <si>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</si>
  <si>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</si>
  <si>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</si>
  <si>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</si>
  <si>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</si>
  <si>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</si>
  <si>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</si>
  <si>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</si>
  <si>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</si>
  <si>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</si>
  <si>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</si>
  <si>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</si>
  <si>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</si>
  <si>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</si>
  <si>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</si>
  <si>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</si>
  <si>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</si>
  <si>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</si>
  <si>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</si>
  <si>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</si>
  <si>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</si>
  <si>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</si>
  <si>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</si>
  <si>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</si>
  <si>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</si>
  <si>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</si>
  <si>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</si>
  <si>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</si>
  <si>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</si>
  <si>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</si>
  <si>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</si>
  <si>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</si>
  <si>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</si>
  <si>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</si>
  <si>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</si>
  <si>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</si>
  <si>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</si>
  <si>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</si>
  <si>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</si>
  <si>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</si>
  <si>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</si>
  <si>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</si>
  <si>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</si>
  <si>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</si>
  <si>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</si>
  <si>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</si>
  <si>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</si>
  <si>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</si>
  <si>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</si>
  <si>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</si>
  <si>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</si>
  <si>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</si>
  <si>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</si>
  <si>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</si>
  <si>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</si>
  <si>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</si>
  <si>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</si>
  <si>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</si>
  <si>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</si>
  <si>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</si>
  <si>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</si>
  <si>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</si>
  <si>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</si>
  <si>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</si>
  <si>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</si>
  <si>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</si>
  <si>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</si>
  <si>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</si>
  <si>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</si>
  <si>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</si>
  <si>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</si>
  <si>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</si>
  <si>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</si>
  <si>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</si>
  <si>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</si>
  <si>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</si>
  <si>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</si>
  <si>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</si>
  <si>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</si>
  <si>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</si>
  <si>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</si>
  <si>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</si>
  <si>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</si>
  <si>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</si>
  <si>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</si>
  <si>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</si>
  <si>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</si>
  <si>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</si>
  <si>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</si>
  <si>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</si>
  <si>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</si>
  <si>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</si>
  <si>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</si>
  <si>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</si>
  <si>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</si>
  <si>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</si>
  <si>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</si>
  <si>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</si>
  <si>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</si>
  <si>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</si>
  <si>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</si>
  <si>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</si>
  <si>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</si>
  <si>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</si>
  <si>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</si>
  <si>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</si>
  <si>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</si>
  <si>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</si>
  <si>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</si>
  <si>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</si>
  <si>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</si>
  <si>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</si>
  <si>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</si>
  <si>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</si>
  <si>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</si>
  <si>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</si>
  <si>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</si>
  <si>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</si>
  <si>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</si>
  <si>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</si>
  <si>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</si>
  <si>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</si>
  <si>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</si>
  <si>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</si>
  <si>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</si>
  <si>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</si>
  <si>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</si>
  <si>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</si>
  <si>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</si>
  <si>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</si>
  <si>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</si>
  <si>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</si>
  <si>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</si>
  <si>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</si>
  <si>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</si>
  <si>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</si>
  <si>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</si>
  <si>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</si>
  <si>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</si>
  <si>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</si>
  <si>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</si>
  <si>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</si>
  <si>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</si>
  <si>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</si>
  <si>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</si>
  <si>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</si>
  <si>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</si>
  <si>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</si>
  <si>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</si>
  <si>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</si>
  <si>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</si>
  <si>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</si>
  <si>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</si>
  <si>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</si>
  <si>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</si>
  <si>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</si>
  <si>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</si>
  <si>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</si>
  <si>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</si>
  <si>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</si>
  <si>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</si>
  <si>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</si>
  <si>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</si>
  <si>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</si>
  <si>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</si>
  <si>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</si>
  <si>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</si>
  <si>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</si>
  <si>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</si>
  <si>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</si>
  <si>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</si>
  <si>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</si>
  <si>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</si>
  <si>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</si>
  <si>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</si>
  <si>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</si>
  <si>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</si>
  <si>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</si>
  <si>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</si>
  <si>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</si>
  <si>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</si>
  <si>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</si>
  <si>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</si>
  <si>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</si>
  <si>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</si>
  <si>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</si>
  <si>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</si>
  <si>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</si>
  <si>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</si>
  <si>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</si>
  <si>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</si>
  <si>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</si>
  <si>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</si>
  <si>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</si>
  <si>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</si>
  <si>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</si>
  <si>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</si>
  <si>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</si>
  <si>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</si>
  <si>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</si>
  <si>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</si>
  <si>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</si>
  <si>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</si>
  <si>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</si>
  <si>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</si>
  <si>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</si>
  <si>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</si>
  <si>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</si>
  <si>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</si>
  <si>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</si>
  <si>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</si>
  <si>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</si>
  <si>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</si>
  <si>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</si>
  <si>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</si>
  <si>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</si>
  <si>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</si>
  <si>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</si>
  <si>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</si>
  <si>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</si>
  <si>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</si>
  <si>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</si>
  <si>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</si>
  <si>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</si>
  <si>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</si>
  <si>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</si>
  <si>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</si>
  <si>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</si>
  <si>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</si>
  <si>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</si>
  <si>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</si>
  <si>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</si>
  <si>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</si>
  <si>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</si>
  <si>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</si>
  <si>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</si>
  <si>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</si>
  <si>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</si>
  <si>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</si>
  <si>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</si>
  <si>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</si>
  <si>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</si>
  <si>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</si>
  <si>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</si>
  <si>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</si>
  <si>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</si>
  <si>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</si>
  <si>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</si>
  <si>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</si>
  <si>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</si>
  <si>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</si>
  <si>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</si>
  <si>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</si>
  <si>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</si>
  <si>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</si>
  <si>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</si>
  <si>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</si>
  <si>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</si>
  <si>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</si>
  <si>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</si>
  <si>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</si>
  <si>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</si>
  <si>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</si>
  <si>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</si>
  <si>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</si>
  <si>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</si>
  <si>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</si>
  <si>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</si>
  <si>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</si>
  <si>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</si>
  <si>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</si>
  <si>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</si>
  <si>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</si>
  <si>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</si>
  <si>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</si>
  <si>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</si>
  <si>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</si>
  <si>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</si>
  <si>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</si>
  <si>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</si>
  <si>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</si>
  <si>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</si>
  <si>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</si>
  <si>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</si>
  <si>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</si>
  <si>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</si>
  <si>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</si>
  <si>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</si>
  <si>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</si>
  <si>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</si>
  <si>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</si>
  <si>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</si>
  <si>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</si>
  <si>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</si>
  <si>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</si>
  <si>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</si>
  <si>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</si>
  <si>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</si>
  <si>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</si>
  <si>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</si>
  <si>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</si>
  <si>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</si>
  <si>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</si>
  <si>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</si>
  <si>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</si>
  <si>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</si>
  <si>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</si>
  <si>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</si>
  <si>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</si>
  <si>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</si>
  <si>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</si>
  <si>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</si>
  <si>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</si>
  <si>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</si>
  <si>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</si>
  <si>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</si>
  <si>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</si>
  <si>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</si>
  <si>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</si>
  <si>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</si>
  <si>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</si>
  <si>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</si>
  <si>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</si>
  <si>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</si>
  <si>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</si>
  <si>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</si>
  <si>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</si>
  <si>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</si>
  <si>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</si>
  <si>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</si>
  <si>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</si>
  <si>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</si>
  <si>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</si>
  <si>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</si>
  <si>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</si>
  <si>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</si>
  <si>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</si>
  <si>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</si>
  <si>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</si>
  <si>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</si>
  <si>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</si>
  <si>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</si>
  <si>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</si>
  <si>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</si>
  <si>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</si>
  <si>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</si>
  <si>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</si>
  <si>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</si>
  <si>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</si>
  <si>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</si>
  <si>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</si>
  <si>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</si>
  <si>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</si>
  <si>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</si>
  <si>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</si>
  <si>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</si>
  <si>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</si>
  <si>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</si>
  <si>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</si>
  <si>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</si>
  <si>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</si>
  <si>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</si>
  <si>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</si>
  <si>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</si>
  <si>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</si>
  <si>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</si>
  <si>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</si>
  <si>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</si>
  <si>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</si>
  <si>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</si>
  <si>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</si>
  <si>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</si>
  <si>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</si>
  <si>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</si>
  <si>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</si>
  <si>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</si>
  <si>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</si>
  <si>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</si>
  <si>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</si>
  <si>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</si>
  <si>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</si>
  <si>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</si>
  <si>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</si>
  <si>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</si>
  <si>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</si>
  <si>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</si>
  <si>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</si>
  <si>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</si>
  <si>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</si>
  <si>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</si>
  <si>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</si>
  <si>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</si>
  <si>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</si>
  <si>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</si>
  <si>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</si>
  <si>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</si>
  <si>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</si>
  <si>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</si>
  <si>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</si>
  <si>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</si>
  <si>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</si>
  <si>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</si>
  <si>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</si>
  <si>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</si>
  <si>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</si>
  <si>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</si>
  <si>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</si>
  <si>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</si>
  <si>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</si>
  <si>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</si>
  <si>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</si>
  <si>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</si>
  <si>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</si>
  <si>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</si>
  <si>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</si>
  <si>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</si>
  <si>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</si>
  <si>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</si>
  <si>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</si>
  <si>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</si>
  <si>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</si>
  <si>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</si>
  <si>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</si>
  <si>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</si>
  <si>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</si>
  <si>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</si>
  <si>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</si>
  <si>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</si>
  <si>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</si>
  <si>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</si>
  <si>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</si>
  <si>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</si>
  <si>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</si>
  <si>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</si>
  <si>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</si>
  <si>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</si>
  <si>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</si>
  <si>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</si>
  <si>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</si>
  <si>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</si>
  <si>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</si>
  <si>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</si>
  <si>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</si>
  <si>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</si>
  <si>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</si>
  <si>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</si>
  <si>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</si>
  <si>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</si>
  <si>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</si>
  <si>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</si>
  <si>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</si>
  <si>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</si>
  <si>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</si>
  <si>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</si>
  <si>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</si>
  <si>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</si>
  <si>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</si>
  <si>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</si>
  <si>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</si>
  <si>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</si>
  <si>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</si>
  <si>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</si>
  <si>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</si>
  <si>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</si>
  <si>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</si>
  <si>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</si>
  <si>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</si>
  <si>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</si>
  <si>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</si>
  <si>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</si>
  <si>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</si>
  <si>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</si>
  <si>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</si>
  <si>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</si>
  <si>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</si>
  <si>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</si>
  <si>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</si>
  <si>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</si>
  <si>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</si>
  <si>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</si>
  <si>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</si>
  <si>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</si>
  <si>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</si>
  <si>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</si>
  <si>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</si>
  <si>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</si>
  <si>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</si>
  <si>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</si>
  <si>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</si>
  <si>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</si>
  <si>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</si>
  <si>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</si>
  <si>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</si>
  <si>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</si>
  <si>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</si>
  <si>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</si>
  <si>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</si>
  <si>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</si>
  <si>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</si>
  <si>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</si>
  <si>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</si>
  <si>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</si>
  <si>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</si>
  <si>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</si>
  <si>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</si>
  <si>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</si>
  <si>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</si>
  <si>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</si>
  <si>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</si>
  <si>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</si>
  <si>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</si>
  <si>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</si>
  <si>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</si>
  <si>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</si>
  <si>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</si>
  <si>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</si>
  <si>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</si>
  <si>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</si>
  <si>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</si>
  <si>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</si>
  <si>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</si>
  <si>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</si>
  <si>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</si>
  <si>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</si>
  <si>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</si>
  <si>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</si>
  <si>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</si>
  <si>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</si>
  <si>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</si>
  <si>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</si>
  <si>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</si>
  <si>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</si>
  <si>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</si>
  <si>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</si>
  <si>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</si>
  <si>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</si>
  <si>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</si>
  <si>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</si>
  <si>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</si>
  <si>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</si>
  <si>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</si>
  <si>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</si>
  <si>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</si>
  <si>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</si>
  <si>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</si>
  <si>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</si>
  <si>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</si>
  <si>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</si>
  <si>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</si>
  <si>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</si>
  <si>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</si>
  <si>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</si>
  <si>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</si>
  <si>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</si>
  <si>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</si>
  <si>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</si>
  <si>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</si>
  <si>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</si>
  <si>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</si>
  <si>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</si>
  <si>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</si>
  <si>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</si>
  <si>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</si>
  <si>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</si>
  <si>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</si>
  <si>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</si>
  <si>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</si>
  <si>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</si>
  <si>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</si>
  <si>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</si>
  <si>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</si>
  <si>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</si>
  <si>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</si>
  <si>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</si>
  <si>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</si>
  <si>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</si>
  <si>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</si>
  <si>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</si>
  <si>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</si>
  <si>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</si>
  <si>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</si>
  <si>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</si>
  <si>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</si>
  <si>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</si>
  <si>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</si>
  <si>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</si>
  <si>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</si>
  <si>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</si>
  <si>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</si>
  <si>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</si>
  <si>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</si>
  <si>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</si>
  <si>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</si>
  <si>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</si>
  <si>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</si>
  <si>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</si>
  <si>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</si>
  <si>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</si>
  <si>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</si>
  <si>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</si>
  <si>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</si>
  <si>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</si>
  <si>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</si>
  <si>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</si>
  <si>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</si>
  <si>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</si>
  <si>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</si>
  <si>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</si>
  <si>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</si>
  <si>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</si>
  <si>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</si>
  <si>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</si>
  <si>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</si>
  <si>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</si>
  <si>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</si>
  <si>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</si>
  <si>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</si>
  <si>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</si>
  <si>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</si>
  <si>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</si>
  <si>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</si>
  <si>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</si>
  <si>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</si>
  <si>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</si>
  <si>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</si>
  <si>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</si>
  <si>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</si>
  <si>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</si>
  <si>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</si>
  <si>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</si>
  <si>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</si>
  <si>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</si>
  <si>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</si>
  <si>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</si>
  <si>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</si>
  <si>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</si>
  <si>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</si>
  <si>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</si>
  <si>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</si>
  <si>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</si>
  <si>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</si>
  <si>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</si>
  <si>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</si>
  <si>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</si>
  <si>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</si>
  <si>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</si>
  <si>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</si>
  <si>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</si>
  <si>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</si>
  <si>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</si>
  <si>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</si>
  <si>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</si>
  <si>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</si>
  <si>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</si>
  <si>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</si>
  <si>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</si>
  <si>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</si>
  <si>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</si>
  <si>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</si>
  <si>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</si>
  <si>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</si>
  <si>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</si>
  <si>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</si>
  <si>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</si>
  <si>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</si>
  <si>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</si>
  <si>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</si>
  <si>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</si>
  <si>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</si>
  <si>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</si>
  <si>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</si>
  <si>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</si>
  <si>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</si>
  <si>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</si>
  <si>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</si>
  <si>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</si>
  <si>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</si>
  <si>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</si>
  <si>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</si>
  <si>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</si>
  <si>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</si>
  <si>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</si>
  <si>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</si>
  <si>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</si>
  <si>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</si>
  <si>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</si>
  <si>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</si>
  <si>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</si>
  <si>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</si>
  <si>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</si>
  <si>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</si>
  <si>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</si>
  <si>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</si>
  <si>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</si>
  <si>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</si>
  <si>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</si>
  <si>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</si>
  <si>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</si>
  <si>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</si>
  <si>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</si>
  <si>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</si>
  <si>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</si>
  <si>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</si>
  <si>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</si>
  <si>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</si>
  <si>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</si>
  <si>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</si>
  <si>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</si>
  <si>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</si>
  <si>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</si>
  <si>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</si>
  <si>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</si>
  <si>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</si>
  <si>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</si>
  <si>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</si>
  <si>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</si>
  <si>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</si>
  <si>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</si>
  <si>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</si>
  <si>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</si>
  <si>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</si>
  <si>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</si>
  <si>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</si>
  <si>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</si>
  <si>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</si>
  <si>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</si>
  <si>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</si>
  <si>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</si>
  <si>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</si>
  <si>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</si>
  <si>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</si>
  <si>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</si>
  <si>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</si>
  <si>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</si>
  <si>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</si>
  <si>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</si>
  <si>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</si>
  <si>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</si>
  <si>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</si>
  <si>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</si>
  <si>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</si>
  <si>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</si>
  <si>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</si>
  <si>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</si>
  <si>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</si>
  <si>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</si>
  <si>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</si>
  <si>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</si>
  <si>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</si>
  <si>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</si>
  <si>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</si>
  <si>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</si>
  <si>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</si>
  <si>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</si>
  <si>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</si>
  <si>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</si>
  <si>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</si>
  <si>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</si>
  <si>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</si>
  <si>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</si>
  <si>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</si>
  <si>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</si>
  <si>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</si>
  <si>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</si>
  <si>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</si>
  <si>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</si>
  <si>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</si>
  <si>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</si>
  <si>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</si>
  <si>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</si>
  <si>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</si>
  <si>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</si>
  <si>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</si>
  <si>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</si>
  <si>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</si>
  <si>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</si>
  <si>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</si>
  <si>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</si>
  <si>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</si>
  <si>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</si>
  <si>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</si>
  <si>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</si>
  <si>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</si>
  <si>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</si>
  <si>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</si>
  <si>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</si>
  <si>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</si>
  <si>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</si>
  <si>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</si>
  <si>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</si>
  <si>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</si>
  <si>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</si>
  <si>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</si>
  <si>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</si>
  <si>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</si>
  <si>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</si>
  <si>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</si>
  <si>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</si>
  <si>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</si>
  <si>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</si>
  <si>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</si>
  <si>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</si>
  <si>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</si>
  <si>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</si>
  <si>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</si>
  <si>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</si>
  <si>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</si>
  <si>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</si>
  <si>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</si>
  <si>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</si>
  <si>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</si>
  <si>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</si>
  <si>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</si>
  <si>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</si>
  <si>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</si>
  <si>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</si>
  <si>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</si>
  <si>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</si>
  <si>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</si>
  <si>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</si>
  <si>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</si>
  <si>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</si>
  <si>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</si>
  <si>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</si>
  <si>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</si>
  <si>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</si>
  <si>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</si>
  <si>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</si>
  <si>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</si>
  <si>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</si>
  <si>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</si>
  <si>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</si>
  <si>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</si>
  <si>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</si>
  <si>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</si>
  <si>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</si>
  <si>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</si>
  <si>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</si>
  <si>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</si>
  <si>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</si>
  <si>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</si>
  <si>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</si>
  <si>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</si>
  <si>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</si>
  <si>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</si>
  <si>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</si>
  <si>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</si>
  <si>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</si>
  <si>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</si>
  <si>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</si>
  <si>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</si>
  <si>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</si>
  <si>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</si>
  <si>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</si>
  <si>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</si>
  <si>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</si>
  <si>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</si>
  <si>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</si>
  <si>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</si>
  <si>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</si>
  <si>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</si>
  <si>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</si>
  <si>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</si>
  <si>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</si>
  <si>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</si>
  <si>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</si>
  <si>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</si>
  <si>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</si>
  <si>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</si>
  <si>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</si>
  <si>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</si>
  <si>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</si>
  <si>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</si>
  <si>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</si>
  <si>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</si>
  <si>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</si>
  <si>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</si>
  <si>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</si>
  <si>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</si>
  <si>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</si>
  <si>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</si>
  <si>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</si>
  <si>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</si>
  <si>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</si>
  <si>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</si>
  <si>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</si>
  <si>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</si>
  <si>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</si>
  <si>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</si>
  <si>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</si>
  <si>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</si>
  <si>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</si>
  <si>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</si>
  <si>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</si>
  <si>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</si>
  <si>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</si>
  <si>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</si>
  <si>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</si>
  <si>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</si>
  <si>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</si>
  <si>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</si>
  <si>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</si>
  <si>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</si>
  <si>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</si>
  <si>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</si>
  <si>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</si>
  <si>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</si>
  <si>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</si>
  <si>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</si>
  <si>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</si>
  <si>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</si>
  <si>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</si>
  <si>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</si>
  <si>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</si>
  <si>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</si>
  <si>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</si>
  <si>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</si>
  <si>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</si>
  <si>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</si>
  <si>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</si>
  <si>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</si>
  <si>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</si>
  <si>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</si>
  <si>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</si>
  <si>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</si>
  <si>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</si>
  <si>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</si>
  <si>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</si>
  <si>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</si>
  <si>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</si>
  <si>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</si>
  <si>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</si>
  <si>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</si>
  <si>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</si>
  <si>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</si>
  <si>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</si>
  <si>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</si>
  <si>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</si>
  <si>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</si>
  <si>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</si>
  <si>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</si>
  <si>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</si>
  <si>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</si>
  <si>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</si>
  <si>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</si>
  <si>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</si>
  <si>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</si>
  <si>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</si>
  <si>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</si>
  <si>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</si>
  <si>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</si>
  <si>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</si>
  <si>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</si>
  <si>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</si>
  <si>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</si>
  <si>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</si>
  <si>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</si>
  <si>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</si>
  <si>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</si>
  <si>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</si>
  <si>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</si>
  <si>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</si>
  <si>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</si>
  <si>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</si>
  <si>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</si>
  <si>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</si>
  <si>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</si>
  <si>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</si>
  <si>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</si>
  <si>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</si>
  <si>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</si>
  <si>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</si>
  <si>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</si>
  <si>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</si>
  <si>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</si>
  <si>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</si>
  <si>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</si>
  <si>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</si>
  <si>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</si>
  <si>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</si>
  <si>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</si>
  <si>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</si>
  <si>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</si>
  <si>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</si>
  <si>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</si>
  <si>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</si>
  <si>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</si>
  <si>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</si>
  <si>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</si>
  <si>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</si>
  <si>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</si>
  <si>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</si>
  <si>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</si>
  <si>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</si>
  <si>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</si>
  <si>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</si>
  <si>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</si>
  <si>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</si>
  <si>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</si>
  <si>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</si>
  <si>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</si>
  <si>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</si>
  <si>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</si>
  <si>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</si>
  <si>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</si>
  <si>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</si>
  <si>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</si>
  <si>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</si>
  <si>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</si>
  <si>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</si>
  <si>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</si>
  <si>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</si>
  <si>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</si>
  <si>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</si>
  <si>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</si>
  <si>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</si>
  <si>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</si>
  <si>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</si>
  <si>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</si>
  <si>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</si>
  <si>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</si>
  <si>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</si>
  <si>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</si>
  <si>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</si>
  <si>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</si>
  <si>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</si>
  <si>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</si>
  <si>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</si>
  <si>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</si>
  <si>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</si>
  <si>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</si>
  <si>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</si>
  <si>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</si>
  <si>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</si>
  <si>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</si>
  <si>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</si>
  <si>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</si>
  <si>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</si>
  <si>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</si>
  <si>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</si>
  <si>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</si>
  <si>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</si>
  <si>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</si>
  <si>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</si>
  <si>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</si>
  <si>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</si>
  <si>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</si>
  <si>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</si>
  <si>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</si>
  <si>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</si>
  <si>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</si>
  <si>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</si>
  <si>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</si>
  <si>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</si>
  <si>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</si>
  <si>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</si>
  <si>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</si>
  <si>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</si>
  <si>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</si>
  <si>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</si>
  <si>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</si>
  <si>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</si>
  <si>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</si>
  <si>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</si>
  <si>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</si>
  <si>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</si>
  <si>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</si>
  <si>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</si>
  <si>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</si>
  <si>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</si>
  <si>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</si>
  <si>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</si>
  <si>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</si>
  <si>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</si>
  <si>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</si>
  <si>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</si>
  <si>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</si>
  <si>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</si>
  <si>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</si>
  <si>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</si>
  <si>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</si>
  <si>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</si>
  <si>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</si>
  <si>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</si>
  <si>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</si>
  <si>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</si>
  <si>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</si>
  <si>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</si>
  <si>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</si>
  <si>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</si>
  <si>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</si>
  <si>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</si>
  <si>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</si>
  <si>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</si>
  <si>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</si>
  <si>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</si>
  <si>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</si>
  <si>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</si>
  <si>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</si>
  <si>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</si>
  <si>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</si>
  <si>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</si>
  <si>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</si>
  <si>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</si>
  <si>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</si>
  <si>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</si>
  <si>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</si>
  <si>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</si>
  <si>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</si>
  <si>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</si>
  <si>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</si>
  <si>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</si>
  <si>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</si>
  <si>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</si>
  <si>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</si>
  <si>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</si>
  <si>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</si>
  <si>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</si>
  <si>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</si>
  <si>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</si>
  <si>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</si>
  <si>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</si>
  <si>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</si>
  <si>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</si>
  <si>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</si>
  <si>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</si>
  <si>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</si>
  <si>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</si>
  <si>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</si>
  <si>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</si>
  <si>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</si>
  <si>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</si>
  <si>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</si>
  <si>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</si>
  <si>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</si>
  <si>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</si>
  <si>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</si>
  <si>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</si>
  <si>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</si>
  <si>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</si>
  <si>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</si>
  <si>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</si>
  <si>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</si>
  <si>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</si>
  <si>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</si>
  <si>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</si>
  <si>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</si>
  <si>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</si>
  <si>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</si>
  <si>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</si>
  <si>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</si>
  <si>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</si>
  <si>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</si>
  <si>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</si>
  <si>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</si>
  <si>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</si>
  <si>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</si>
  <si>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</si>
  <si>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</si>
  <si>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</si>
  <si>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</si>
  <si>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</si>
  <si>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</si>
  <si>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</si>
  <si>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</si>
  <si>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</si>
  <si>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</si>
  <si>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</si>
  <si>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</si>
  <si>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</si>
  <si>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</si>
  <si>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</si>
  <si>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</si>
  <si>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</si>
  <si>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</si>
  <si>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</si>
  <si>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</si>
  <si>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</si>
  <si>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</si>
  <si>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</si>
  <si>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</si>
  <si>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</si>
  <si>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</si>
  <si>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</si>
  <si>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</si>
  <si>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</si>
  <si>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</si>
  <si>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</si>
  <si>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</si>
  <si>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</si>
  <si>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</si>
  <si>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</si>
  <si>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</si>
  <si>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</si>
  <si>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</si>
  <si>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</si>
  <si>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</si>
  <si>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</si>
  <si>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</si>
  <si>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</si>
  <si>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</si>
  <si>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</si>
  <si>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</si>
  <si>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</si>
  <si>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</si>
  <si>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</si>
  <si>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</si>
  <si>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</si>
  <si>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</si>
  <si>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</si>
  <si>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</si>
  <si>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</si>
  <si>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</si>
  <si>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</si>
  <si>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</si>
  <si>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</si>
  <si>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</si>
  <si>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</si>
  <si>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</si>
  <si>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</si>
  <si>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</si>
  <si>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</si>
  <si>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</si>
  <si>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</si>
  <si>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</si>
  <si>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</si>
  <si>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</si>
  <si>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</si>
  <si>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</si>
  <si>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</si>
  <si>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</si>
  <si>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</si>
  <si>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</si>
  <si>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</si>
  <si>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</si>
  <si>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</si>
  <si>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</si>
  <si>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</si>
  <si>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</si>
  <si>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</si>
  <si>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</si>
  <si>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</si>
  <si>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</si>
  <si>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</si>
  <si>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</si>
  <si>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</si>
  <si>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</si>
  <si>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</si>
  <si>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</si>
  <si>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</si>
  <si>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</si>
  <si>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</si>
  <si>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</si>
  <si>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</si>
  <si>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</si>
  <si>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</si>
  <si>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</si>
  <si>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</si>
  <si>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</si>
  <si>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</si>
  <si>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</si>
  <si>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</si>
  <si>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</si>
  <si>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</si>
  <si>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</si>
  <si>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</si>
  <si>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</si>
  <si>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</si>
  <si>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</si>
  <si>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</si>
  <si>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</si>
  <si>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</si>
  <si>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</si>
  <si>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</si>
  <si>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</si>
  <si>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</si>
  <si>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</si>
  <si>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</si>
  <si>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</si>
  <si>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</si>
  <si>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</si>
  <si>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</si>
  <si>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</si>
  <si>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</si>
  <si>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</si>
  <si>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</si>
  <si>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</si>
  <si>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</si>
  <si>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</si>
  <si>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</si>
  <si>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</si>
  <si>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</si>
  <si>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</si>
  <si>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</si>
  <si>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</si>
  <si>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</si>
  <si>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</si>
  <si>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</si>
  <si>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</si>
  <si>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</si>
  <si>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</si>
  <si>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</si>
  <si>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</si>
  <si>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</si>
  <si>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</si>
  <si>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</si>
  <si>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</si>
  <si>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</si>
  <si>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</si>
  <si>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</si>
  <si>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</si>
  <si>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</si>
  <si>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</si>
  <si>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</si>
  <si>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</si>
  <si>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</si>
  <si>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</si>
  <si>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</si>
  <si>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</si>
  <si>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</si>
  <si>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</si>
  <si>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</si>
  <si>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</si>
  <si>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</si>
  <si>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</si>
  <si>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</si>
  <si>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</si>
  <si>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</si>
  <si>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</si>
  <si>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</si>
  <si>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</si>
  <si>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</si>
  <si>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</si>
  <si>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</si>
  <si>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</si>
  <si>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</si>
  <si>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</si>
  <si>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</si>
  <si>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</si>
  <si>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</si>
  <si>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</si>
  <si>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</si>
  <si>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</si>
  <si>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</si>
  <si>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</si>
  <si>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</si>
  <si>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</si>
  <si>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</si>
  <si>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</si>
  <si>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</si>
  <si>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</si>
  <si>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</si>
  <si>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</si>
  <si>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</si>
  <si>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</si>
  <si>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</si>
  <si>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</si>
  <si>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</si>
  <si>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</si>
  <si>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</si>
  <si>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</si>
  <si>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</si>
  <si>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</si>
  <si>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</si>
  <si>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</si>
  <si>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</si>
  <si>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</si>
  <si>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</si>
  <si>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</si>
  <si>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</si>
  <si>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</si>
  <si>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</si>
  <si>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</si>
  <si>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</si>
  <si>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</si>
  <si>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</si>
  <si>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</si>
  <si>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</si>
  <si>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</si>
  <si>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</si>
  <si>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</si>
  <si>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</si>
  <si>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</si>
  <si>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</si>
  <si>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</si>
  <si>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</si>
  <si>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</si>
  <si>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</si>
  <si>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</si>
  <si>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</si>
  <si>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</si>
  <si>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</si>
  <si>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</si>
  <si>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</si>
  <si>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</si>
  <si>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</si>
  <si>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</si>
  <si>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</si>
  <si>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</si>
  <si>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</si>
  <si>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</si>
  <si>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</si>
  <si>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</si>
  <si>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</si>
  <si>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</si>
  <si>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</si>
  <si>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</si>
  <si>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</si>
  <si>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</si>
  <si>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</si>
  <si>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</si>
  <si>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</si>
  <si>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</si>
  <si>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</si>
  <si>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</si>
  <si>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</si>
  <si>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</si>
  <si>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</si>
  <si>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</si>
  <si>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</si>
  <si>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</si>
  <si>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</si>
  <si>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</si>
  <si>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</si>
  <si>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</si>
  <si>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</si>
  <si>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</si>
  <si>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</si>
  <si>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</si>
  <si>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</si>
  <si>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</si>
  <si>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</si>
  <si>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</si>
  <si>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</si>
  <si>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</si>
  <si>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</si>
  <si>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</si>
  <si>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</si>
  <si>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</si>
  <si>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</si>
  <si>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</si>
  <si>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</si>
  <si>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</si>
  <si>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</si>
  <si>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</si>
  <si>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</si>
  <si>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</si>
  <si>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</si>
  <si>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</si>
  <si>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</si>
  <si>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</si>
  <si>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</si>
  <si>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</si>
  <si>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</si>
  <si>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</si>
  <si>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</si>
  <si>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</si>
  <si>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</si>
  <si>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</si>
  <si>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</si>
  <si>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</si>
  <si>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</si>
  <si>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</si>
  <si>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</si>
  <si>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</si>
  <si>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</si>
  <si>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</si>
  <si>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</si>
  <si>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</si>
  <si>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</si>
  <si>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</si>
  <si>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</si>
  <si>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</si>
  <si>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</si>
  <si>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</si>
  <si>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</si>
  <si>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</si>
  <si>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</si>
  <si>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</si>
  <si>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</si>
  <si>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</si>
  <si>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</si>
  <si>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</si>
  <si>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</si>
  <si>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</si>
  <si>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</si>
  <si>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</si>
  <si>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</si>
  <si>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</si>
  <si>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</si>
  <si>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</si>
  <si>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</si>
  <si>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</si>
  <si>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</si>
  <si>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</si>
  <si>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</si>
  <si>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</si>
  <si>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</si>
  <si>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</si>
  <si>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</si>
  <si>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</si>
  <si>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</si>
  <si>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</si>
  <si>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</si>
  <si>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</si>
  <si>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</si>
  <si>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</si>
  <si>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</si>
  <si>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</si>
  <si>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</si>
  <si>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</si>
  <si>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</si>
  <si>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</si>
  <si>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</si>
  <si>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</si>
  <si>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</si>
  <si>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</si>
  <si>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</si>
  <si>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</si>
  <si>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</si>
  <si>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</si>
  <si>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</si>
  <si>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</si>
  <si>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</si>
  <si>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</si>
  <si>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</si>
  <si>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</si>
  <si>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</si>
  <si>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</si>
  <si>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</si>
  <si>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</si>
  <si>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</si>
  <si>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</si>
  <si>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</si>
  <si>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</si>
  <si>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</si>
  <si>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</si>
  <si>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</si>
  <si>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</si>
  <si>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</si>
  <si>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</si>
  <si>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</si>
  <si>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</si>
  <si>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</si>
  <si>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</si>
  <si>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</si>
  <si>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</si>
  <si>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</si>
  <si>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</si>
  <si>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</si>
  <si>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</si>
  <si>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</si>
  <si>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</si>
  <si>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</si>
  <si>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</si>
  <si>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</si>
  <si>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</si>
  <si>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</si>
  <si>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</si>
  <si>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</si>
  <si>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</si>
  <si>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</si>
  <si>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</si>
  <si>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</si>
  <si>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</si>
  <si>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</si>
  <si>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</si>
  <si>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</si>
  <si>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</si>
  <si>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</si>
  <si>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</si>
  <si>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</si>
  <si>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</si>
  <si>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</si>
  <si>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</si>
  <si>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</si>
  <si>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</si>
  <si>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</si>
  <si>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</si>
  <si>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</si>
  <si>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</si>
  <si>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</si>
  <si>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</si>
  <si>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</si>
  <si>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</si>
  <si>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</si>
  <si>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</si>
  <si>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</si>
  <si>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</si>
  <si>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</si>
  <si>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</si>
  <si>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</si>
  <si>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</si>
  <si>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</si>
  <si>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</si>
  <si>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</si>
  <si>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</si>
  <si>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</si>
  <si>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</si>
  <si>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</si>
  <si>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</si>
  <si>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</si>
  <si>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</si>
  <si>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</si>
  <si>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</si>
  <si>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</si>
  <si>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</si>
  <si>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</si>
  <si>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</si>
  <si>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</si>
  <si>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</si>
  <si>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</si>
  <si>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</si>
  <si>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</si>
  <si>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</si>
  <si>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</si>
  <si>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</si>
  <si>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</si>
  <si>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</si>
  <si>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</si>
  <si>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</si>
  <si>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</si>
  <si>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</si>
  <si>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</si>
  <si>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</si>
  <si>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</si>
  <si>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</si>
  <si>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</si>
  <si>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</si>
  <si>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</si>
  <si>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</si>
  <si>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</si>
  <si>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</si>
  <si>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</si>
  <si>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</si>
  <si>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</si>
  <si>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</si>
  <si>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</si>
  <si>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</si>
  <si>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</si>
  <si>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</si>
  <si>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</si>
  <si>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</si>
  <si>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</si>
  <si>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</si>
  <si>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</si>
  <si>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</si>
  <si>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</si>
  <si>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</si>
  <si>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</si>
  <si>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</si>
  <si>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</si>
  <si>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</si>
  <si>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</si>
  <si>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</si>
  <si>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</si>
  <si>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</si>
  <si>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</si>
  <si>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</si>
  <si>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</si>
  <si>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</si>
  <si>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</si>
  <si>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</si>
  <si>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</si>
  <si>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</si>
  <si>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</si>
  <si>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</si>
  <si>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</si>
  <si>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</si>
  <si>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</si>
  <si>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</si>
  <si>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</si>
  <si>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</si>
  <si>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</si>
  <si>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</si>
  <si>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</si>
  <si>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</si>
  <si>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</si>
  <si>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</si>
  <si>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</si>
  <si>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</si>
  <si>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</si>
  <si>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</si>
  <si>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</si>
  <si>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</si>
  <si>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</si>
  <si>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</si>
  <si>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</si>
  <si>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</si>
  <si>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</si>
  <si>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</si>
  <si>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</si>
  <si>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</si>
  <si>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</si>
  <si>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</si>
  <si>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</si>
  <si>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</si>
  <si>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</si>
  <si>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</si>
  <si>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</si>
  <si>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</si>
  <si>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</si>
  <si>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</si>
  <si>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</si>
  <si>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</si>
  <si>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</si>
  <si>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</si>
  <si>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</si>
  <si>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</si>
  <si>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</si>
  <si>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</si>
  <si>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</si>
  <si>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</si>
  <si>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</si>
  <si>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</si>
  <si>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</si>
  <si>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</si>
  <si>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</si>
  <si>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</si>
  <si>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</si>
  <si>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</si>
  <si>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</si>
  <si>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</si>
  <si>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</si>
  <si>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</si>
  <si>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</si>
  <si>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</si>
  <si>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</si>
  <si>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</si>
  <si>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</si>
  <si>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</si>
  <si>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</si>
  <si>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</si>
  <si>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</si>
  <si>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</si>
  <si>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</si>
  <si>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</si>
  <si>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</si>
  <si>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</si>
  <si>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</si>
  <si>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</si>
  <si>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</si>
  <si>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</si>
  <si>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</si>
  <si>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</si>
  <si>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</si>
  <si>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</si>
  <si>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</si>
  <si>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</si>
  <si>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</si>
  <si>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</si>
  <si>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</si>
  <si>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</si>
  <si>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</si>
  <si>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</si>
  <si>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</si>
  <si>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</si>
  <si>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</si>
  <si>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</si>
  <si>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</si>
  <si>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</si>
  <si>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</si>
  <si>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</si>
  <si>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</si>
  <si>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</si>
  <si>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</si>
  <si>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</si>
  <si>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</si>
  <si>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</si>
  <si>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</si>
  <si>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</si>
  <si>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</si>
  <si>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</si>
  <si>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</si>
  <si>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</si>
  <si>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</si>
  <si>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</si>
  <si>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</si>
  <si>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</si>
  <si>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</si>
  <si>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</si>
  <si>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</si>
  <si>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</si>
  <si>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</si>
  <si>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</si>
  <si>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</si>
  <si>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</si>
  <si>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</si>
  <si>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</si>
  <si>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</si>
  <si>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</si>
  <si>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</si>
  <si>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</si>
  <si>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</si>
  <si>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</si>
  <si>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</si>
  <si>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</si>
  <si>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</si>
  <si>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</si>
  <si>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</si>
  <si>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</si>
  <si>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</si>
  <si>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</si>
  <si>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</si>
  <si>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</si>
  <si>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</si>
  <si>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</si>
  <si>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</si>
  <si>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</si>
  <si>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</si>
  <si>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</si>
  <si>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</si>
  <si>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</si>
  <si>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</si>
  <si>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</si>
  <si>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</si>
  <si>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</si>
  <si>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</si>
  <si>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</si>
  <si>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</si>
  <si>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</si>
  <si>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</si>
  <si>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</si>
  <si>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</si>
  <si>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</si>
  <si>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</si>
  <si>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</si>
  <si>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</si>
  <si>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</si>
  <si>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</si>
  <si>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</si>
  <si>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</si>
  <si>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</si>
  <si>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</si>
  <si>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</si>
  <si>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</si>
  <si>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</si>
  <si>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</si>
  <si>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</si>
  <si>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</si>
  <si>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</si>
  <si>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</si>
  <si>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</si>
  <si>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</si>
  <si>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</si>
  <si>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</si>
  <si>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</si>
  <si>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</si>
  <si>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</si>
  <si>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</si>
  <si>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</si>
  <si>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</si>
  <si>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</si>
  <si>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</si>
  <si>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</si>
  <si>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</si>
  <si>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</si>
  <si>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</si>
  <si>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</si>
  <si>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</si>
  <si>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</si>
  <si>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</si>
  <si>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</si>
  <si>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</si>
  <si>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</si>
  <si>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</si>
  <si>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</si>
  <si>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</si>
  <si>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</si>
  <si>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</si>
  <si>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</si>
  <si>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</si>
  <si>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</si>
  <si>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</si>
  <si>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</si>
  <si>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</si>
  <si>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</si>
  <si>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</si>
  <si>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</si>
  <si>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</si>
  <si>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</si>
  <si>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</si>
  <si>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</si>
  <si>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</si>
  <si>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</si>
  <si>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</si>
  <si>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</si>
  <si>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</si>
  <si>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</si>
  <si>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</si>
  <si>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</si>
  <si>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</si>
  <si>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</si>
  <si>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</si>
  <si>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</si>
  <si>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</si>
  <si>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</si>
  <si>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</si>
  <si>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</si>
  <si>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</si>
  <si>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</si>
  <si>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</si>
  <si>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</si>
  <si>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</si>
  <si>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</si>
  <si>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</si>
  <si>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</si>
  <si>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</si>
  <si>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</si>
  <si>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</si>
  <si>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</si>
  <si>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</si>
  <si>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</si>
  <si>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</si>
  <si>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</si>
  <si>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</si>
  <si>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</si>
  <si>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</si>
  <si>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</si>
  <si>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</si>
  <si>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</si>
  <si>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</si>
  <si>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</si>
  <si>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</si>
  <si>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</si>
  <si>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</si>
  <si>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</si>
  <si>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</si>
  <si>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</si>
  <si>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</si>
  <si>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</si>
  <si>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</si>
  <si>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</si>
  <si>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</si>
  <si>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</si>
  <si>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</si>
  <si>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</si>
  <si>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</si>
  <si>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</si>
  <si>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</si>
  <si>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</si>
  <si>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</si>
  <si>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</si>
  <si>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</si>
  <si>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</si>
  <si>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</si>
  <si>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</si>
  <si>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</si>
  <si>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</si>
  <si>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</si>
  <si>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</si>
  <si>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</si>
  <si>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</si>
  <si>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</si>
  <si>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</si>
  <si>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</si>
  <si>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</si>
  <si>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</si>
  <si>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</si>
  <si>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</si>
  <si>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</si>
  <si>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</si>
  <si>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</si>
  <si>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</si>
  <si>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</si>
  <si>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</si>
  <si>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</si>
  <si>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</si>
  <si>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</si>
  <si>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</si>
  <si>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</si>
  <si>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</si>
  <si>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</si>
  <si>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</si>
  <si>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</si>
  <si>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</si>
  <si>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</si>
  <si>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</si>
  <si>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</si>
  <si>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</si>
  <si>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</si>
  <si>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</si>
  <si>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</si>
  <si>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</si>
  <si>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</si>
  <si>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</si>
  <si>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</si>
  <si>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</si>
  <si>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</si>
  <si>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</si>
  <si>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</si>
  <si>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</si>
  <si>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</si>
  <si>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</si>
  <si>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</si>
  <si>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</si>
  <si>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</si>
  <si>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</si>
  <si>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</si>
  <si>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</si>
  <si>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</si>
  <si>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</si>
  <si>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</si>
  <si>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</si>
  <si>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</si>
  <si>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</si>
  <si>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</si>
  <si>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</si>
  <si>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</si>
  <si>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</si>
  <si>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</si>
  <si>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</si>
  <si>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</si>
  <si>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</si>
  <si>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</si>
  <si>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</si>
  <si>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</si>
  <si>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</si>
  <si>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</si>
  <si>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</si>
  <si>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</si>
  <si>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</si>
  <si>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</si>
  <si>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</si>
  <si>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</si>
  <si>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</si>
  <si>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</si>
  <si>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</si>
  <si>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</si>
  <si>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</si>
  <si>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</si>
  <si>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</si>
  <si>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</si>
  <si>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</si>
  <si>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</si>
  <si>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</si>
  <si>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</si>
  <si>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</si>
  <si>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</si>
  <si>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</si>
  <si>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</si>
  <si>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</si>
  <si>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</si>
  <si>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</si>
  <si>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</si>
  <si>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</si>
  <si>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</si>
  <si>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</si>
  <si>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</si>
  <si>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</si>
  <si>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</si>
  <si>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</si>
  <si>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</si>
  <si>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</si>
  <si>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</si>
  <si>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</si>
  <si>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</si>
  <si>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</si>
  <si>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</si>
  <si>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</si>
  <si>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</si>
  <si>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</si>
  <si>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</si>
  <si>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</si>
  <si>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</si>
  <si>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</si>
  <si>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</si>
  <si>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</si>
  <si>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</si>
  <si>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</si>
  <si>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</si>
  <si>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</si>
  <si>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</si>
  <si>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</si>
  <si>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</si>
  <si>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</si>
  <si>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</si>
  <si>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</si>
  <si>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</si>
  <si>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</si>
  <si>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</si>
  <si>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</si>
  <si>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</si>
  <si>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</si>
  <si>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</si>
  <si>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</si>
  <si>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</si>
  <si>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</si>
  <si>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</si>
  <si>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</si>
  <si>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</si>
  <si>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</si>
  <si>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</si>
  <si>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</si>
  <si>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</si>
  <si>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</si>
  <si>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</si>
  <si>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</si>
  <si>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</si>
  <si>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</si>
  <si>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</si>
  <si>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</si>
  <si>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</si>
  <si>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</si>
  <si>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</si>
  <si>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</si>
  <si>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</si>
  <si>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</si>
  <si>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</si>
  <si>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</si>
  <si>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</si>
  <si>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</si>
  <si>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</si>
  <si>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</si>
  <si>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</si>
  <si>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</si>
  <si>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</si>
  <si>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</si>
  <si>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</si>
  <si>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</si>
  <si>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</si>
  <si>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</si>
  <si>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</si>
  <si>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</si>
  <si>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</si>
  <si>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</si>
  <si>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</si>
  <si>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</si>
  <si>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</si>
  <si>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</si>
  <si>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</si>
  <si>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</si>
  <si>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</si>
  <si>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</si>
  <si>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</si>
  <si>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</si>
  <si>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</si>
  <si>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</si>
  <si>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</si>
  <si>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</si>
  <si>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</si>
  <si>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</si>
  <si>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</si>
  <si>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</si>
  <si>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</si>
  <si>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</si>
  <si>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</si>
  <si>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</si>
  <si>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</si>
  <si>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</si>
  <si>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</si>
  <si>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</si>
  <si>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</si>
  <si>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</si>
  <si>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</si>
  <si>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</si>
  <si>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</si>
  <si>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</si>
  <si>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</si>
  <si>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</si>
  <si>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</si>
  <si>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</si>
  <si>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</si>
  <si>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</si>
  <si>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</si>
  <si>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</si>
  <si>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</si>
  <si>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</si>
  <si>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</si>
  <si>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</si>
  <si>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</si>
  <si>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</si>
  <si>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</si>
  <si>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</si>
  <si>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</si>
  <si>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</si>
  <si>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</si>
  <si>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</si>
  <si>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</si>
  <si>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</si>
  <si>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</si>
  <si>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</si>
  <si>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</si>
  <si>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</si>
  <si>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</si>
  <si>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</si>
  <si>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</si>
  <si>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</si>
  <si>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</si>
  <si>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</si>
  <si>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</si>
  <si>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</si>
  <si>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</si>
  <si>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</si>
  <si>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</si>
  <si>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</si>
  <si>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</si>
  <si>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</si>
  <si>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</si>
  <si>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</si>
  <si>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</si>
  <si>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</si>
  <si>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</si>
  <si>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</si>
  <si>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</si>
  <si>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</si>
  <si>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</si>
  <si>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</si>
  <si>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</si>
  <si>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</si>
  <si>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</si>
  <si>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</si>
  <si>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</si>
  <si>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</si>
  <si>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</si>
  <si>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</si>
  <si>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</si>
  <si>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</si>
  <si>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</si>
  <si>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</si>
  <si>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</si>
  <si>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</si>
  <si>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</si>
  <si>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</si>
  <si>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</si>
  <si>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</si>
  <si>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</si>
  <si>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</si>
  <si>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</si>
  <si>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</si>
  <si>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</si>
  <si>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</si>
  <si>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</si>
  <si>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</si>
  <si>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</si>
  <si>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</si>
  <si>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</si>
  <si>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</si>
  <si>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</si>
  <si>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</si>
  <si>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</si>
  <si>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</si>
  <si>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</si>
  <si>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</si>
  <si>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</si>
  <si>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</si>
  <si>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</si>
  <si>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</si>
  <si>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</si>
  <si>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</si>
  <si>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</si>
  <si>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</si>
  <si>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</si>
  <si>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</si>
  <si>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</si>
  <si>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</si>
  <si>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</si>
  <si>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</si>
  <si>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</si>
  <si>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</si>
  <si>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</si>
  <si>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</si>
  <si>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</si>
  <si>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</si>
  <si>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</si>
  <si>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</si>
  <si>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</si>
  <si>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</si>
  <si>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</si>
  <si>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</si>
  <si>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</si>
  <si>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</si>
  <si>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</si>
  <si>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</si>
  <si>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</si>
  <si>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</si>
  <si>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</si>
  <si>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</si>
  <si>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</si>
  <si>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</si>
  <si>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</si>
  <si>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</si>
  <si>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</si>
  <si>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</si>
  <si>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</si>
  <si>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</si>
  <si>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</si>
  <si>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</si>
  <si>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</si>
  <si>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</si>
  <si>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</si>
  <si>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</si>
  <si>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</si>
  <si>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</si>
  <si>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</si>
  <si>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</si>
  <si>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</si>
  <si>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</si>
  <si>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</si>
  <si>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</si>
  <si>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</si>
  <si>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</si>
  <si>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</si>
  <si>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</si>
  <si>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</si>
  <si>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</si>
  <si>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</si>
  <si>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</si>
  <si>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</si>
  <si>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</si>
  <si>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</si>
  <si>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</si>
  <si>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</si>
  <si>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</si>
  <si>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</si>
  <si>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</si>
  <si>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</si>
  <si>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</si>
  <si>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</si>
  <si>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</si>
  <si>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</si>
  <si>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</si>
  <si>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</si>
  <si>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</si>
  <si>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</si>
  <si>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</si>
  <si>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</si>
  <si>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</si>
  <si>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</si>
  <si>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</si>
  <si>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</si>
  <si>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</si>
  <si>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</si>
  <si>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</si>
  <si>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</si>
  <si>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</si>
  <si>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</si>
  <si>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</si>
  <si>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</si>
  <si>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</si>
  <si>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</si>
  <si>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</si>
  <si>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</si>
  <si>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</si>
  <si>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</si>
  <si>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</si>
  <si>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</si>
  <si>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</si>
  <si>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</si>
  <si>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</si>
  <si>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</si>
  <si>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</si>
  <si>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</si>
  <si>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</si>
  <si>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</si>
  <si>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</si>
  <si>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</si>
  <si>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</si>
  <si>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</si>
  <si>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</si>
  <si>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</si>
  <si>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</si>
  <si>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</si>
  <si>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</si>
  <si>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</si>
  <si>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</si>
  <si>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</si>
  <si>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</si>
  <si>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</si>
  <si>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</si>
  <si>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</si>
  <si>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</si>
  <si>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</si>
  <si>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</si>
  <si>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</si>
  <si>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</si>
  <si>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</si>
  <si>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</si>
  <si>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</si>
  <si>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</si>
  <si>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</si>
  <si>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</si>
  <si>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</si>
  <si>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</si>
  <si>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</si>
  <si>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</si>
  <si>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</si>
  <si>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</si>
  <si>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</si>
  <si>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</si>
  <si>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</si>
  <si>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</si>
  <si>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</si>
  <si>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</si>
  <si>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</si>
  <si>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</si>
  <si>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</si>
  <si>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</si>
  <si>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</si>
  <si>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</si>
  <si>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</si>
  <si>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</si>
  <si>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</si>
  <si>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</si>
  <si>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</si>
  <si>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</si>
  <si>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</si>
  <si>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</si>
  <si>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</si>
  <si>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</si>
  <si>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</si>
  <si>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</si>
  <si>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</si>
  <si>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</si>
  <si>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</si>
  <si>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</si>
  <si>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</si>
  <si>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</si>
  <si>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</si>
  <si>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</si>
  <si>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</si>
  <si>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</si>
  <si>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</si>
  <si>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</si>
  <si>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</si>
  <si>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</si>
  <si>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</si>
  <si>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</si>
  <si>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</si>
  <si>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</si>
  <si>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</si>
  <si>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</si>
  <si>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</si>
  <si>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</si>
  <si>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</si>
  <si>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</si>
  <si>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</si>
  <si>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</si>
  <si>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</si>
  <si>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</si>
  <si>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</si>
  <si>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</si>
  <si>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</si>
  <si>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</si>
  <si>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</si>
  <si>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</si>
  <si>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</si>
  <si>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</si>
  <si>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</si>
  <si>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</si>
  <si>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</si>
  <si>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</si>
  <si>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</si>
  <si>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</si>
  <si>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</si>
  <si>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</si>
  <si>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</si>
  <si>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</si>
  <si>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</si>
  <si>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</si>
  <si>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</si>
  <si>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</si>
  <si>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</si>
  <si>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</si>
  <si>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</si>
  <si>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</si>
  <si>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</si>
  <si>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</si>
  <si>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</si>
  <si>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</si>
  <si>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</si>
  <si>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</si>
  <si>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</si>
  <si>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</si>
  <si>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</si>
  <si>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</si>
  <si>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</si>
  <si>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</si>
  <si>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</si>
  <si>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</si>
  <si>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</si>
  <si>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</si>
  <si>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</si>
  <si>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</si>
  <si>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</si>
  <si>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</si>
  <si>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</si>
  <si>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</si>
  <si>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</si>
  <si>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</si>
  <si>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</si>
  <si>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</si>
  <si>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</si>
  <si>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</si>
  <si>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</si>
  <si>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</si>
  <si>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</si>
  <si>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</si>
  <si>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</si>
  <si>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</si>
  <si>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</si>
  <si>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</si>
  <si>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</si>
  <si>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</si>
  <si>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</si>
  <si>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</si>
  <si>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</si>
  <si>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</si>
  <si>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</si>
  <si>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</si>
  <si>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</si>
  <si>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</si>
  <si>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</si>
  <si>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</si>
  <si>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</si>
  <si>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</si>
  <si>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</si>
  <si>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</si>
  <si>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</si>
  <si>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</si>
  <si>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</si>
  <si>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</si>
  <si>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</si>
  <si>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</si>
  <si>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</si>
  <si>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</si>
  <si>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</si>
  <si>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</si>
  <si>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</si>
  <si>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</si>
  <si>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</si>
  <si>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</si>
  <si>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</si>
  <si>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</si>
  <si>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</si>
  <si>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</si>
  <si>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</si>
  <si>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</si>
  <si>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</si>
  <si>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</si>
  <si>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</si>
  <si>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</si>
  <si>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</si>
  <si>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</si>
  <si>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</si>
  <si>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</si>
  <si>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</si>
  <si>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</si>
  <si>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</si>
  <si>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</si>
  <si>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</si>
  <si>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</si>
  <si>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</si>
  <si>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</si>
  <si>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</si>
  <si>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</si>
  <si>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</si>
  <si>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</si>
  <si>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</si>
  <si>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</si>
  <si>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</si>
  <si>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</si>
  <si>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</si>
  <si>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</si>
  <si>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</si>
  <si>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</si>
  <si>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</si>
  <si>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</si>
  <si>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</si>
  <si>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</si>
  <si>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</si>
  <si>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</si>
  <si>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</si>
  <si>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</si>
  <si>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</si>
  <si>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</si>
  <si>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</si>
  <si>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</si>
  <si>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</si>
  <si>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</si>
  <si>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</si>
  <si>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</si>
  <si>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</si>
  <si>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</si>
  <si>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</si>
  <si>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</si>
  <si>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</si>
  <si>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</si>
  <si>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</si>
  <si>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</si>
  <si>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</si>
  <si>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</si>
  <si>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</si>
  <si>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</si>
  <si>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</si>
  <si>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</si>
  <si>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</si>
  <si>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</si>
  <si>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</si>
  <si>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</si>
  <si>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</si>
  <si>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</si>
  <si>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</si>
  <si>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</si>
  <si>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</si>
  <si>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</si>
  <si>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</si>
  <si>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</si>
  <si>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</si>
  <si>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</si>
  <si>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</si>
  <si>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</si>
  <si>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</si>
  <si>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</si>
  <si>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</si>
  <si>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</si>
  <si>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</si>
  <si>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</si>
  <si>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</si>
  <si>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</si>
  <si>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</si>
  <si>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</si>
  <si>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</si>
  <si>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</si>
  <si>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</si>
  <si>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</si>
  <si>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</si>
  <si>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</si>
  <si>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</si>
  <si>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</si>
  <si>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</si>
  <si>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</si>
  <si>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</si>
  <si>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</si>
  <si>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</si>
  <si>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</si>
  <si>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</si>
  <si>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</si>
  <si>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</si>
  <si>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</si>
  <si>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</si>
  <si>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</si>
  <si>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</si>
  <si>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</si>
  <si>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</si>
  <si>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</si>
  <si>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</si>
  <si>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</si>
  <si>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</si>
  <si>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</si>
  <si>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</si>
  <si>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</si>
  <si>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</si>
  <si>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</si>
  <si>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</si>
  <si>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</si>
  <si>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</si>
  <si>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</si>
  <si>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</si>
  <si>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</si>
  <si>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</si>
  <si>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</si>
  <si>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</si>
  <si>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</si>
  <si>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</si>
  <si>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</si>
  <si>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</si>
  <si>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</si>
  <si>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</si>
  <si>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</si>
  <si>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</si>
  <si>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</si>
  <si>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</si>
  <si>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</si>
  <si>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</si>
  <si>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</si>
  <si>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</si>
  <si>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</si>
  <si>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</si>
  <si>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</si>
  <si>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</si>
  <si>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</si>
  <si>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</si>
  <si>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</si>
  <si>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</si>
  <si>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</si>
  <si>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</si>
  <si>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</si>
  <si>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</si>
  <si>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</si>
  <si>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</si>
  <si>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</si>
  <si>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</si>
  <si>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</si>
  <si>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</si>
  <si>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</si>
  <si>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</si>
  <si>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</si>
  <si>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</si>
  <si>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</si>
  <si>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</si>
  <si>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</si>
  <si>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</si>
  <si>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</si>
  <si>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</si>
  <si>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</si>
  <si>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</si>
  <si>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</si>
  <si>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</si>
  <si>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</si>
  <si>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</si>
  <si>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</si>
  <si>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</si>
  <si>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</si>
  <si>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</si>
  <si>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</si>
  <si>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</si>
  <si>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</si>
  <si>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</si>
  <si>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</si>
  <si>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</si>
  <si>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</si>
  <si>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</si>
  <si>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</si>
  <si>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</si>
  <si>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</si>
  <si>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</si>
  <si>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</si>
  <si>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</si>
  <si>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</si>
  <si>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</si>
  <si>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</si>
  <si>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</si>
  <si>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</si>
  <si>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</si>
  <si>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</si>
  <si>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</si>
  <si>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</si>
  <si>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</si>
  <si>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</si>
  <si>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</si>
  <si>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</si>
  <si>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</si>
  <si>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</si>
  <si>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</si>
  <si>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</si>
  <si>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</si>
  <si>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</si>
  <si>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</si>
  <si>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</si>
  <si>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</si>
  <si>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</si>
  <si>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</si>
  <si>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</si>
  <si>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</si>
  <si>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</si>
  <si>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</si>
  <si>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</si>
  <si>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</si>
  <si>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</si>
  <si>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</si>
  <si>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</si>
  <si>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</si>
  <si>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</si>
  <si>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</si>
  <si>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</si>
  <si>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</si>
  <si>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</si>
  <si>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</si>
  <si>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</si>
  <si>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</si>
  <si>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</si>
  <si>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</si>
  <si>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</si>
  <si>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</si>
  <si>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</si>
  <si>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</si>
  <si>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</si>
  <si>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</si>
  <si>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</si>
  <si>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</si>
  <si>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</si>
  <si>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</si>
  <si>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</si>
  <si>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</si>
  <si>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</si>
  <si>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</si>
  <si>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</si>
  <si>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</si>
  <si>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</si>
  <si>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</si>
  <si>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</si>
  <si>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</si>
  <si>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</si>
  <si>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</si>
  <si>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</si>
  <si>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</si>
  <si>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</si>
  <si>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</si>
  <si>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</si>
  <si>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</si>
  <si>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</si>
  <si>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</si>
  <si>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</si>
  <si>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</si>
  <si>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</si>
  <si>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</si>
  <si>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</si>
  <si>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</si>
  <si>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</si>
  <si>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</si>
  <si>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</si>
  <si>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</si>
  <si>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</si>
  <si>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</si>
  <si>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</si>
  <si>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</si>
  <si>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</si>
  <si>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</si>
  <si>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</si>
  <si>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</si>
  <si>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</si>
  <si>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</si>
  <si>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</si>
  <si>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</si>
  <si>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</si>
  <si>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</si>
  <si>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</si>
  <si>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</si>
  <si>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</si>
  <si>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</si>
  <si>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</si>
  <si>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</si>
  <si>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</si>
  <si>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</si>
  <si>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</si>
  <si>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</si>
  <si>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</si>
  <si>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</si>
  <si>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</si>
  <si>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</si>
  <si>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</si>
  <si>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</si>
  <si>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</si>
  <si>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</si>
  <si>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</si>
  <si>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</si>
  <si>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</si>
  <si>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</si>
  <si>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</si>
  <si>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</si>
  <si>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</si>
  <si>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</si>
  <si>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</si>
  <si>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</si>
  <si>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</si>
  <si>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</si>
  <si>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</si>
  <si>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</si>
  <si>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</si>
  <si>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</si>
  <si>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</si>
  <si>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</si>
  <si>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</si>
  <si>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</si>
  <si>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</si>
  <si>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</si>
  <si>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</si>
  <si>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</si>
  <si>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</si>
  <si>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</si>
  <si>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</si>
  <si>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</si>
  <si>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</si>
  <si>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</si>
  <si>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</si>
  <si>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</si>
  <si>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</si>
  <si>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</si>
  <si>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</si>
  <si>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</si>
  <si>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</si>
  <si>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</si>
  <si>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</si>
  <si>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</si>
  <si>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</si>
  <si>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</si>
  <si>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</si>
  <si>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</si>
  <si>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</si>
  <si>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</si>
  <si>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</si>
  <si>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</si>
  <si>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</si>
  <si>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</si>
  <si>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</si>
  <si>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</si>
  <si>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</si>
  <si>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</si>
  <si>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</si>
  <si>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</si>
  <si>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</si>
  <si>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</si>
  <si>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</si>
  <si>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</si>
  <si>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</si>
  <si>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</si>
  <si>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</si>
  <si>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</si>
  <si>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</si>
  <si>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</si>
  <si>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</si>
  <si>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</si>
  <si>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</si>
  <si>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</si>
  <si>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</si>
  <si>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</si>
  <si>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</si>
  <si>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</si>
  <si>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</si>
  <si>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</si>
  <si>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</si>
  <si>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</si>
  <si>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</si>
  <si>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</si>
  <si>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</si>
  <si>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</si>
  <si>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</si>
  <si>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</si>
  <si>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</si>
  <si>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</si>
  <si>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</si>
  <si>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</si>
  <si>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</si>
  <si>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</si>
  <si>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</si>
  <si>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</si>
  <si>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</si>
  <si>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</si>
  <si>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</si>
  <si>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</si>
  <si>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</si>
  <si>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</si>
  <si>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</si>
  <si>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</si>
  <si>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</si>
  <si>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</si>
  <si>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</si>
  <si>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</si>
  <si>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</si>
  <si>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</si>
  <si>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</si>
  <si>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</si>
  <si>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</si>
  <si>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</si>
  <si>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</si>
  <si>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</si>
  <si>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</si>
  <si>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</si>
  <si>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</si>
  <si>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</si>
  <si>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</si>
  <si>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</si>
  <si>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</si>
  <si>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</si>
  <si>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</si>
  <si>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</si>
  <si>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</si>
  <si>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</si>
  <si>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</si>
  <si>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</si>
  <si>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</si>
  <si>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</si>
  <si>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</si>
  <si>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</si>
  <si>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</si>
  <si>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</si>
  <si>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</si>
  <si>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</si>
  <si>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</si>
  <si>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</si>
  <si>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</si>
  <si>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</si>
  <si>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</si>
  <si>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</si>
  <si>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</si>
  <si>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</si>
  <si>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</si>
  <si>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</si>
  <si>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</si>
  <si>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</si>
  <si>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</si>
  <si>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</si>
  <si>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</si>
  <si>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</si>
  <si>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</si>
  <si>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</si>
  <si>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</si>
  <si>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</si>
  <si>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</si>
  <si>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</si>
  <si>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</si>
  <si>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</si>
  <si>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</si>
  <si>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</si>
  <si>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</si>
  <si>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</si>
  <si>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</si>
  <si>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</si>
  <si>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</si>
  <si>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</si>
  <si>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</si>
  <si>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</si>
  <si>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</si>
  <si>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</si>
  <si>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</si>
  <si>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</si>
  <si>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</si>
  <si>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</si>
  <si>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</si>
  <si>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</si>
  <si>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</si>
  <si>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</si>
  <si>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</si>
  <si>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</si>
  <si>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</si>
  <si>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</si>
  <si>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</si>
  <si>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</si>
  <si>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</si>
  <si>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</si>
  <si>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</si>
  <si>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</si>
  <si>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</si>
  <si>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</si>
  <si>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</si>
  <si>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</si>
  <si>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</si>
  <si>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</si>
  <si>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</si>
  <si>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</si>
  <si>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</si>
  <si>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</si>
  <si>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</si>
  <si>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</si>
  <si>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</si>
  <si>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</si>
  <si>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</si>
  <si>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</si>
  <si>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</si>
  <si>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</si>
  <si>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</si>
  <si>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</si>
  <si>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</si>
  <si>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</si>
  <si>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</si>
  <si>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</si>
  <si>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</si>
  <si>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</si>
  <si>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</si>
  <si>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</si>
  <si>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</si>
  <si>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</si>
  <si>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</si>
  <si>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</si>
  <si>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</si>
  <si>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</si>
  <si>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</si>
  <si>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</si>
  <si>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</si>
  <si>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</si>
  <si>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</si>
  <si>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</si>
  <si>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</si>
  <si>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</si>
  <si>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</si>
  <si>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</si>
  <si>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</si>
  <si>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</si>
  <si>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</si>
  <si>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</si>
  <si>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</si>
  <si>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</si>
  <si>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</si>
  <si>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</si>
  <si>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</si>
  <si>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</si>
  <si>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</si>
  <si>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</si>
  <si>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</si>
  <si>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</si>
  <si>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</si>
  <si>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</si>
  <si>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</si>
  <si>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</si>
  <si>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</si>
  <si>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</si>
  <si>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</si>
  <si>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</si>
  <si>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</si>
  <si>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</si>
  <si>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</si>
  <si>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</si>
  <si>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</si>
  <si>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</si>
  <si>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</si>
  <si>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</si>
  <si>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</si>
  <si>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</si>
  <si>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</si>
  <si>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</si>
  <si>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</si>
  <si>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</si>
  <si>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</si>
  <si>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</si>
  <si>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</si>
  <si>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</si>
  <si>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</si>
  <si>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</si>
  <si>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</si>
  <si>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</si>
  <si>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</si>
  <si>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</si>
  <si>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</si>
  <si>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</si>
  <si>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</si>
  <si>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</si>
  <si>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</si>
  <si>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</si>
  <si>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</si>
  <si>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</si>
  <si>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</si>
  <si>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</si>
  <si>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</si>
  <si>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</si>
  <si>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</si>
  <si>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</si>
  <si>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</si>
  <si>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</si>
  <si>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</si>
  <si>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</si>
  <si>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</si>
  <si>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</si>
  <si>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</si>
  <si>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</si>
  <si>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</si>
  <si>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</si>
  <si>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</si>
  <si>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</si>
  <si>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</si>
  <si>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</si>
  <si>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</si>
  <si>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</si>
  <si>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</si>
  <si>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</si>
  <si>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</si>
  <si>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</si>
  <si>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</si>
  <si>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</si>
  <si>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</si>
  <si>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</si>
  <si>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</si>
  <si>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</si>
  <si>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</si>
  <si>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</si>
  <si>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</si>
  <si>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</si>
  <si>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</si>
  <si>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</si>
  <si>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</si>
  <si>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</si>
  <si>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</si>
  <si>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</si>
  <si>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</si>
  <si>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</si>
  <si>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</si>
  <si>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</si>
  <si>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</si>
  <si>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</si>
  <si>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</si>
  <si>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</si>
  <si>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</si>
  <si>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</si>
  <si>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</si>
  <si>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</si>
  <si>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</si>
  <si>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</si>
  <si>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</si>
  <si>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</si>
  <si>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</si>
  <si>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</si>
  <si>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</si>
  <si>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</si>
  <si>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</si>
  <si>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</si>
  <si>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</si>
  <si>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</si>
  <si>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</si>
  <si>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</si>
  <si>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</si>
  <si>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</si>
  <si>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</si>
  <si>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</si>
  <si>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</si>
  <si>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</si>
  <si>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</si>
  <si>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</si>
  <si>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</si>
  <si>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</si>
  <si>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</si>
  <si>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</si>
  <si>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</si>
  <si>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</si>
  <si>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</si>
  <si>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</si>
  <si>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</si>
  <si>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</si>
  <si>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</si>
  <si>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</si>
  <si>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</si>
  <si>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</si>
  <si>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</si>
  <si>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</si>
  <si>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</si>
  <si>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</si>
  <si>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</si>
  <si>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</si>
  <si>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</si>
  <si>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</si>
  <si>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</si>
  <si>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</si>
  <si>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</si>
  <si>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</si>
  <si>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</si>
  <si>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</si>
  <si>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</si>
  <si>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</si>
  <si>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</si>
  <si>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</si>
  <si>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</si>
  <si>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</si>
  <si>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</si>
  <si>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</si>
  <si>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</si>
  <si>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</si>
  <si>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</si>
  <si>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</si>
  <si>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</si>
  <si>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</si>
  <si>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</si>
  <si>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</si>
  <si>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</si>
  <si>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</si>
  <si>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</si>
  <si>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</si>
  <si>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</si>
  <si>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</si>
  <si>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</si>
  <si>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</si>
  <si>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</si>
  <si>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</si>
  <si>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</si>
  <si>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</si>
  <si>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</si>
  <si>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</si>
  <si>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</si>
  <si>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</si>
  <si>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</si>
  <si>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</si>
  <si>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</si>
  <si>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</si>
  <si>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</si>
  <si>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</si>
  <si>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</si>
  <si>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</si>
  <si>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</si>
  <si>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</si>
  <si>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</si>
  <si>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</si>
  <si>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</si>
  <si>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</si>
  <si>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</si>
  <si>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</si>
  <si>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</si>
  <si>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</si>
  <si>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</si>
  <si>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</si>
  <si>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</si>
  <si>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</si>
  <si>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</si>
  <si>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</si>
  <si>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</si>
  <si>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</si>
  <si>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</si>
  <si>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</si>
  <si>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</si>
  <si>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</si>
  <si>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</si>
  <si>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</si>
  <si>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</si>
  <si>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</si>
  <si>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</si>
  <si>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</si>
  <si>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</si>
  <si>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</si>
  <si>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</si>
  <si>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</si>
  <si>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</si>
  <si>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</si>
  <si>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</si>
  <si>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</si>
  <si>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</si>
  <si>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</si>
  <si>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</si>
  <si>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</si>
  <si>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</si>
  <si>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</si>
  <si>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</si>
  <si>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</si>
  <si>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</si>
  <si>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</si>
  <si>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</si>
  <si>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</si>
  <si>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</si>
  <si>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</si>
  <si>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</si>
  <si>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</si>
  <si>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</si>
  <si>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</si>
  <si>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</si>
  <si>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</si>
  <si>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</si>
  <si>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</si>
  <si>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</si>
  <si>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</si>
  <si>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</si>
  <si>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</si>
  <si>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</si>
  <si>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</si>
  <si>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</si>
  <si>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</si>
  <si>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</si>
  <si>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</si>
  <si>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</si>
  <si>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</si>
  <si>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</si>
  <si>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</si>
  <si>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</si>
  <si>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</si>
  <si>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</si>
  <si>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</si>
  <si>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</si>
  <si>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</si>
  <si>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</si>
  <si>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</si>
  <si>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</si>
  <si>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</si>
  <si>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</si>
  <si>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</si>
  <si>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</si>
  <si>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</si>
  <si>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</si>
  <si>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</si>
  <si>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</si>
  <si>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</si>
  <si>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</si>
  <si>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</si>
  <si>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</si>
  <si>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</si>
  <si>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</si>
  <si>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</si>
  <si>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</si>
  <si>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</si>
  <si>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</si>
  <si>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</si>
  <si>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</si>
  <si>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</si>
  <si>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</si>
  <si>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</si>
  <si>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</si>
  <si>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</si>
  <si>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</si>
  <si>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</si>
  <si>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</si>
  <si>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</si>
  <si>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</si>
  <si>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</si>
  <si>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</si>
  <si>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</si>
  <si>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</si>
  <si>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</si>
  <si>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</si>
  <si>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</si>
  <si>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</si>
  <si>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</si>
  <si>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</si>
  <si>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</si>
  <si>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</si>
  <si>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</si>
  <si>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</si>
  <si>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</si>
  <si>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</si>
  <si>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</si>
  <si>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</si>
  <si>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</si>
  <si>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</si>
  <si>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</si>
  <si>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</si>
  <si>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</si>
  <si>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</si>
  <si>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</si>
  <si>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</si>
  <si>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</si>
  <si>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</si>
  <si>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</si>
  <si>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</si>
  <si>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</si>
  <si>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</si>
  <si>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</si>
  <si>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</si>
  <si>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</si>
  <si>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</si>
  <si>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</si>
  <si>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</si>
  <si>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</si>
  <si>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</si>
  <si>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</si>
  <si>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</si>
  <si>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</si>
  <si>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</si>
  <si>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</si>
  <si>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</si>
  <si>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</si>
  <si>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</si>
  <si>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</si>
  <si>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</si>
  <si>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</si>
  <si>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</si>
  <si>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</si>
  <si>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</si>
  <si>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</si>
  <si>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</si>
  <si>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</si>
  <si>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</si>
  <si>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</si>
  <si>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</si>
  <si>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</si>
  <si>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</si>
  <si>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</si>
  <si>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</si>
  <si>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</si>
  <si>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</si>
  <si>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</si>
  <si>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</si>
  <si>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</si>
  <si>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</si>
  <si>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</si>
  <si>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</si>
  <si>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</si>
  <si>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</si>
  <si>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</si>
  <si>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</si>
  <si>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</si>
  <si>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</si>
  <si>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</si>
  <si>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</si>
  <si>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</si>
  <si>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</si>
  <si>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</si>
  <si>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</si>
  <si>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</si>
  <si>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</si>
  <si>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</si>
  <si>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</si>
  <si>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</si>
  <si>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</si>
  <si>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</si>
  <si>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</si>
  <si>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</si>
  <si>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</si>
  <si>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</si>
  <si>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</si>
  <si>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</si>
  <si>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</si>
  <si>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</si>
  <si>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</si>
  <si>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</si>
  <si>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</si>
  <si>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</si>
  <si>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</si>
  <si>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</si>
  <si>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</si>
  <si>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</si>
  <si>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</si>
  <si>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</si>
  <si>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</si>
  <si>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</si>
  <si>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</si>
  <si>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</si>
  <si>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</si>
  <si>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</si>
  <si>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</si>
  <si>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</si>
  <si>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</si>
  <si>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</si>
  <si>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</si>
  <si>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</si>
  <si>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</si>
  <si>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</si>
  <si>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</si>
  <si>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</si>
  <si>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</si>
  <si>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</si>
  <si>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</si>
  <si>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</si>
  <si>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</si>
  <si>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</si>
  <si>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</si>
  <si>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</si>
  <si>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</si>
  <si>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</si>
  <si>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</si>
  <si>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</si>
  <si>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</si>
  <si>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</si>
  <si>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</si>
  <si>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</si>
  <si>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</si>
  <si>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</si>
  <si>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</si>
  <si>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</si>
  <si>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</si>
  <si>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</si>
  <si>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</si>
  <si>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</si>
  <si>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</si>
  <si>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</si>
  <si>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</si>
  <si>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</si>
  <si>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</si>
  <si>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</si>
  <si>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</si>
  <si>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</si>
  <si>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</si>
  <si>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</si>
  <si>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</si>
  <si>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</si>
  <si>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</si>
  <si>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</si>
  <si>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</si>
  <si>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</si>
  <si>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</si>
  <si>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</si>
  <si>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</si>
  <si>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</si>
  <si>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</si>
  <si>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</si>
  <si>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</si>
  <si>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</si>
  <si>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</si>
  <si>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</si>
  <si>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</si>
  <si>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</si>
  <si>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</si>
  <si>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</si>
  <si>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</si>
  <si>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</si>
  <si>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</si>
  <si>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</si>
  <si>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</si>
  <si>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</si>
  <si>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</si>
  <si>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</si>
  <si>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</si>
  <si>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</si>
  <si>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</si>
  <si>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</si>
  <si>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</si>
  <si>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</si>
  <si>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</si>
  <si>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</si>
  <si>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</si>
  <si>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</si>
  <si>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</si>
  <si>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</si>
  <si>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</si>
  <si>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</si>
  <si>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</si>
  <si>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</si>
  <si>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</si>
  <si>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</si>
  <si>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</si>
  <si>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</si>
  <si>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</si>
  <si>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</si>
  <si>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</si>
  <si>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</si>
  <si>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</si>
  <si>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</si>
  <si>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</si>
  <si>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</si>
  <si>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</si>
  <si>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</si>
  <si>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</si>
  <si>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</si>
  <si>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</si>
  <si>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</si>
  <si>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</si>
  <si>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</si>
  <si>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</si>
  <si>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</si>
  <si>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</si>
  <si>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</si>
  <si>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</si>
  <si>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</si>
  <si>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</si>
  <si>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</si>
  <si>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</si>
  <si>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</si>
  <si>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</si>
  <si>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</si>
  <si>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</si>
  <si>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</si>
  <si>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</si>
  <si>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</si>
  <si>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</si>
  <si>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</si>
  <si>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</si>
  <si>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</si>
  <si>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</si>
  <si>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</si>
  <si>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</si>
  <si>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</si>
  <si>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</si>
  <si>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</si>
  <si>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</si>
  <si>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</si>
  <si>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</si>
  <si>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</si>
  <si>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</si>
  <si>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</si>
  <si>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</si>
  <si>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</si>
  <si>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</si>
  <si>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</si>
  <si>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</si>
  <si>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</si>
  <si>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</si>
  <si>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</si>
  <si>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</si>
  <si>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</si>
  <si>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</si>
  <si>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</si>
  <si>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</si>
  <si>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</si>
  <si>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</si>
  <si>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</si>
  <si>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</si>
  <si>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</si>
  <si>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</si>
  <si>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</si>
  <si>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</si>
  <si>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</si>
  <si>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</si>
  <si>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</si>
  <si>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</si>
  <si>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</si>
  <si>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</si>
  <si>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</si>
  <si>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</si>
  <si>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</si>
  <si>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</si>
  <si>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</si>
  <si>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</si>
  <si>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</si>
  <si>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</si>
  <si>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</si>
  <si>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</si>
  <si>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</si>
  <si>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</si>
  <si>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</si>
  <si>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</si>
  <si>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</si>
  <si>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</si>
  <si>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</si>
  <si>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</si>
  <si>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</si>
  <si>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</si>
  <si>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</si>
  <si>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</si>
  <si>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</si>
  <si>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</si>
  <si>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</si>
  <si>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</si>
  <si>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</si>
  <si>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</si>
  <si>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</si>
  <si>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</si>
  <si>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</si>
  <si>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</si>
  <si>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</si>
  <si>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</si>
  <si>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</si>
  <si>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</si>
  <si>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</si>
  <si>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</si>
  <si>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</si>
  <si>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</si>
  <si>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</si>
  <si>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</si>
  <si>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</si>
  <si>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</si>
  <si>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</si>
  <si>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</si>
  <si>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</si>
  <si>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</si>
  <si>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</si>
  <si>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</si>
  <si>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</si>
  <si>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</si>
  <si>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</si>
  <si>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</si>
  <si>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</si>
  <si>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</si>
  <si>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</si>
  <si>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</si>
  <si>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</si>
  <si>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</si>
  <si>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</si>
  <si>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</si>
  <si>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</si>
  <si>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</si>
  <si>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</si>
  <si>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</si>
  <si>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</si>
  <si>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</si>
  <si>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</si>
  <si>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</si>
  <si>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</si>
  <si>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</si>
  <si>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</si>
  <si>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</si>
  <si>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</si>
  <si>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</si>
  <si>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</si>
  <si>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</si>
  <si>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</si>
  <si>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</si>
  <si>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</si>
  <si>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</si>
  <si>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</si>
  <si>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</si>
  <si>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</si>
  <si>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</si>
  <si>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</si>
  <si>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</si>
  <si>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</si>
  <si>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</si>
  <si>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</si>
  <si>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</si>
  <si>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</si>
  <si>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</si>
  <si>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</si>
  <si>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</si>
  <si>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</si>
  <si>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</si>
  <si>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</si>
  <si>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</si>
  <si>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</si>
  <si>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</si>
  <si>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</si>
  <si>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</si>
  <si>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</si>
  <si>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</si>
  <si>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</si>
  <si>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</si>
  <si>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</si>
  <si>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</si>
  <si>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</si>
  <si>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</si>
  <si>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</si>
  <si>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</si>
  <si>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</si>
  <si>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</si>
  <si>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</si>
  <si>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</si>
  <si>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</si>
  <si>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</si>
  <si>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</si>
  <si>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</si>
  <si>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</si>
  <si>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</si>
  <si>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</si>
  <si>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</si>
  <si>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</si>
  <si>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</si>
  <si>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</si>
  <si>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</si>
  <si>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</si>
  <si>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</si>
  <si>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</si>
  <si>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</si>
  <si>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</si>
  <si>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</si>
  <si>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</si>
  <si>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</si>
  <si>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</si>
  <si>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</si>
  <si>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</si>
  <si>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</si>
  <si>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</si>
  <si>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</si>
  <si>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</si>
  <si>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</si>
  <si>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</si>
  <si>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</si>
  <si>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</si>
  <si>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</si>
  <si>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</si>
  <si>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</si>
  <si>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</si>
  <si>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</si>
  <si>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</si>
  <si>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</si>
  <si>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</si>
  <si>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</si>
  <si>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</si>
  <si>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</si>
  <si>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</si>
  <si>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</si>
  <si>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</si>
  <si>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</si>
  <si>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</si>
  <si>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</si>
  <si>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</si>
  <si>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</si>
  <si>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</si>
  <si>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</si>
  <si>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</si>
  <si>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</si>
  <si>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</si>
  <si>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</si>
  <si>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</si>
  <si>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</si>
  <si>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</si>
  <si>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</si>
  <si>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</si>
  <si>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</si>
  <si>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</si>
  <si>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</si>
  <si>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</si>
  <si>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</si>
  <si>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</si>
  <si>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</si>
  <si>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</si>
  <si>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</si>
  <si>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</si>
  <si>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</si>
  <si>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</si>
  <si>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</si>
  <si>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</si>
  <si>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</si>
  <si>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</si>
  <si>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</si>
  <si>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</si>
  <si>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</si>
  <si>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</si>
  <si>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</si>
  <si>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</si>
  <si>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</si>
  <si>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</si>
  <si>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</si>
  <si>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</si>
  <si>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</si>
  <si>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</si>
  <si>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</si>
  <si>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</si>
  <si>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</si>
  <si>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</si>
  <si>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</si>
  <si>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</si>
  <si>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</si>
  <si>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</si>
  <si>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</si>
  <si>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</si>
  <si>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</si>
  <si>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</si>
  <si>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</si>
  <si>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</si>
  <si>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</si>
  <si>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</si>
  <si>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</si>
  <si>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</si>
  <si>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</si>
  <si>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</si>
  <si>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</si>
  <si>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</si>
  <si>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</si>
  <si>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</si>
  <si>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</si>
  <si>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</si>
  <si>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</si>
  <si>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</si>
  <si>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</si>
  <si>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</si>
  <si>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</si>
  <si>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</si>
  <si>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</si>
  <si>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</si>
  <si>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</si>
  <si>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</si>
  <si>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</si>
  <si>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</si>
  <si>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</si>
  <si>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</si>
  <si>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</si>
  <si>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</si>
  <si>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</si>
  <si>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</si>
  <si>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</si>
  <si>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</si>
  <si>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</si>
  <si>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</si>
  <si>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</si>
  <si>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</si>
  <si>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</si>
  <si>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</si>
  <si>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</si>
  <si>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</si>
  <si>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</si>
  <si>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</si>
  <si>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</si>
  <si>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</si>
  <si>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</si>
  <si>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</si>
  <si>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</si>
  <si>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</si>
  <si>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</si>
  <si>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</si>
  <si>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</si>
  <si>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</si>
  <si>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</si>
  <si>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</si>
  <si>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</si>
  <si>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</si>
  <si>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</si>
  <si>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</si>
  <si>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</si>
  <si>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</si>
  <si>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</si>
  <si>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</si>
  <si>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</si>
  <si>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</si>
  <si>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</si>
  <si>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</si>
  <si>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</si>
  <si>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</si>
  <si>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</si>
  <si>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</si>
  <si>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</si>
  <si>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</si>
  <si>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</si>
  <si>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</si>
  <si>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</si>
  <si>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</si>
  <si>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</si>
  <si>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</si>
  <si>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</si>
  <si>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</si>
  <si>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</si>
  <si>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</si>
  <si>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</si>
  <si>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</si>
  <si>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</si>
  <si>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</si>
  <si>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</si>
  <si>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</si>
  <si>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</si>
  <si>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</si>
  <si>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</si>
  <si>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</si>
  <si>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</si>
  <si>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</si>
  <si>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</si>
  <si>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</si>
  <si>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</si>
  <si>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</si>
  <si>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</si>
  <si>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</si>
  <si>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</si>
  <si>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</si>
  <si>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</si>
  <si>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</si>
  <si>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</si>
  <si>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</si>
  <si>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</si>
  <si>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</si>
  <si>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</si>
  <si>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</si>
  <si>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</si>
  <si>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</si>
  <si>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</si>
  <si>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</si>
  <si>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</si>
  <si>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</si>
  <si>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</si>
  <si>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</si>
  <si>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</si>
  <si>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</si>
  <si>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</si>
  <si>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</si>
  <si>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</si>
  <si>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</si>
  <si>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</si>
  <si>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</si>
  <si>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</si>
  <si>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</si>
  <si>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</si>
  <si>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</si>
  <si>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</si>
  <si>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</si>
  <si>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</si>
  <si>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</si>
  <si>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</si>
  <si>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</si>
  <si>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</si>
  <si>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</si>
  <si>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</si>
  <si>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</si>
  <si>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</si>
  <si>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</si>
  <si>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</si>
  <si>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</si>
  <si>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</si>
  <si>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</si>
  <si>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</si>
  <si>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</si>
  <si>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</si>
  <si>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</si>
  <si>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</si>
  <si>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</si>
  <si>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</si>
  <si>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</si>
  <si>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</si>
  <si>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</si>
  <si>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</si>
  <si>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</si>
  <si>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</si>
  <si>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</si>
  <si>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</si>
  <si>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</si>
  <si>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</si>
  <si>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</si>
  <si>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</si>
  <si>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</si>
  <si>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</si>
  <si>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</si>
  <si>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</si>
  <si>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</si>
  <si>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</si>
  <si>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</si>
  <si>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</si>
  <si>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</si>
  <si>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</si>
  <si>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</si>
  <si>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</si>
  <si>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</si>
  <si>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</si>
  <si>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</si>
  <si>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</si>
  <si>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</si>
  <si>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</si>
  <si>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</si>
  <si>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</si>
  <si>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</si>
  <si>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</si>
  <si>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</si>
  <si>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</si>
  <si>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</si>
  <si>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</si>
  <si>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</si>
  <si>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</si>
  <si>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</si>
  <si>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</si>
  <si>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</si>
  <si>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</si>
  <si>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</si>
  <si>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</si>
  <si>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</si>
  <si>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</si>
  <si>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</si>
  <si>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</si>
  <si>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</si>
  <si>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</si>
  <si>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</si>
  <si>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</si>
  <si>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</si>
  <si>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</si>
  <si>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</si>
  <si>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</si>
  <si>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</si>
  <si>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</si>
  <si>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</si>
  <si>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</si>
  <si>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</si>
  <si>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</si>
  <si>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</si>
  <si>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</si>
  <si>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</si>
  <si>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</si>
  <si>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</si>
  <si>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</si>
  <si>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</si>
  <si>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</si>
  <si>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</si>
  <si>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</si>
  <si>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</si>
  <si>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</si>
  <si>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</si>
  <si>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</si>
  <si>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</si>
  <si>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</si>
  <si>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</si>
  <si>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</si>
  <si>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</si>
  <si>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</si>
  <si>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</si>
  <si>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</si>
  <si>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</si>
  <si>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</si>
  <si>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</si>
  <si>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</si>
  <si>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</si>
  <si>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</si>
  <si>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</si>
  <si>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</si>
  <si>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</si>
  <si>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</si>
  <si>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</si>
  <si>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</si>
  <si>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</si>
  <si>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</si>
  <si>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</si>
  <si>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</si>
  <si>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</si>
  <si>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</si>
  <si>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</si>
  <si>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</si>
  <si>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</si>
  <si>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</si>
  <si>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</si>
  <si>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</si>
  <si>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</si>
  <si>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</si>
  <si>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</si>
  <si>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</si>
  <si>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</si>
  <si>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</si>
  <si>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</si>
  <si>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</si>
  <si>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</si>
  <si>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</si>
  <si>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</si>
  <si>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</si>
  <si>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</si>
  <si>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</si>
  <si>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</si>
  <si>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</si>
  <si>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</si>
  <si>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</si>
  <si>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</si>
  <si>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</si>
  <si>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</si>
  <si>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</si>
  <si>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</si>
  <si>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</si>
  <si>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</si>
  <si>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</si>
  <si>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</si>
  <si>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</si>
  <si>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</si>
  <si>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</si>
  <si>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</si>
  <si>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</si>
  <si>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</si>
  <si>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</si>
  <si>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</si>
  <si>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</si>
  <si>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</si>
  <si>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</si>
  <si>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</si>
  <si>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</si>
  <si>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</si>
  <si>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</si>
  <si>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</si>
  <si>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</si>
  <si>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</si>
  <si>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</si>
  <si>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</si>
  <si>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</si>
  <si>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</si>
  <si>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</si>
  <si>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</si>
  <si>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</si>
  <si>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</si>
  <si>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</si>
  <si>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</si>
  <si>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</si>
  <si>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</si>
  <si>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</si>
  <si>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</si>
  <si>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</si>
  <si>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</si>
  <si>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</si>
  <si>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</si>
  <si>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</si>
  <si>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</si>
  <si>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</si>
  <si>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</si>
  <si>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</si>
  <si>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</si>
  <si>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</si>
  <si>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</si>
  <si>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</si>
  <si>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</si>
  <si>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</si>
  <si>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</si>
  <si>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</si>
  <si>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</si>
  <si>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</si>
  <si>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</si>
  <si>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</si>
  <si>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</si>
  <si>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</si>
  <si>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</si>
  <si>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</si>
  <si>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</si>
  <si>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</si>
  <si>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</si>
  <si>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</si>
  <si>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</si>
  <si>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</si>
  <si>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</si>
  <si>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</si>
  <si>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</si>
  <si>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</si>
  <si>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</si>
  <si>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</si>
  <si>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</si>
  <si>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</si>
  <si>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</si>
  <si>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</si>
  <si>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</si>
  <si>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</si>
  <si>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</si>
  <si>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</si>
  <si>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</si>
  <si>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</si>
  <si>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</si>
  <si>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</si>
  <si>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</si>
  <si>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</si>
  <si>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</si>
  <si>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</si>
  <si>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</si>
  <si>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</si>
  <si>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</si>
  <si>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</si>
  <si>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</si>
  <si>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</si>
  <si>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</si>
  <si>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</si>
  <si>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</si>
  <si>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</si>
  <si>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</si>
  <si>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</si>
  <si>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</si>
  <si>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</si>
  <si>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</si>
  <si>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</si>
  <si>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</si>
  <si>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</si>
  <si>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</si>
  <si>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</si>
  <si>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</si>
  <si>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</si>
  <si>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</si>
  <si>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</si>
  <si>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</si>
  <si>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</si>
  <si>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</si>
  <si>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</si>
  <si>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</si>
  <si>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</si>
  <si>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</si>
  <si>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</si>
  <si>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</si>
  <si>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</si>
  <si>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</si>
  <si>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</si>
  <si>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</si>
  <si>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</si>
  <si>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</si>
  <si>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</si>
  <si>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</si>
  <si>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</si>
  <si>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</si>
  <si>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</si>
  <si>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</si>
  <si>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</si>
  <si>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</si>
  <si>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</si>
  <si>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</si>
  <si>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</si>
  <si>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</si>
  <si>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</si>
  <si>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</si>
  <si>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</si>
  <si>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</si>
  <si>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</si>
  <si>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</si>
  <si>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</si>
  <si>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</si>
  <si>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</si>
  <si>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</si>
  <si>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</si>
  <si>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</si>
  <si>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</si>
  <si>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</si>
  <si>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</si>
  <si>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</si>
  <si>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</si>
  <si>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</si>
  <si>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</si>
  <si>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</si>
  <si>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</si>
  <si>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</si>
  <si>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</si>
  <si>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</si>
  <si>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</si>
  <si>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</si>
  <si>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</si>
  <si>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</si>
  <si>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</si>
  <si>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</si>
  <si>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</si>
  <si>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</si>
  <si>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</si>
  <si>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</si>
  <si>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</si>
  <si>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</si>
  <si>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</si>
  <si>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</si>
  <si>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</si>
  <si>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</si>
  <si>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</si>
  <si>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</si>
  <si>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</si>
  <si>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</si>
  <si>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</si>
  <si>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</si>
  <si>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</si>
  <si>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</si>
  <si>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</si>
  <si>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</si>
  <si>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</si>
  <si>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</si>
  <si>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</si>
  <si>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</si>
  <si>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</si>
  <si>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</si>
  <si>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</si>
  <si>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</si>
  <si>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</si>
  <si>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</si>
  <si>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</si>
  <si>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</si>
  <si>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</si>
  <si>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</si>
  <si>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</si>
  <si>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</si>
  <si>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</si>
  <si>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</si>
  <si>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</si>
  <si>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</si>
  <si>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</si>
  <si>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</si>
  <si>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</si>
  <si>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</si>
  <si>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</si>
  <si>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</si>
  <si>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</si>
  <si>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</si>
  <si>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</si>
  <si>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</si>
  <si>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</si>
  <si>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</si>
  <si>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</si>
  <si>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</si>
  <si>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</si>
  <si>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</si>
  <si>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</si>
  <si>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</si>
  <si>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</si>
  <si>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</si>
  <si>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</si>
  <si>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</si>
  <si>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</si>
  <si>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</si>
  <si>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</si>
  <si>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</si>
  <si>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</si>
  <si>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</si>
  <si>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</si>
  <si>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</si>
  <si>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</si>
  <si>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</si>
  <si>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</si>
  <si>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</si>
  <si>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</si>
  <si>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</si>
  <si>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</si>
  <si>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</si>
  <si>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</si>
  <si>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</si>
  <si>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</si>
  <si>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</si>
  <si>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</si>
  <si>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</si>
  <si>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</si>
  <si>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</si>
  <si>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</si>
  <si>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</si>
  <si>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</si>
  <si>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</si>
  <si>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</si>
  <si>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</si>
  <si>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</si>
  <si>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</si>
  <si>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</si>
  <si>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</si>
  <si>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</si>
  <si>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</si>
  <si>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</si>
  <si>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</si>
  <si>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</si>
  <si>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</si>
  <si>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</si>
  <si>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</si>
  <si>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</si>
  <si>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</si>
  <si>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</si>
  <si>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</si>
  <si>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</si>
  <si>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</si>
  <si>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</si>
  <si>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</si>
  <si>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</si>
  <si>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</si>
  <si>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</si>
  <si>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</si>
  <si>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</si>
  <si>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</si>
  <si>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</si>
  <si>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</si>
  <si>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</si>
  <si>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</si>
  <si>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</si>
  <si>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</si>
  <si>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</si>
  <si>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</si>
  <si>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</si>
  <si>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</si>
  <si>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</si>
  <si>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</si>
  <si>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</si>
  <si>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</si>
  <si>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</si>
  <si>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</si>
  <si>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</si>
  <si>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</si>
  <si>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</si>
  <si>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</si>
  <si>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</si>
  <si>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</si>
  <si>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</si>
  <si>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</si>
  <si>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</si>
  <si>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</si>
  <si>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</si>
  <si>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</si>
  <si>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</si>
  <si>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</si>
  <si>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</si>
  <si>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</si>
  <si>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</si>
  <si>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</si>
  <si>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</si>
  <si>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</si>
  <si>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</si>
  <si>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</si>
  <si>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</si>
  <si>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</si>
  <si>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</si>
  <si>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</si>
  <si>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</si>
  <si>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</si>
  <si>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</si>
  <si>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</si>
  <si>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</si>
  <si>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</si>
  <si>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</si>
  <si>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</si>
  <si>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</si>
  <si>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</si>
  <si>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</si>
  <si>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</si>
  <si>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Row Labels</t>
  </si>
  <si>
    <t>Grand Total</t>
  </si>
  <si>
    <t>Column Labels</t>
  </si>
  <si>
    <t>Count of outcomes</t>
  </si>
  <si>
    <t>(All)</t>
  </si>
  <si>
    <t>Date Created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</si>
  <si>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</si>
  <si>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</si>
  <si>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</si>
  <si>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</si>
  <si>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</si>
  <si>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</si>
  <si>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</si>
  <si>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</si>
  <si>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</si>
  <si>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</si>
  <si>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</si>
  <si>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</si>
  <si>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</si>
  <si>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</si>
  <si>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</si>
  <si>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</si>
  <si>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The Hitchhikers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</si>
  <si>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</si>
  <si>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</si>
  <si>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</si>
  <si>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</si>
  <si>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</si>
  <si>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</si>
  <si>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</si>
  <si>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</si>
  <si>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</si>
  <si>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</si>
  <si>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</si>
  <si>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</si>
  <si>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</si>
  <si>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</si>
  <si>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</si>
  <si>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</si>
  <si>
    <t>years</t>
  </si>
  <si>
    <t>Number Successful</t>
  </si>
  <si>
    <t>Number Failed</t>
  </si>
  <si>
    <t>Number Cancelled</t>
  </si>
  <si>
    <t xml:space="preserve">Total Projects 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</si>
  <si>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</si>
  <si>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</si>
  <si>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</si>
  <si>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</si>
  <si>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</si>
  <si>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</si>
  <si>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</si>
  <si>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</si>
  <si>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</si>
  <si>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</si>
  <si>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</si>
  <si>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</si>
  <si>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35000 to 39999</t>
  </si>
  <si>
    <t>45000 to 49999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</si>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</sst>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copy.xlsx]Outcomes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8-4C6E-A074-7727836D41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8-4C6E-A074-7727836D41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8-4C6E-A074-7727836D41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8-4C6E-A074-7727836D4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046671"/>
        <c:axId val="1874044175"/>
      </c:lineChart>
      <c:catAx>
        <c:axId val="18740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44175"/>
        <c:crosses val="autoZero"/>
        <c:auto val="1"/>
        <c:lblAlgn val="ctr"/>
        <c:lblOffset val="100"/>
        <c:noMultiLvlLbl val="0"/>
      </c:catAx>
      <c:valAx>
        <c:axId val="187404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4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copy.xlsx]Theater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Theater Outcomes Based On Launch Date</a:t>
            </a:r>
          </a:p>
        </c:rich>
      </c:tx>
      <c:layout>
        <c:manualLayout>
          <c:xMode val="edge"/>
          <c:yMode val="edge"/>
          <c:x val="0.31695822397200352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4-48A7-B858-EA21CA6148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4-48A7-B858-EA21CA6148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4-48A7-B858-EA21CA614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835768"/>
        <c:axId val="521836096"/>
      </c:lineChart>
      <c:catAx>
        <c:axId val="52183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36096"/>
        <c:crosses val="autoZero"/>
        <c:auto val="1"/>
        <c:lblAlgn val="ctr"/>
        <c:lblOffset val="100"/>
        <c:noMultiLvlLbl val="0"/>
      </c:catAx>
      <c:valAx>
        <c:axId val="5218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3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78263342082240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Sheet3!$F$2:$F$13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F-4212-B10F-9199D214DF31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F-4212-B10F-9199D214DF31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F-4212-B10F-9199D21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772112"/>
        <c:axId val="521772440"/>
      </c:lineChart>
      <c:catAx>
        <c:axId val="52177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72440"/>
        <c:crosses val="autoZero"/>
        <c:auto val="1"/>
        <c:lblAlgn val="ctr"/>
        <c:lblOffset val="100"/>
        <c:noMultiLvlLbl val="0"/>
      </c:catAx>
      <c:valAx>
        <c:axId val="52177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9-44DA-B649-8082FA4C20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9-44DA-B649-8082FA4C20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9-44DA-B649-8082FA4C20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9-44DA-B649-8082FA4C2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574111"/>
        <c:axId val="2091582431"/>
      </c:barChart>
      <c:catAx>
        <c:axId val="20915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82431"/>
        <c:crosses val="autoZero"/>
        <c:auto val="1"/>
        <c:lblAlgn val="ctr"/>
        <c:lblOffset val="100"/>
        <c:noMultiLvlLbl val="0"/>
      </c:catAx>
      <c:valAx>
        <c:axId val="20915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C-462D-BFDE-896103680C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C-462D-BFDE-896103680C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7C-462D-BFDE-896103680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25519"/>
        <c:axId val="187628431"/>
      </c:barChart>
      <c:catAx>
        <c:axId val="18762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28431"/>
        <c:crosses val="autoZero"/>
        <c:auto val="1"/>
        <c:lblAlgn val="ctr"/>
        <c:lblOffset val="100"/>
        <c:noMultiLvlLbl val="0"/>
      </c:catAx>
      <c:valAx>
        <c:axId val="18762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2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3</xdr:row>
      <xdr:rowOff>28575</xdr:rowOff>
    </xdr:from>
    <xdr:to>
      <xdr:col>13</xdr:col>
      <xdr:colOff>107950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E8879-631A-4A22-B7AE-B0BA79889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71437</xdr:rowOff>
    </xdr:from>
    <xdr:to>
      <xdr:col>12</xdr:col>
      <xdr:colOff>247650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A2FE3-0724-4D4D-92DF-9DF28342D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14</xdr:row>
      <xdr:rowOff>52387</xdr:rowOff>
    </xdr:from>
    <xdr:to>
      <xdr:col>6</xdr:col>
      <xdr:colOff>742950</xdr:colOff>
      <xdr:row>28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9ED78-A638-4928-9225-0CE81BD73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92075</xdr:rowOff>
    </xdr:from>
    <xdr:to>
      <xdr:col>13</xdr:col>
      <xdr:colOff>527050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8F3CC-3F69-46C8-8299-DB50F20E0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136525</xdr:rowOff>
    </xdr:from>
    <xdr:to>
      <xdr:col>13</xdr:col>
      <xdr:colOff>419100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33B8F-733A-4690-86AC-AE118081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Varda" refreshedDate="44388.531296875" createdVersion="7" refreshedVersion="7" minRefreshableVersion="3" recordCount="4114" xr:uid="{CF403174-94DB-47EC-9334-42E6E26C10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Varda" refreshedDate="44388.553278125" createdVersion="7" refreshedVersion="7" minRefreshableVersion="3" recordCount="4114" xr:uid="{BCA63973-001C-4F30-9ABB-27903C6922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malee Soman" refreshedDate="44388.728159143517" createdVersion="7" refreshedVersion="7" minRefreshableVersion="3" recordCount="4114" xr:uid="{C6A87108-183B-483E-9EEB-59C1145AD08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9CE29-F8DF-49B3-B620-FB6734DC1042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B66CB-A066-4F1B-8591-AF896614F83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77927-7F5B-4F29-9614-D3F07BB7E7B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3AE84-B0C6-475C-B943-72EE79D917A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C472-A611-4C4A-8F41-C1CE4EB92641}">
  <dimension ref="A1:F18"/>
  <sheetViews>
    <sheetView workbookViewId="0">
      <selection activeCell="E7" sqref="E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1" t="s">
        <v>8366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FCD8-8709-4D72-A8E2-F237BEA660A0}">
  <dimension ref="A1:E18"/>
  <sheetViews>
    <sheetView tabSelected="1"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5">
      <c r="A7" s="15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5">
      <c r="A8" s="15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5">
      <c r="A9" s="15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5">
      <c r="A10" s="15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5">
      <c r="A11" s="15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5">
      <c r="A12" s="15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5">
      <c r="A13" s="15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5">
      <c r="A14" s="15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5">
      <c r="A15" s="15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5">
      <c r="A16" s="15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5">
      <c r="A17" s="15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A246-4D8E-4703-9858-D274E1BC5742}">
  <dimension ref="A1:H13"/>
  <sheetViews>
    <sheetView topLeftCell="A11" workbookViewId="0">
      <selection activeCell="J9" sqref="J9"/>
    </sheetView>
  </sheetViews>
  <sheetFormatPr defaultRowHeight="15" x14ac:dyDescent="0.25"/>
  <cols>
    <col min="1" max="1" width="17.5703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5703125" bestFit="1" customWidth="1"/>
    <col min="6" max="6" width="17" bestFit="1" customWidth="1"/>
    <col min="7" max="8" width="20.42578125" bestFit="1" customWidth="1"/>
  </cols>
  <sheetData>
    <row r="1" spans="1:8" x14ac:dyDescent="0.25">
      <c r="A1" s="17" t="s">
        <v>8383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8418</v>
      </c>
      <c r="H1" s="17" t="s">
        <v>8405</v>
      </c>
    </row>
    <row r="2" spans="1:8" x14ac:dyDescent="0.25">
      <c r="A2" s="17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SUM($B$2:D2)</f>
        <v>186</v>
      </c>
      <c r="F2" s="18">
        <f>C2/E2</f>
        <v>0.24193548387096775</v>
      </c>
      <c r="G2" s="18">
        <f>B2/E2</f>
        <v>0.75806451612903225</v>
      </c>
      <c r="H2">
        <f>D2/E2</f>
        <v>0</v>
      </c>
    </row>
    <row r="3" spans="1:8" x14ac:dyDescent="0.25">
      <c r="A3" s="17" t="s">
        <v>8407</v>
      </c>
      <c r="B3">
        <f>COUNTIFS(Kickstarter!$D:$D,"&gt;=1000",Kickstarter!$D:$D,"&lt;=4999",Kickstarter!$F:$F,"successful",Kickstarter!$R:$R, "plays")</f>
        <v>388</v>
      </c>
      <c r="C3">
        <f>COUNTIFS(Kickstarter!$D:$D,"&gt;=1000",Kickstarter!$D:$D,"&lt;=4999",Kickstarter!$F:$F,"failed",Kickstarter!$R:$R, "plays")</f>
        <v>146</v>
      </c>
      <c r="D3">
        <f>COUNTIFS(Kickstarter!$D:$D,"&gt;=1000",Kickstarter!$D:$D,"&lt;=4999",Kickstarter!$F:$F,"cancelled",Kickstarter!$R:$R, "plays")</f>
        <v>0</v>
      </c>
      <c r="E3">
        <f>SUM(B3:D3)</f>
        <v>534</v>
      </c>
      <c r="F3" s="18">
        <f t="shared" ref="F3:F13" si="0">C3/E3</f>
        <v>0.27340823970037453</v>
      </c>
      <c r="G3" s="18">
        <f t="shared" ref="G3:G13" si="1">B3/E3</f>
        <v>0.72659176029962547</v>
      </c>
      <c r="H3">
        <f t="shared" ref="H3:H13" si="2">D3/E3</f>
        <v>0</v>
      </c>
    </row>
    <row r="4" spans="1:8" x14ac:dyDescent="0.25">
      <c r="A4" s="17" t="s">
        <v>8408</v>
      </c>
      <c r="B4">
        <f>COUNTIFS(Kickstarter!$D:$D,"&gt;=5000",Kickstarter!$D:$D,"&lt;=9999",Kickstarter!$F:$F,"successful",Kickstarter!$R:$R, "plays")</f>
        <v>93</v>
      </c>
      <c r="C4">
        <f>COUNTIFS(Kickstarter!$D:$D,"&gt;=5000",Kickstarter!$D:$D,"&lt;=9999",Kickstarter!$F:$F,"failed",Kickstarter!$R:$R, "plays")</f>
        <v>76</v>
      </c>
      <c r="D4">
        <f>COUNTIFS(Kickstarter!$D:$D,"&gt;=5000",Kickstarter!$D:$D,"&lt;=9999",Kickstarter!$F:$F,"cancelled",Kickstarter!$R:$R, "plays")</f>
        <v>0</v>
      </c>
      <c r="E4">
        <f>SUM(B4:D4)</f>
        <v>169</v>
      </c>
      <c r="F4" s="18">
        <f t="shared" si="0"/>
        <v>0.44970414201183434</v>
      </c>
      <c r="G4" s="18">
        <f t="shared" si="1"/>
        <v>0.55029585798816572</v>
      </c>
      <c r="H4">
        <f t="shared" si="2"/>
        <v>0</v>
      </c>
    </row>
    <row r="5" spans="1:8" x14ac:dyDescent="0.25">
      <c r="A5" s="17" t="s">
        <v>8409</v>
      </c>
      <c r="B5">
        <f>COUNTIFS(Kickstarter!$D:$D,"&gt;=10000",Kickstarter!$D:$D,"&lt;=14999",Kickstarter!$F:$F,"successful",Kickstarter!$R:$R, "plays")</f>
        <v>39</v>
      </c>
      <c r="C5">
        <f>COUNTIFS(Kickstarter!$D:$D,"&gt;=10000",Kickstarter!$D:$D,"&lt;=14999",Kickstarter!$F:$F,"failed",Kickstarter!$R:$R, "plays")</f>
        <v>33</v>
      </c>
      <c r="D5">
        <f>COUNTIFS(Kickstarter!$D:$D,"&gt;=10000",Kickstarter!$D:$D,"&lt;=14999",Kickstarter!$F:$F,"cancelled",Kickstarter!$R:$R, "plays")</f>
        <v>0</v>
      </c>
      <c r="E5">
        <f t="shared" ref="E5:E13" si="3">SUM(B5:D5)</f>
        <v>72</v>
      </c>
      <c r="F5" s="18">
        <f t="shared" si="0"/>
        <v>0.45833333333333331</v>
      </c>
      <c r="G5" s="18">
        <f t="shared" si="1"/>
        <v>0.54166666666666663</v>
      </c>
      <c r="H5">
        <f t="shared" si="2"/>
        <v>0</v>
      </c>
    </row>
    <row r="6" spans="1:8" x14ac:dyDescent="0.25">
      <c r="A6" s="17" t="s">
        <v>8410</v>
      </c>
      <c r="B6">
        <f>COUNTIFS(Kickstarter!$D:$D,"&gt;=15000",Kickstarter!$D:$D,"&lt;=19999",Kickstarter!$F:$F,"successful",Kickstarter!$R:$R, "plays")</f>
        <v>12</v>
      </c>
      <c r="C6">
        <f>COUNTIFS(Kickstarter!$D:$D,"&gt;=15000",Kickstarter!$D:$D,"&lt;=19999",Kickstarter!$F:$F,"failed",Kickstarter!$R:$R, "plays")</f>
        <v>12</v>
      </c>
      <c r="D6">
        <f>COUNTIFS(Kickstarter!$D:$D,"&gt;=15000",Kickstarter!$D:$D,"&lt;=19999",Kickstarter!$F:$F,"cancelled",Kickstarter!$R:$R, 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>
        <f t="shared" si="2"/>
        <v>0</v>
      </c>
    </row>
    <row r="7" spans="1:8" x14ac:dyDescent="0.25">
      <c r="A7" s="17" t="s">
        <v>8411</v>
      </c>
      <c r="B7">
        <f>COUNTIFS(Kickstarter!$D:$D,"&gt;=20000",Kickstarter!$D:$D,"&lt;=24999",Kickstarter!$F:$F,"successful",Kickstarter!$R:$R, "plays")</f>
        <v>9</v>
      </c>
      <c r="C7">
        <f>COUNTIFS(Kickstarter!$D:$D,"&gt;=20000",Kickstarter!$D:$D,"&lt;=24999",Kickstarter!$F:$F,"failed",Kickstarter!$R:$R, "plays")</f>
        <v>11</v>
      </c>
      <c r="D7">
        <f>COUNTIFS(Kickstarter!$D:$D,"&gt;=20000",Kickstarter!$D:$D,"&lt;=24999",Kickstarter!$F:$F,"cancelled",Kickstarter!$R:$R, "plays")</f>
        <v>0</v>
      </c>
      <c r="E7">
        <f t="shared" si="3"/>
        <v>20</v>
      </c>
      <c r="F7" s="18">
        <f t="shared" si="0"/>
        <v>0.55000000000000004</v>
      </c>
      <c r="G7" s="18">
        <f t="shared" si="1"/>
        <v>0.45</v>
      </c>
      <c r="H7">
        <f t="shared" si="2"/>
        <v>0</v>
      </c>
    </row>
    <row r="8" spans="1:8" x14ac:dyDescent="0.25">
      <c r="A8" s="17" t="s">
        <v>8412</v>
      </c>
      <c r="B8">
        <f>COUNTIFS(Kickstarter!$D:$D,"&gt;=25000",Kickstarter!$D:$D,"&lt;=29999",Kickstarter!$F:$F,"successful",Kickstarter!$R:$R, "plays")</f>
        <v>1</v>
      </c>
      <c r="C8">
        <f>COUNTIFS(Kickstarter!$D:$D,"&gt;=25000",Kickstarter!$D:$D,"&lt;=29999",Kickstarter!$F:$F,"failed",Kickstarter!$R:$R, "plays")</f>
        <v>4</v>
      </c>
      <c r="D8">
        <f>COUNTIFS(Kickstarter!$D:$D,"&gt;=25000",Kickstarter!$D:$D,"&lt;=29999",Kickstarter!$F:$F,"cancelled",Kickstarter!$R:$R, "plays")</f>
        <v>0</v>
      </c>
      <c r="E8">
        <f t="shared" si="3"/>
        <v>5</v>
      </c>
      <c r="F8" s="18">
        <f t="shared" si="0"/>
        <v>0.8</v>
      </c>
      <c r="G8" s="18">
        <f t="shared" si="1"/>
        <v>0.2</v>
      </c>
      <c r="H8">
        <f t="shared" si="2"/>
        <v>0</v>
      </c>
    </row>
    <row r="9" spans="1:8" x14ac:dyDescent="0.25">
      <c r="A9" s="17" t="s">
        <v>8413</v>
      </c>
      <c r="B9">
        <f>COUNTIFS(Kickstarter!$D:$D,"&gt;=30000",Kickstarter!$D:$D,"&lt;=34999",Kickstarter!$F:$F,"successful",Kickstarter!$R:$R, "plays")</f>
        <v>3</v>
      </c>
      <c r="C9">
        <f>COUNTIFS(Kickstarter!$D:$D,"&gt;=30000",Kickstarter!$D:$D,"&lt;=34999",Kickstarter!$F:$F,"failed",Kickstarter!$R:$R, "plays")</f>
        <v>8</v>
      </c>
      <c r="D9">
        <f>COUNTIFS(Kickstarter!$D:$D,"&gt;=30000",Kickstarter!$D:$D,"&lt;=34999",Kickstarter!$F:$F,"cancelled",Kickstarter!$R:$R, "plays")</f>
        <v>0</v>
      </c>
      <c r="E9">
        <f t="shared" si="3"/>
        <v>11</v>
      </c>
      <c r="F9" s="18">
        <f t="shared" si="0"/>
        <v>0.72727272727272729</v>
      </c>
      <c r="G9" s="18">
        <f t="shared" si="1"/>
        <v>0.27272727272727271</v>
      </c>
      <c r="H9">
        <f t="shared" si="2"/>
        <v>0</v>
      </c>
    </row>
    <row r="10" spans="1:8" x14ac:dyDescent="0.25">
      <c r="A10" s="17" t="s">
        <v>8416</v>
      </c>
      <c r="B10">
        <f>COUNTIFS(Kickstarter!D:D,"&gt;=35000",Kickstarter!D:D,"&gt;39999",Kickstarter!F:F,"successful",Kickstarter!R:R, "plays")</f>
        <v>4</v>
      </c>
      <c r="C10">
        <f>COUNTIFS(Kickstarter!$D:$D,"&gt;=35000",Kickstarter!$D:$D,"&lt;=39999",Kickstarter!$F:$F,"failed",Kickstarter!$R:$R, "plays")</f>
        <v>2</v>
      </c>
      <c r="D10">
        <f>COUNTIFS(Kickstarter!$D:$D,"&gt;=35000",Kickstarter!$D:$D,"&lt;=39999",Kickstarter!$F:$F,"cancelled",Kickstarter!$R:$R, "plays")</f>
        <v>0</v>
      </c>
      <c r="E10">
        <f t="shared" si="3"/>
        <v>6</v>
      </c>
      <c r="F10" s="18">
        <f t="shared" si="0"/>
        <v>0.33333333333333331</v>
      </c>
      <c r="G10" s="18">
        <f t="shared" si="1"/>
        <v>0.66666666666666663</v>
      </c>
      <c r="H10">
        <f t="shared" si="2"/>
        <v>0</v>
      </c>
    </row>
    <row r="11" spans="1:8" x14ac:dyDescent="0.25">
      <c r="A11" s="17" t="s">
        <v>8414</v>
      </c>
      <c r="B11">
        <f>COUNTIFS(Kickstarter!$D:$D,"&gt;=40000",Kickstarter!$D:$D,"&lt;=44999",Kickstarter!$F:$F,"successful",Kickstarter!$R:$R, "plays")</f>
        <v>2</v>
      </c>
      <c r="C11">
        <f>COUNTIFS(Kickstarter!$D:$D,"&gt;=40000",Kickstarter!$D:$D,"&lt;=44999",Kickstarter!$F:$F,"failed",Kickstarter!$R:$R, "plays")</f>
        <v>1</v>
      </c>
      <c r="D11">
        <f>COUNTIFS(Kickstarter!$D:$D,"&gt;=40000",Kickstarter!$D:$D,"&lt;=44999",Kickstarter!$F:$F,"cancelled",Kickstarter!$R:$R, "plays")</f>
        <v>0</v>
      </c>
      <c r="E11">
        <f t="shared" si="3"/>
        <v>3</v>
      </c>
      <c r="F11" s="18">
        <f t="shared" si="0"/>
        <v>0.33333333333333331</v>
      </c>
      <c r="G11" s="18">
        <f t="shared" si="1"/>
        <v>0.66666666666666663</v>
      </c>
      <c r="H11">
        <f t="shared" si="2"/>
        <v>0</v>
      </c>
    </row>
    <row r="12" spans="1:8" x14ac:dyDescent="0.25">
      <c r="A12" s="17" t="s">
        <v>8417</v>
      </c>
      <c r="B12">
        <f>COUNTIFS(Kickstarter!$D:$D,"&gt;=45000",Kickstarter!$D:$D,"&lt;=49999",Kickstarter!$F:$F,"successful",Kickstarter!$R:$R, "plays")</f>
        <v>0</v>
      </c>
      <c r="C12">
        <f>COUNTIFS(Kickstarter!$D:$D,"&gt;=45000",Kickstarter!$D:$D,"&lt;=49999",Kickstarter!$F:$F,"failed",Kickstarter!$R:$R, "plays")</f>
        <v>1</v>
      </c>
      <c r="D12">
        <f>COUNTIFS(Kickstarter!$D:$D,"&gt;=45000",Kickstarter!$D:$D,"&lt;=49999",Kickstarter!$F:$F,"cancelled",Kickstarter!$R:$R, "plays")</f>
        <v>0</v>
      </c>
      <c r="E12">
        <f t="shared" si="3"/>
        <v>1</v>
      </c>
      <c r="F12" s="18">
        <f t="shared" si="0"/>
        <v>1</v>
      </c>
      <c r="G12" s="18">
        <f t="shared" si="1"/>
        <v>0</v>
      </c>
      <c r="H12">
        <f t="shared" si="2"/>
        <v>0</v>
      </c>
    </row>
    <row r="13" spans="1:8" x14ac:dyDescent="0.25">
      <c r="A13" s="17" t="s">
        <v>8415</v>
      </c>
      <c r="B13">
        <f>COUNTIFS(Kickstarter!$D:$D,"&gt;=50000",Kickstarter!$F:$F,"successful",Kickstarter!$R:$R, "plays")</f>
        <v>2</v>
      </c>
      <c r="C13">
        <f>COUNTIFS(Kickstarter!$D:$D,"&gt;=50000",Kickstarter!$F:$F,"failed",Kickstarter!$R:$R, "plays")</f>
        <v>14</v>
      </c>
      <c r="D13">
        <f>COUNTIFS(Kickstarter!$D:$D,"&gt;=50000",Kickstarter!$F:$F,"cancelled",Kickstarter!$R:$R, "plays")</f>
        <v>0</v>
      </c>
      <c r="E13">
        <f t="shared" si="3"/>
        <v>16</v>
      </c>
      <c r="F13" s="18">
        <f t="shared" si="0"/>
        <v>0.875</v>
      </c>
      <c r="G13" s="18">
        <f t="shared" si="1"/>
        <v>0.125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0" zoomScaleNormal="90" workbookViewId="0">
      <selection activeCell="E522" sqref="E522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bestFit="1" customWidth="1"/>
    <col min="16" max="16" width="16.28515625" bestFit="1" customWidth="1"/>
    <col min="17" max="17" width="41.140625" customWidth="1"/>
    <col min="18" max="18" width="16.140625" bestFit="1" customWidth="1"/>
    <col min="19" max="19" width="22.140625" bestFit="1" customWidth="1"/>
    <col min="20" max="20" width="2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 t="shared" ref="S2:S66" si="0"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8308</v>
      </c>
      <c r="R3" t="s">
        <v>8309</v>
      </c>
      <c r="S3" s="14">
        <f t="shared" si="0"/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26A3-EB9C-4A5C-B958-2D43915A3AE7}">
  <dimension ref="A1:E15"/>
  <sheetViews>
    <sheetView workbookViewId="0">
      <selection activeCell="C13" sqref="C13"/>
    </sheetView>
  </sheetViews>
  <sheetFormatPr defaultRowHeight="15" x14ac:dyDescent="0.25"/>
  <cols>
    <col min="1" max="1" width="26.28515625" bestFit="1" customWidth="1"/>
    <col min="2" max="2" width="10.140625" bestFit="1" customWidth="1"/>
    <col min="3" max="3" width="11.140625" bestFit="1" customWidth="1"/>
  </cols>
  <sheetData>
    <row r="1" spans="1:5" x14ac:dyDescent="0.25">
      <c r="B1" t="s">
        <v>8385</v>
      </c>
      <c r="C1" t="s">
        <v>8386</v>
      </c>
    </row>
    <row r="2" spans="1:5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5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5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5" x14ac:dyDescent="0.25">
      <c r="A5" t="s">
        <v>8392</v>
      </c>
      <c r="B5" s="16" t="e">
        <f>_xlfn.QUARTILE.EXC(#REF!,3)</f>
        <v>#REF!</v>
      </c>
      <c r="C5" s="16" t="e">
        <f>_xlfn.QUARTILE.EXC(#REF!,3)</f>
        <v>#REF!</v>
      </c>
    </row>
    <row r="6" spans="1:5" x14ac:dyDescent="0.25">
      <c r="A6" t="s">
        <v>8393</v>
      </c>
      <c r="B6" s="16" t="e">
        <f>_xlfn.QUARTILE.EXC(#REF!,1)</f>
        <v>#REF!</v>
      </c>
      <c r="C6" s="16" t="e">
        <f>_xlfn.QUARTILE.EXC(#REF!,1)</f>
        <v>#REF!</v>
      </c>
    </row>
    <row r="7" spans="1:5" x14ac:dyDescent="0.25">
      <c r="A7" t="s">
        <v>8394</v>
      </c>
      <c r="B7" s="16" t="e">
        <f>B5-B6</f>
        <v>#REF!</v>
      </c>
      <c r="C7" s="16" t="e">
        <f>C5-C6</f>
        <v>#REF!</v>
      </c>
    </row>
    <row r="8" spans="1:5" x14ac:dyDescent="0.25">
      <c r="E8" s="16"/>
    </row>
    <row r="10" spans="1:5" x14ac:dyDescent="0.25">
      <c r="A10" t="s">
        <v>8389</v>
      </c>
      <c r="B10" s="16" t="e">
        <f>AVERAGE(#REF!)</f>
        <v>#REF!</v>
      </c>
      <c r="C10" s="16" t="e">
        <f>AVERAGE(#REF!)</f>
        <v>#REF!</v>
      </c>
    </row>
    <row r="11" spans="1:5" x14ac:dyDescent="0.25">
      <c r="A11" t="s">
        <v>8390</v>
      </c>
      <c r="B11" s="16" t="e">
        <f>MEDIAN(#REF!)</f>
        <v>#REF!</v>
      </c>
      <c r="C11" s="16" t="e">
        <f>MEDIAN(#REF!)</f>
        <v>#REF!</v>
      </c>
    </row>
    <row r="12" spans="1:5" x14ac:dyDescent="0.25">
      <c r="A12" t="s">
        <v>8395</v>
      </c>
      <c r="B12" s="16" t="e">
        <f>_xlfn.STDEV.P(#REF!)</f>
        <v>#REF!</v>
      </c>
      <c r="C12" s="16" t="e">
        <f>_xlfn.STDEV.P(#REF!)</f>
        <v>#REF!</v>
      </c>
    </row>
    <row r="13" spans="1:5" x14ac:dyDescent="0.25">
      <c r="A13" t="s">
        <v>8396</v>
      </c>
      <c r="B13" s="16" t="e">
        <f>_xlfn.QUARTILE.EXC(#REF!,3)</f>
        <v>#REF!</v>
      </c>
      <c r="C13" s="16" t="e">
        <f>_xlfn.QUARTILE.EXC(#REF!,3)</f>
        <v>#REF!</v>
      </c>
    </row>
    <row r="14" spans="1:5" x14ac:dyDescent="0.25">
      <c r="A14" t="s">
        <v>8397</v>
      </c>
      <c r="B14" s="16" t="e">
        <f>_xlfn.QUARTILE.EXC(#REF!,1)</f>
        <v>#REF!</v>
      </c>
      <c r="C14" s="16" t="e">
        <f>_xlfn.QUARTILE.EXC(#REF!,1)</f>
        <v>#REF!</v>
      </c>
    </row>
    <row r="15" spans="1:5" x14ac:dyDescent="0.25">
      <c r="A15" t="s">
        <v>8398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B3381-89BF-432C-84CD-15FCF2006E28}">
  <dimension ref="A1:D6"/>
  <sheetViews>
    <sheetView topLeftCell="B1" workbookViewId="0">
      <selection activeCell="B6" sqref="B6"/>
    </sheetView>
  </sheetViews>
  <sheetFormatPr defaultRowHeight="15" x14ac:dyDescent="0.25"/>
  <cols>
    <col min="1" max="1" width="30.5703125" bestFit="1" customWidth="1"/>
    <col min="2" max="2" width="108.5703125" bestFit="1" customWidth="1"/>
    <col min="3" max="3" width="33.42578125" bestFit="1" customWidth="1"/>
  </cols>
  <sheetData>
    <row r="1" spans="1:4" x14ac:dyDescent="0.25">
      <c r="A1" t="s">
        <v>8379</v>
      </c>
      <c r="B1" t="s">
        <v>8380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25">
      <c r="A6" t="s">
        <v>8382</v>
      </c>
      <c r="B6" t="e">
        <f>VLOOKUP(A6, Kickstarter!B:C, 2, FALSE)</f>
        <v>#N/A</v>
      </c>
      <c r="C6" t="e">
        <f>VLOOKUP(A6, Kickstarter!B:E, 3, 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117E-00F3-4C6C-BE15-4C2374CB57F8}">
  <dimension ref="A1:F6"/>
  <sheetViews>
    <sheetView workbookViewId="0">
      <selection activeCell="E9" sqref="E9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6B17-032D-487B-870A-D65C52321698}">
  <dimension ref="A1:E7"/>
  <sheetViews>
    <sheetView workbookViewId="0">
      <selection activeCell="B19" sqref="B19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Sheet3</vt:lpstr>
      <vt:lpstr>Kickstarter</vt:lpstr>
      <vt:lpstr>Sheet11</vt:lpstr>
      <vt:lpstr>edinurgh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Shalmalee Soman</cp:lastModifiedBy>
  <dcterms:created xsi:type="dcterms:W3CDTF">2017-04-20T15:17:24Z</dcterms:created>
  <dcterms:modified xsi:type="dcterms:W3CDTF">2021-07-12T00:51:58Z</dcterms:modified>
</cp:coreProperties>
</file>