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58c3b579ff2622/Desktop/"/>
    </mc:Choice>
  </mc:AlternateContent>
  <xr:revisionPtr revIDLastSave="998" documentId="8_{B31F9540-DEEA-497C-AAB5-D20D06DBE267}" xr6:coauthVersionLast="47" xr6:coauthVersionMax="47" xr10:uidLastSave="{2618C7A3-A9B7-47B4-B396-D6240B4D6907}"/>
  <bookViews>
    <workbookView xWindow="-108" yWindow="-108" windowWidth="23256" windowHeight="12456" xr2:uid="{00000000-000D-0000-FFFF-FFFF00000000}"/>
  </bookViews>
  <sheets>
    <sheet name="Income Statement" sheetId="2" r:id="rId1"/>
    <sheet name="Common sized IS" sheetId="3" r:id="rId2"/>
    <sheet name="Balance Sheet" sheetId="6" r:id="rId3"/>
    <sheet name="Profitability" sheetId="4" r:id="rId4"/>
    <sheet name="DCF" sheetId="5" r:id="rId5"/>
    <sheet name="WACC" sheetId="7" r:id="rId6"/>
    <sheet name="Comps" sheetId="8" r:id="rId7"/>
    <sheet name="Shares" sheetId="10" r:id="rId8"/>
  </sheets>
  <externalReferences>
    <externalReference r:id="rId9"/>
    <externalReference r:id="rId10"/>
  </externalReferences>
  <definedNames>
    <definedName name="_xlchart.v1.0" hidden="1">DCF!$A$29</definedName>
    <definedName name="_xlchart.v1.1" hidden="1">DCF!$A$30</definedName>
    <definedName name="_xlchart.v1.10" hidden="1">DCF!$B$30:$P$30</definedName>
    <definedName name="_xlchart.v1.11" hidden="1">DCF!$B$31:$P$31</definedName>
    <definedName name="_xlchart.v1.2" hidden="1">DCF!$A$31</definedName>
    <definedName name="_xlchart.v1.3" hidden="1">DCF!$B$29:$P$29</definedName>
    <definedName name="_xlchart.v1.4" hidden="1">DCF!$B$30:$P$30</definedName>
    <definedName name="_xlchart.v1.5" hidden="1">DCF!$B$31:$P$31</definedName>
    <definedName name="_xlchart.v1.6" hidden="1">DCF!$A$29</definedName>
    <definedName name="_xlchart.v1.7" hidden="1">DCF!$A$30</definedName>
    <definedName name="_xlchart.v1.8" hidden="1">DCF!$A$31</definedName>
    <definedName name="_xlchart.v1.9" hidden="1">DCF!$B$29:$P$29</definedName>
    <definedName name="CASE">'[1]Operating Model'!#REF!</definedName>
    <definedName name="CIRC">'[1]Operating Model'!#REF!</definedName>
    <definedName name="PIK">[2]LBO!$E$8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7" l="1"/>
  <c r="I30" i="7"/>
  <c r="I29" i="7"/>
  <c r="E30" i="7"/>
  <c r="E29" i="7"/>
  <c r="E28" i="7"/>
  <c r="I28" i="7" s="1"/>
  <c r="W44" i="5"/>
  <c r="X44" i="5" s="1"/>
  <c r="U44" i="5"/>
  <c r="T44" i="5" s="1"/>
  <c r="S48" i="5"/>
  <c r="S49" i="5" s="1"/>
  <c r="S46" i="5"/>
  <c r="S45" i="5" s="1"/>
  <c r="Y18" i="8" l="1"/>
  <c r="X18" i="8"/>
  <c r="Y17" i="8"/>
  <c r="X17" i="8"/>
  <c r="W17" i="8"/>
  <c r="V17" i="8"/>
  <c r="T17" i="8"/>
  <c r="S17" i="8"/>
  <c r="R17" i="8"/>
  <c r="Q17" i="8"/>
  <c r="P17" i="8"/>
  <c r="O17" i="8"/>
  <c r="N17" i="8"/>
  <c r="M17" i="8"/>
  <c r="K17" i="8"/>
  <c r="J17" i="8"/>
  <c r="I17" i="8"/>
  <c r="T18" i="8"/>
  <c r="S18" i="8"/>
  <c r="R18" i="8"/>
  <c r="Q18" i="8"/>
  <c r="P18" i="8"/>
  <c r="O18" i="8"/>
  <c r="N18" i="8"/>
  <c r="M18" i="8"/>
  <c r="K18" i="8"/>
  <c r="J18" i="8"/>
  <c r="I18" i="8"/>
  <c r="W18" i="8"/>
  <c r="J59" i="5" s="1"/>
  <c r="J60" i="5" s="1"/>
  <c r="V18" i="8"/>
  <c r="J58" i="5"/>
  <c r="B59" i="5"/>
  <c r="L30" i="5"/>
  <c r="K30" i="5"/>
  <c r="J30" i="5"/>
  <c r="I30" i="5"/>
  <c r="H30" i="5"/>
  <c r="G30" i="5"/>
  <c r="F30" i="5"/>
  <c r="E30" i="5"/>
  <c r="D30" i="5"/>
  <c r="C30" i="5"/>
  <c r="F58" i="5"/>
  <c r="L40" i="5"/>
  <c r="M41" i="5" s="1"/>
  <c r="N41" i="5" s="1"/>
  <c r="O41" i="5" s="1"/>
  <c r="P41" i="5" s="1"/>
  <c r="F15" i="7"/>
  <c r="P48" i="5" s="1"/>
  <c r="K33" i="5"/>
  <c r="P47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F10" i="7"/>
  <c r="D6" i="10"/>
  <c r="D40" i="10"/>
  <c r="D37" i="10"/>
  <c r="D36" i="10" s="1"/>
  <c r="D28" i="10"/>
  <c r="D27" i="10"/>
  <c r="D26" i="10"/>
  <c r="D25" i="10"/>
  <c r="D24" i="10"/>
  <c r="D23" i="10"/>
  <c r="D22" i="10"/>
  <c r="D21" i="10"/>
  <c r="D20" i="10"/>
  <c r="A20" i="10"/>
  <c r="A21" i="10" s="1"/>
  <c r="A22" i="10" s="1"/>
  <c r="A23" i="10" s="1"/>
  <c r="A24" i="10" s="1"/>
  <c r="A25" i="10" s="1"/>
  <c r="A26" i="10" s="1"/>
  <c r="A27" i="10" s="1"/>
  <c r="A28" i="10" s="1"/>
  <c r="D19" i="10"/>
  <c r="D9" i="10"/>
  <c r="K35" i="5" l="1"/>
  <c r="N16" i="5"/>
  <c r="M16" i="5"/>
  <c r="E16" i="5"/>
  <c r="F20" i="7"/>
  <c r="F9" i="7" s="1"/>
  <c r="F17" i="7"/>
  <c r="L16" i="5"/>
  <c r="L41" i="5"/>
  <c r="P16" i="5"/>
  <c r="H16" i="5"/>
  <c r="D16" i="5"/>
  <c r="K16" i="5"/>
  <c r="F16" i="5"/>
  <c r="I16" i="5"/>
  <c r="C16" i="5"/>
  <c r="J16" i="5"/>
  <c r="O16" i="5"/>
  <c r="G16" i="5"/>
  <c r="D10" i="10"/>
  <c r="D30" i="10"/>
  <c r="D8" i="10" s="1"/>
  <c r="D39" i="10"/>
  <c r="F16" i="7" l="1"/>
  <c r="D11" i="10"/>
  <c r="D14" i="10" s="1"/>
  <c r="P51" i="5" s="1"/>
  <c r="I15" i="8" l="1"/>
  <c r="I14" i="8"/>
  <c r="I13" i="8"/>
  <c r="I11" i="8"/>
  <c r="L31" i="5"/>
  <c r="M30" i="5" s="1"/>
  <c r="M31" i="5" s="1"/>
  <c r="N30" i="5" s="1"/>
  <c r="N31" i="5" s="1"/>
  <c r="O30" i="5" s="1"/>
  <c r="O31" i="5" s="1"/>
  <c r="P30" i="5" s="1"/>
  <c r="K31" i="5"/>
  <c r="J31" i="5"/>
  <c r="I31" i="5"/>
  <c r="H31" i="5"/>
  <c r="G31" i="5"/>
  <c r="F31" i="5"/>
  <c r="E31" i="5"/>
  <c r="D31" i="5"/>
  <c r="C31" i="5"/>
  <c r="K26" i="5"/>
  <c r="J26" i="5"/>
  <c r="I26" i="5"/>
  <c r="H26" i="5"/>
  <c r="G26" i="5"/>
  <c r="F26" i="5"/>
  <c r="E26" i="5"/>
  <c r="D26" i="5"/>
  <c r="C26" i="5"/>
  <c r="B26" i="5"/>
  <c r="K21" i="5"/>
  <c r="K22" i="5" s="1"/>
  <c r="J21" i="5"/>
  <c r="J22" i="5" s="1"/>
  <c r="I21" i="5"/>
  <c r="I22" i="5" s="1"/>
  <c r="H21" i="5"/>
  <c r="H22" i="5" s="1"/>
  <c r="G21" i="5"/>
  <c r="G22" i="5" s="1"/>
  <c r="F21" i="5"/>
  <c r="F22" i="5" s="1"/>
  <c r="E21" i="5"/>
  <c r="E22" i="5" s="1"/>
  <c r="D21" i="5"/>
  <c r="D22" i="5" s="1"/>
  <c r="C21" i="5"/>
  <c r="C22" i="5" s="1"/>
  <c r="B21" i="5"/>
  <c r="B22" i="5" s="1"/>
  <c r="D19" i="5"/>
  <c r="E24" i="5" l="1"/>
  <c r="I24" i="5"/>
  <c r="P31" i="5"/>
  <c r="C24" i="5"/>
  <c r="K24" i="5"/>
  <c r="K37" i="5" s="1"/>
  <c r="B24" i="5"/>
  <c r="C19" i="5"/>
  <c r="H19" i="5"/>
  <c r="L22" i="5"/>
  <c r="L21" i="5" s="1"/>
  <c r="L24" i="5" s="1"/>
  <c r="D27" i="5"/>
  <c r="F24" i="5"/>
  <c r="G19" i="5"/>
  <c r="B27" i="5"/>
  <c r="J24" i="5"/>
  <c r="D24" i="5"/>
  <c r="H24" i="5"/>
  <c r="F27" i="5"/>
  <c r="P19" i="5"/>
  <c r="H27" i="5"/>
  <c r="G27" i="5"/>
  <c r="B19" i="5"/>
  <c r="I27" i="5"/>
  <c r="J27" i="5"/>
  <c r="E27" i="5"/>
  <c r="O19" i="5"/>
  <c r="C27" i="5"/>
  <c r="K27" i="5"/>
  <c r="F19" i="5"/>
  <c r="L19" i="5"/>
  <c r="G24" i="5"/>
  <c r="E19" i="5"/>
  <c r="N19" i="5"/>
  <c r="K19" i="5"/>
  <c r="J19" i="5"/>
  <c r="I19" i="5"/>
  <c r="M19" i="5"/>
  <c r="M22" i="5" l="1"/>
  <c r="M21" i="5" s="1"/>
  <c r="M24" i="5" s="1"/>
  <c r="F18" i="7"/>
  <c r="M26" i="5"/>
  <c r="P26" i="5"/>
  <c r="P27" i="5" s="1"/>
  <c r="O26" i="5"/>
  <c r="O27" i="5" s="1"/>
  <c r="N26" i="5"/>
  <c r="N27" i="5" s="1"/>
  <c r="L26" i="5"/>
  <c r="F22" i="7" l="1"/>
  <c r="B9" i="5" s="1"/>
  <c r="L38" i="5" s="1"/>
  <c r="E33" i="7"/>
  <c r="M27" i="5"/>
  <c r="L27" i="5"/>
  <c r="F59" i="5" l="1"/>
  <c r="J61" i="5"/>
  <c r="J65" i="5"/>
  <c r="F60" i="5"/>
  <c r="B62" i="5" s="1"/>
  <c r="P44" i="5" s="1"/>
  <c r="B61" i="5"/>
  <c r="P43" i="5" s="1"/>
  <c r="D42" i="4"/>
  <c r="E42" i="4"/>
  <c r="F42" i="4"/>
  <c r="G42" i="4"/>
  <c r="H42" i="4"/>
  <c r="I42" i="4"/>
  <c r="J42" i="4"/>
  <c r="K42" i="4"/>
  <c r="L42" i="4"/>
  <c r="D41" i="4"/>
  <c r="E41" i="4"/>
  <c r="F41" i="4"/>
  <c r="G41" i="4"/>
  <c r="H41" i="4"/>
  <c r="I41" i="4"/>
  <c r="J41" i="4"/>
  <c r="K41" i="4"/>
  <c r="L41" i="4"/>
  <c r="D38" i="4"/>
  <c r="E38" i="4"/>
  <c r="F38" i="4"/>
  <c r="G38" i="4"/>
  <c r="H38" i="4"/>
  <c r="I38" i="4"/>
  <c r="J38" i="4"/>
  <c r="K38" i="4"/>
  <c r="L38" i="4"/>
  <c r="C38" i="4"/>
  <c r="D33" i="4"/>
  <c r="E33" i="4"/>
  <c r="F33" i="4"/>
  <c r="G33" i="4"/>
  <c r="H33" i="4"/>
  <c r="I33" i="4"/>
  <c r="J33" i="4"/>
  <c r="K33" i="4"/>
  <c r="L33" i="4"/>
  <c r="C33" i="4"/>
  <c r="D34" i="4"/>
  <c r="E34" i="4"/>
  <c r="F34" i="4"/>
  <c r="G34" i="4"/>
  <c r="H34" i="4"/>
  <c r="I34" i="4"/>
  <c r="J34" i="4"/>
  <c r="K34" i="4"/>
  <c r="L34" i="4"/>
  <c r="N22" i="5" l="1"/>
  <c r="N21" i="5" s="1"/>
  <c r="N24" i="5" s="1"/>
  <c r="O22" i="5" l="1"/>
  <c r="P22" i="5" l="1"/>
  <c r="P21" i="5" s="1"/>
  <c r="P24" i="5" s="1"/>
  <c r="O21" i="5"/>
  <c r="O24" i="5" s="1"/>
  <c r="L33" i="5"/>
  <c r="L35" i="5" l="1"/>
  <c r="M33" i="5" s="1"/>
  <c r="L34" i="5"/>
  <c r="L37" i="5" s="1"/>
  <c r="M35" i="5" l="1"/>
  <c r="N33" i="5" s="1"/>
  <c r="M34" i="5"/>
  <c r="M37" i="5" s="1"/>
  <c r="M38" i="5" s="1"/>
  <c r="N35" i="5" l="1"/>
  <c r="N34" i="5"/>
  <c r="N37" i="5"/>
  <c r="N38" i="5" s="1"/>
  <c r="O33" i="5" l="1"/>
  <c r="O35" i="5" l="1"/>
  <c r="O34" i="5"/>
  <c r="O37" i="5"/>
  <c r="O38" i="5" s="1"/>
  <c r="P33" i="5" l="1"/>
  <c r="P35" i="5" l="1"/>
  <c r="P34" i="5"/>
  <c r="P37" i="5"/>
  <c r="P38" i="5" l="1"/>
  <c r="J62" i="5" s="1"/>
  <c r="J64" i="5" s="1"/>
  <c r="P46" i="5" l="1"/>
  <c r="P49" i="5" l="1"/>
  <c r="P52" i="5" s="1"/>
  <c r="S44" i="5" s="1"/>
  <c r="F61" i="5"/>
  <c r="F65" i="5" s="1"/>
  <c r="F64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Chon</author>
  </authors>
  <commentList>
    <comment ref="F8" authorId="0" shapeId="0" xr:uid="{41B884DB-55F1-42D9-95DA-BF4F516A2360}">
      <text>
        <r>
          <rPr>
            <sz val="9"/>
            <color indexed="81"/>
            <rFont val="Tahoma"/>
            <family val="2"/>
          </rPr>
          <t>In million as of 04/05/25</t>
        </r>
      </text>
    </comment>
  </commentList>
</comments>
</file>

<file path=xl/sharedStrings.xml><?xml version="1.0" encoding="utf-8"?>
<sst xmlns="http://schemas.openxmlformats.org/spreadsheetml/2006/main" count="774" uniqueCount="345">
  <si>
    <t>Revenue</t>
  </si>
  <si>
    <t>Gross Profit</t>
  </si>
  <si>
    <t>Reference Items</t>
  </si>
  <si>
    <t>Target Corp (TGT US) - BBG GAAP</t>
  </si>
  <si>
    <t>In Millions of USD except Per Share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</si>
  <si>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</si>
  <si>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</si>
  <si>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</si>
  <si>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</si>
  <si>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</si>
  <si>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</si>
  <si>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</si>
  <si>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</si>
  <si>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</si>
  <si>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</si>
  <si>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12 Months Ending</t>
  </si>
  <si>
    <t>01/31/2015</t>
  </si>
  <si>
    <t>01/30/2016</t>
  </si>
  <si>
    <t>01/28/2017</t>
  </si>
  <si>
    <t>02/03/2018</t>
  </si>
  <si>
    <t>02/02/2019</t>
  </si>
  <si>
    <t>02/01/2020</t>
  </si>
  <si>
    <t>01/30/2021</t>
  </si>
  <si>
    <t>01/29/2022</t>
  </si>
  <si>
    <t>01/28/2023</t>
  </si>
  <si>
    <t>02/03/2024</t>
  </si>
  <si>
    <t xml:space="preserve">    + Sales &amp; Services Revenue</t>
  </si>
  <si>
    <t xml:space="preserve">    + Other Revenue</t>
  </si>
  <si>
    <t xml:space="preserve">  - Cost of Revenue</t>
  </si>
  <si>
    <t xml:space="preserve">    + Cost of Goods &amp; Services</t>
  </si>
  <si>
    <t xml:space="preserve">  + Other Operating Income</t>
  </si>
  <si>
    <t xml:space="preserve">  - Operating Expenses</t>
  </si>
  <si>
    <t xml:space="preserve">    + Selling, General &amp; Admin</t>
  </si>
  <si>
    <t xml:space="preserve">    + Research &amp; Development</t>
  </si>
  <si>
    <t xml:space="preserve">    + Depreciation &amp; Amortization</t>
  </si>
  <si>
    <t xml:space="preserve">    + Other Operating Expense</t>
  </si>
  <si>
    <t>Operating Income (Loss)</t>
  </si>
  <si>
    <t xml:space="preserve">  - Non-Operating (Income) Loss</t>
  </si>
  <si>
    <t xml:space="preserve">    + Interest Expense, Net</t>
  </si>
  <si>
    <t xml:space="preserve">    + Interest Expense</t>
  </si>
  <si>
    <t xml:space="preserve">    - Interest Income</t>
  </si>
  <si>
    <t xml:space="preserve">    + Foreign Exch (Gain) Loss</t>
  </si>
  <si>
    <t xml:space="preserve">    + (Income) Loss from Affiliates</t>
  </si>
  <si>
    <t xml:space="preserve">    + Other Non-Op (Income) Loss</t>
  </si>
  <si>
    <t>Pretax Income</t>
  </si>
  <si>
    <t xml:space="preserve">  - Income Tax Expense (Benefit)</t>
  </si>
  <si>
    <t xml:space="preserve">    + Current Income Tax</t>
  </si>
  <si>
    <t xml:space="preserve">    + Deferred Income Tax</t>
  </si>
  <si>
    <t xml:space="preserve">    + Tax Allowance/Credit</t>
  </si>
  <si>
    <t>Income (Loss) from Cont Ops</t>
  </si>
  <si>
    <t xml:space="preserve">  - Net Extraordinary Losses (Gains)</t>
  </si>
  <si>
    <t xml:space="preserve">    + Discontinued Operations</t>
  </si>
  <si>
    <t xml:space="preserve">    + XO &amp; Accounting Changes</t>
  </si>
  <si>
    <t>Income (Loss) Incl. MI</t>
  </si>
  <si>
    <t xml:space="preserve">  - Minority Interest</t>
  </si>
  <si>
    <t>Net Income, GAAP</t>
  </si>
  <si>
    <t xml:space="preserve">  - Preferred Dividends</t>
  </si>
  <si>
    <t xml:space="preserve">  - Other Adjustments</t>
  </si>
  <si>
    <t>Net Income Avail to Common, GAAP</t>
  </si>
  <si>
    <t>Net Income Avail to Common, Adj</t>
  </si>
  <si>
    <t xml:space="preserve">  Net Abnormal Losses (Gains)</t>
  </si>
  <si>
    <t xml:space="preserve">  Net Extraordinary Losses (Gains)</t>
  </si>
  <si>
    <t>Basic Weighted Avg Shares</t>
  </si>
  <si>
    <t>Basic EPS, GAAP</t>
  </si>
  <si>
    <t>Basic EPS from Cont Ops, GAAP</t>
  </si>
  <si>
    <t>Basic EPS from Cont Ops, Adjusted</t>
  </si>
  <si>
    <t>Diluted Weighted Avg Shares</t>
  </si>
  <si>
    <t>Diluted EPS, GAAP</t>
  </si>
  <si>
    <t>Diluted EPS from Cont Ops, GAAP</t>
  </si>
  <si>
    <t>Diluted EPS from Cont Ops, Adjusted</t>
  </si>
  <si>
    <t>Accounting Standard</t>
  </si>
  <si>
    <t>US GAAP</t>
  </si>
  <si>
    <t>EBITDA</t>
  </si>
  <si>
    <t>EBITDA Margin (T12M)</t>
  </si>
  <si>
    <t>EBITA</t>
  </si>
  <si>
    <t>EBIT</t>
  </si>
  <si>
    <t>Gross Margin</t>
  </si>
  <si>
    <t>Operating Margin</t>
  </si>
  <si>
    <t>Profit Margin</t>
  </si>
  <si>
    <t>Sales per Employee</t>
  </si>
  <si>
    <t>Dividends per Share</t>
  </si>
  <si>
    <t>Total Cash Common Dividends</t>
  </si>
  <si>
    <t>Capitalized Interest Expense</t>
  </si>
  <si>
    <t>Depreciation Expense</t>
  </si>
  <si>
    <t>Rental Expense</t>
  </si>
  <si>
    <t>—</t>
  </si>
  <si>
    <t>FY 2025 Est</t>
  </si>
  <si>
    <t>FY 2026 Est</t>
  </si>
  <si>
    <t>FY 2027 Est</t>
  </si>
  <si>
    <t>FY 2028 Est</t>
  </si>
  <si>
    <t>FY 2029 Est</t>
  </si>
  <si>
    <t>01/31/2025</t>
  </si>
  <si>
    <t>01/31/2026</t>
  </si>
  <si>
    <t>01/31/2027</t>
  </si>
  <si>
    <t>01/31/2028</t>
  </si>
  <si>
    <t>01/31/2029</t>
  </si>
  <si>
    <t>Target Corp (TGT US) - GAAP %</t>
  </si>
  <si>
    <t>SUSTAIN_GROWTH_RT</t>
  </si>
  <si>
    <t>Sustainable Growth Rate</t>
  </si>
  <si>
    <t>DVD_PAYOUT_RATIO</t>
  </si>
  <si>
    <t>Dvd Payout Ratio</t>
  </si>
  <si>
    <t>EFF_TAX_RATE</t>
  </si>
  <si>
    <t>Effective Tax Rate</t>
  </si>
  <si>
    <t>Additional</t>
  </si>
  <si>
    <t>NET_INCOME_TO_COMMON_MARGIN</t>
  </si>
  <si>
    <t>Net Income to Common Margin</t>
  </si>
  <si>
    <t>PROF_MARGIN</t>
  </si>
  <si>
    <t>Net Income Margin</t>
  </si>
  <si>
    <t>INC_BEF_XO_ITEMS_TO_NET_SALES</t>
  </si>
  <si>
    <t>Income before XO Margin</t>
  </si>
  <si>
    <t>PRETAX_INC_TO_NET_SALES</t>
  </si>
  <si>
    <t>Pretax Margin</t>
  </si>
  <si>
    <t>INCREMENTAL_OPERATING_MARGIN</t>
  </si>
  <si>
    <t>Incremental Operating Margin</t>
  </si>
  <si>
    <t>OPER_MARGIN</t>
  </si>
  <si>
    <t>EBITDA_TO_REVENUE</t>
  </si>
  <si>
    <t>EBITDA Margin</t>
  </si>
  <si>
    <t>GROSS_MARGIN</t>
  </si>
  <si>
    <t>Margins</t>
  </si>
  <si>
    <t>RETURN_ON_INV_CAPITAL</t>
  </si>
  <si>
    <t>Dividend Yield</t>
  </si>
  <si>
    <t>RETURN_ON_CAP</t>
  </si>
  <si>
    <t>Price-to-book Ratio</t>
  </si>
  <si>
    <t>RETURN_ON_ASSET</t>
  </si>
  <si>
    <t>Price-to-earnings Ratio</t>
  </si>
  <si>
    <t>RETURN_COM_EQY</t>
  </si>
  <si>
    <t>Profitability Ratios</t>
  </si>
  <si>
    <t>Return on Invested Capital</t>
  </si>
  <si>
    <t>Return on Capital</t>
  </si>
  <si>
    <t>Return on Assets</t>
  </si>
  <si>
    <t>Return on Common Equity</t>
  </si>
  <si>
    <t>Returns</t>
  </si>
  <si>
    <t>Target Corp (TGT US) - Profitability</t>
  </si>
  <si>
    <t>Return On Sales</t>
  </si>
  <si>
    <t>Asset Turnover</t>
  </si>
  <si>
    <t>Inventory Turnover</t>
  </si>
  <si>
    <t>Debt to Equity Ratio</t>
  </si>
  <si>
    <t>Interest Coverage Ratio</t>
  </si>
  <si>
    <t>Current Ratio</t>
  </si>
  <si>
    <t>Quick Ratio</t>
  </si>
  <si>
    <t>Revenue Growth Rate</t>
  </si>
  <si>
    <t>Earnings Growth Rate</t>
  </si>
  <si>
    <t>FCF</t>
  </si>
  <si>
    <t>DIV Growth</t>
  </si>
  <si>
    <t>Net Profit Margin</t>
  </si>
  <si>
    <t>% growth</t>
  </si>
  <si>
    <t>% of sales</t>
  </si>
  <si>
    <t>Taxes</t>
  </si>
  <si>
    <t>% tax rate</t>
  </si>
  <si>
    <t>EBIAT</t>
  </si>
  <si>
    <t>D&amp;A</t>
  </si>
  <si>
    <t>CapEx</t>
  </si>
  <si>
    <t>Change in NWC</t>
  </si>
  <si>
    <t>Unlevered FCF</t>
  </si>
  <si>
    <t>PV of UFCF</t>
  </si>
  <si>
    <t>Stub</t>
  </si>
  <si>
    <t>Discount Period</t>
  </si>
  <si>
    <t>Terminal Value</t>
  </si>
  <si>
    <t>PV of Terminal Value</t>
  </si>
  <si>
    <t>Enterprise Value</t>
  </si>
  <si>
    <t>Target Corp (TGT US) - DCF</t>
  </si>
  <si>
    <t>FY 2025</t>
  </si>
  <si>
    <t>02/01/2025</t>
  </si>
  <si>
    <t>Total Assets</t>
  </si>
  <si>
    <t xml:space="preserve">  + Cash, Cash Equivalents &amp; STI</t>
  </si>
  <si>
    <t xml:space="preserve">    + Cash &amp; Cash Equivalents</t>
  </si>
  <si>
    <t xml:space="preserve">    + ST Investments</t>
  </si>
  <si>
    <t xml:space="preserve">  + Accounts &amp; Notes Receiv</t>
  </si>
  <si>
    <t xml:space="preserve">    + Accounts Receivable, Net</t>
  </si>
  <si>
    <t xml:space="preserve">    + Notes Receivable, Net</t>
  </si>
  <si>
    <t xml:space="preserve">  + Inventories</t>
  </si>
  <si>
    <t xml:space="preserve">  + Other ST Assets</t>
  </si>
  <si>
    <t xml:space="preserve">    + Prepaid Expenses</t>
  </si>
  <si>
    <t xml:space="preserve">    + Derivative &amp; Hedging Assets</t>
  </si>
  <si>
    <t xml:space="preserve">    + Misc ST Assets</t>
  </si>
  <si>
    <t>Total Current Assets</t>
  </si>
  <si>
    <t xml:space="preserve">  + Property, Plant &amp; Equip, Net</t>
  </si>
  <si>
    <t xml:space="preserve">    + Property, Plant &amp; Equip</t>
  </si>
  <si>
    <t xml:space="preserve">    - Accumulated Depreciation</t>
  </si>
  <si>
    <t xml:space="preserve">  + LT Investments &amp; Receivables</t>
  </si>
  <si>
    <t xml:space="preserve">  + Other LT Assets</t>
  </si>
  <si>
    <t xml:space="preserve">    + Total Intangible Assets</t>
  </si>
  <si>
    <t xml:space="preserve">    + Goodwill</t>
  </si>
  <si>
    <t xml:space="preserve">    + Other Intangible Assets</t>
  </si>
  <si>
    <t xml:space="preserve">    + Prepaid Pension Costs</t>
  </si>
  <si>
    <t xml:space="preserve">    + Misc LT Assets</t>
  </si>
  <si>
    <t>Total Noncurrent Assets</t>
  </si>
  <si>
    <t>Liabilities &amp; Shareholders' Equity</t>
  </si>
  <si>
    <t xml:space="preserve">  + Payables &amp; Accruals</t>
  </si>
  <si>
    <t xml:space="preserve">    + Accounts Payable</t>
  </si>
  <si>
    <t xml:space="preserve">    + Accrued Taxes</t>
  </si>
  <si>
    <t xml:space="preserve">    + Interest &amp; Dividends Payable</t>
  </si>
  <si>
    <t xml:space="preserve">    + Other Payables &amp; Accruals</t>
  </si>
  <si>
    <t xml:space="preserve">  + ST Debt</t>
  </si>
  <si>
    <t xml:space="preserve">    + ST Borrowings</t>
  </si>
  <si>
    <t xml:space="preserve">    + ST Lease Liabilities</t>
  </si>
  <si>
    <t xml:space="preserve">      + ST Finance Leases</t>
  </si>
  <si>
    <t xml:space="preserve">      + ST Operating Leases</t>
  </si>
  <si>
    <t xml:space="preserve">    + Current Portion of LT Debt</t>
  </si>
  <si>
    <t xml:space="preserve">  + Other ST Liabilities</t>
  </si>
  <si>
    <t xml:space="preserve">    + Deferred Revenue</t>
  </si>
  <si>
    <t xml:space="preserve">    + Derivatives &amp; Hedging</t>
  </si>
  <si>
    <t xml:space="preserve">    + Misc ST Liabilities</t>
  </si>
  <si>
    <t>Total Current Liabilities</t>
  </si>
  <si>
    <t xml:space="preserve">  + LT Debt</t>
  </si>
  <si>
    <t xml:space="preserve">    + LT Borrowings</t>
  </si>
  <si>
    <t xml:space="preserve">    + LT Lease Liabilities</t>
  </si>
  <si>
    <t xml:space="preserve">      + LT Finance Leases</t>
  </si>
  <si>
    <t xml:space="preserve">      + LT Operating Leases</t>
  </si>
  <si>
    <t xml:space="preserve">  + Other LT Liabilities</t>
  </si>
  <si>
    <t xml:space="preserve">    + Accrued Liabilities</t>
  </si>
  <si>
    <t xml:space="preserve">    + Pension Liabilities</t>
  </si>
  <si>
    <t xml:space="preserve">    + Deferred Tax Liabilities</t>
  </si>
  <si>
    <t xml:space="preserve">    + Misc LT Liabilities</t>
  </si>
  <si>
    <t>Total Noncurrent Liabilities</t>
  </si>
  <si>
    <t>Total Liabilities</t>
  </si>
  <si>
    <t xml:space="preserve">  + Preferred Equity and Hybrid Capital</t>
  </si>
  <si>
    <t xml:space="preserve">  + Share Capital &amp; APIC</t>
  </si>
  <si>
    <t xml:space="preserve">    + Common Stock</t>
  </si>
  <si>
    <t xml:space="preserve">    + Additional Paid in Capital</t>
  </si>
  <si>
    <t xml:space="preserve">  - Treasury Stock</t>
  </si>
  <si>
    <t xml:space="preserve">  + Retained Earnings</t>
  </si>
  <si>
    <t xml:space="preserve">  + Other Equity</t>
  </si>
  <si>
    <t>Equity Before Minority Interest</t>
  </si>
  <si>
    <t xml:space="preserve">  + Minority/Non Controlling Interest</t>
  </si>
  <si>
    <t>Total Equity</t>
  </si>
  <si>
    <t>Total Liabilities &amp; Equity</t>
  </si>
  <si>
    <t>Shares Outstanding</t>
  </si>
  <si>
    <t>Number of Treasury Shares</t>
  </si>
  <si>
    <t>Pension Obligations</t>
  </si>
  <si>
    <t>Future Minimum Operating Lease Obligations</t>
  </si>
  <si>
    <t>Capital Leases - Total</t>
  </si>
  <si>
    <t>Options Granted During Period</t>
  </si>
  <si>
    <t>Options Outstanding at Period End</t>
  </si>
  <si>
    <t>Net Debt</t>
  </si>
  <si>
    <t>Net Debt to Equity</t>
  </si>
  <si>
    <t>Tangible Common Equity Ratio</t>
  </si>
  <si>
    <t>Cash Conversion Cycle</t>
  </si>
  <si>
    <t>Number of Employees</t>
  </si>
  <si>
    <t>Target Corp (TGT US) - Balance Sheet</t>
  </si>
  <si>
    <t>PP&amp;E</t>
  </si>
  <si>
    <t>(+) Cash</t>
  </si>
  <si>
    <t>(-) Debt</t>
  </si>
  <si>
    <t>Equity Value</t>
  </si>
  <si>
    <t>FDSO</t>
  </si>
  <si>
    <t>x</t>
  </si>
  <si>
    <t>Implied Share Price</t>
  </si>
  <si>
    <t>Sensitivity Table</t>
  </si>
  <si>
    <t>WACC</t>
  </si>
  <si>
    <t>TGR</t>
  </si>
  <si>
    <t>Target Corp (TGT US) - WACC</t>
  </si>
  <si>
    <t>WACC = % of equity x cost of equity + % of debt x cost of debt x (1 - Tax Rate)</t>
  </si>
  <si>
    <t>Cost of equity = Risk free rate + Beta x Market Risk Premium</t>
  </si>
  <si>
    <t>Market Cap</t>
  </si>
  <si>
    <t>% of Equity</t>
  </si>
  <si>
    <t>Cost of Equity</t>
  </si>
  <si>
    <t>Risk Free Rate</t>
  </si>
  <si>
    <t>Beta</t>
  </si>
  <si>
    <t>Market Risk Premium</t>
  </si>
  <si>
    <t>Debt</t>
  </si>
  <si>
    <t>% of Debt</t>
  </si>
  <si>
    <t>Cost of Debt</t>
  </si>
  <si>
    <t>Tax Rate</t>
  </si>
  <si>
    <t>Total</t>
  </si>
  <si>
    <t>Levered Beta</t>
  </si>
  <si>
    <t>Tax rate</t>
  </si>
  <si>
    <t>Unlevered Beta</t>
  </si>
  <si>
    <t>Industry Average Unlevered Beta</t>
  </si>
  <si>
    <t>Date</t>
  </si>
  <si>
    <t>Currency</t>
  </si>
  <si>
    <t>1-Month</t>
  </si>
  <si>
    <t>6-Month</t>
  </si>
  <si>
    <t>Market</t>
  </si>
  <si>
    <t>Enterprise</t>
  </si>
  <si>
    <t>Current</t>
  </si>
  <si>
    <t>52-Wk</t>
  </si>
  <si>
    <t>%-52-Wk</t>
  </si>
  <si>
    <t>Price</t>
  </si>
  <si>
    <t>EBIT Margin</t>
  </si>
  <si>
    <t>EV / EBITDA</t>
  </si>
  <si>
    <t>P / E</t>
  </si>
  <si>
    <t>Ticker</t>
  </si>
  <si>
    <t>Company Name</t>
  </si>
  <si>
    <t>Cap</t>
  </si>
  <si>
    <t>Value</t>
  </si>
  <si>
    <t>Low</t>
  </si>
  <si>
    <t>High</t>
  </si>
  <si>
    <t>Change</t>
  </si>
  <si>
    <t>'23-'24</t>
  </si>
  <si>
    <t>'24-'25</t>
  </si>
  <si>
    <t>'24</t>
  </si>
  <si>
    <t>'25</t>
  </si>
  <si>
    <t>AMZN</t>
  </si>
  <si>
    <t>WMT</t>
  </si>
  <si>
    <t>Walmart Inc.</t>
  </si>
  <si>
    <t>Mean</t>
  </si>
  <si>
    <t>Median</t>
  </si>
  <si>
    <t>TGT</t>
  </si>
  <si>
    <t>COST</t>
  </si>
  <si>
    <t>DLTR</t>
  </si>
  <si>
    <t>Dollar Tree, Inc.</t>
  </si>
  <si>
    <t>Costco Wholesale Corporation</t>
  </si>
  <si>
    <t>Target Corporation</t>
  </si>
  <si>
    <t>Target Corp (TGT US) - Comps</t>
  </si>
  <si>
    <t>Fully Diluted Shares</t>
  </si>
  <si>
    <t>Current Stock Price</t>
  </si>
  <si>
    <t>Basic shares outstanding (latest filing)</t>
  </si>
  <si>
    <t>In-the-money exercisable options</t>
  </si>
  <si>
    <t>Total proceeds ($mm)</t>
  </si>
  <si>
    <t>Total shares repurchased (mm)</t>
  </si>
  <si>
    <t>Net dilutive options</t>
  </si>
  <si>
    <t xml:space="preserve">Dilutive impact of shares from other securities </t>
  </si>
  <si>
    <t>Net diluted shares outstanding</t>
  </si>
  <si>
    <t>Options outstanding</t>
  </si>
  <si>
    <t>Outstanding</t>
  </si>
  <si>
    <t>Exercise price</t>
  </si>
  <si>
    <t>Dilutive Shares</t>
  </si>
  <si>
    <t>Convertible Bonds</t>
  </si>
  <si>
    <t xml:space="preserve">Principal Outstanding </t>
  </si>
  <si>
    <t>Conversion Ratio</t>
  </si>
  <si>
    <t>Conversion Price</t>
  </si>
  <si>
    <t>Convertible Common Shares</t>
  </si>
  <si>
    <t>Dilutive impact of convertible securities</t>
  </si>
  <si>
    <t>Elimination of liability from net debt</t>
  </si>
  <si>
    <t>Diluted Share Count Calculation</t>
  </si>
  <si>
    <t>Net Margin</t>
  </si>
  <si>
    <t>Levered beta / (1 + (1 - tax rate) * (Debt / Equity)</t>
  </si>
  <si>
    <t>Unlevered Beta * (1 + (1-tax rate) * (Debt / Equity))</t>
  </si>
  <si>
    <t>End of Year</t>
  </si>
  <si>
    <t>Assumptions</t>
  </si>
  <si>
    <t>NWC</t>
  </si>
  <si>
    <t>Perpetuity Growth</t>
  </si>
  <si>
    <t>Exit Multiple</t>
  </si>
  <si>
    <t>% Perpetuity</t>
  </si>
  <si>
    <t>Terminal Growth Rate</t>
  </si>
  <si>
    <t>Terminal Year EBITDA</t>
  </si>
  <si>
    <t>% Exit Multiple</t>
  </si>
  <si>
    <t>EBITDA multiple</t>
  </si>
  <si>
    <t>Total Terminal Value</t>
  </si>
  <si>
    <t>Total Enterprise Value (TEV)</t>
  </si>
  <si>
    <t>Terminal Value as % of TEV</t>
  </si>
  <si>
    <t>Implied TV Exit EBITDA Multiple</t>
  </si>
  <si>
    <t>Implied terminal growth rate</t>
  </si>
  <si>
    <t>Target (TGT) Levered Beta</t>
  </si>
  <si>
    <t>USD (in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</si>
</sst>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"/>
    <numFmt numFmtId="165" formatCode="0.0%"/>
    <numFmt numFmtId="166" formatCode="#,##0.000_);\(#,##0.000\)"/>
    <numFmt numFmtId="167" formatCode="0.00000%"/>
    <numFmt numFmtId="168" formatCode="0%;\(0%\)"/>
    <numFmt numFmtId="169" formatCode="0.0\x"/>
    <numFmt numFmtId="170" formatCode="#,##0.0_);\(#,##0.0\)"/>
    <numFmt numFmtId="171" formatCode="#,##0.0_);\(#,##0.0\);@_)"/>
    <numFmt numFmtId="172" formatCode="&quot;Tranche&quot;\ 0"/>
    <numFmt numFmtId="173" formatCode="0.0\x_)"/>
  </numFmts>
  <fonts count="5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6"/>
      <color rgb="FFFFFFFF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i/>
      <sz val="11"/>
      <color theme="1"/>
      <name val="Calibri"/>
      <family val="2"/>
      <scheme val="minor"/>
    </font>
    <font>
      <sz val="10"/>
      <color rgb="FF388600"/>
      <name val="Arial"/>
      <family val="2"/>
    </font>
    <font>
      <sz val="10"/>
      <name val="Arial"/>
      <family val="2"/>
    </font>
    <font>
      <sz val="11"/>
      <color theme="0" tint="-4.9989318521683403E-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38860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0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8" applyNumberFormat="0" applyAlignment="0" applyProtection="0"/>
    <xf numFmtId="0" fontId="24" fillId="7" borderId="11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8" fillId="34" borderId="4"/>
    <xf numFmtId="0" fontId="10" fillId="34" borderId="4"/>
    <xf numFmtId="0" fontId="9" fillId="34" borderId="4"/>
    <xf numFmtId="0" fontId="17" fillId="2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8" applyNumberFormat="0" applyAlignment="0" applyProtection="0"/>
    <xf numFmtId="0" fontId="23" fillId="0" borderId="10" applyNumberFormat="0" applyFill="0" applyAlignment="0" applyProtection="0"/>
    <xf numFmtId="0" fontId="19" fillId="4" borderId="0" applyNumberFormat="0" applyBorder="0" applyAlignment="0" applyProtection="0"/>
    <xf numFmtId="0" fontId="12" fillId="8" borderId="12" applyNumberFormat="0" applyFont="0" applyAlignment="0" applyProtection="0"/>
    <xf numFmtId="0" fontId="21" fillId="6" borderId="9" applyNumberFormat="0" applyAlignment="0" applyProtection="0"/>
    <xf numFmtId="0" fontId="13" fillId="0" borderId="0" applyNumberFormat="0" applyFill="0" applyBorder="0" applyAlignment="0" applyProtection="0"/>
    <xf numFmtId="0" fontId="27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4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64" fontId="8" fillId="34" borderId="2">
      <alignment horizontal="right"/>
    </xf>
    <xf numFmtId="4" fontId="8" fillId="34" borderId="2">
      <alignment horizontal="right"/>
    </xf>
    <xf numFmtId="164" fontId="11" fillId="34" borderId="2">
      <alignment horizontal="right"/>
    </xf>
    <xf numFmtId="165" fontId="11" fillId="34" borderId="2">
      <alignment horizontal="right"/>
    </xf>
    <xf numFmtId="165" fontId="8" fillId="34" borderId="2">
      <alignment horizontal="right"/>
    </xf>
    <xf numFmtId="165" fontId="1" fillId="34" borderId="2">
      <alignment horizontal="right"/>
    </xf>
    <xf numFmtId="9" fontId="12" fillId="0" borderId="0" applyFont="0" applyFill="0" applyBorder="0" applyAlignment="0" applyProtection="0"/>
    <xf numFmtId="0" fontId="3" fillId="34" borderId="17"/>
    <xf numFmtId="0" fontId="8" fillId="34" borderId="17"/>
    <xf numFmtId="0" fontId="7" fillId="33" borderId="16">
      <alignment horizontal="right"/>
    </xf>
    <xf numFmtId="0" fontId="7" fillId="33" borderId="16">
      <alignment horizontal="left"/>
    </xf>
    <xf numFmtId="0" fontId="7" fillId="33" borderId="15">
      <alignment horizontal="right"/>
    </xf>
    <xf numFmtId="0" fontId="7" fillId="33" borderId="15">
      <alignment horizontal="left"/>
    </xf>
    <xf numFmtId="0" fontId="4" fillId="34" borderId="17"/>
  </cellStyleXfs>
  <cellXfs count="241">
    <xf numFmtId="0" fontId="0" fillId="0" borderId="0" xfId="0"/>
    <xf numFmtId="165" fontId="31" fillId="36" borderId="16" xfId="61" applyFont="1" applyFill="1" applyBorder="1">
      <alignment horizontal="right"/>
    </xf>
    <xf numFmtId="165" fontId="32" fillId="36" borderId="2" xfId="59" applyFont="1" applyFill="1">
      <alignment horizontal="right"/>
    </xf>
    <xf numFmtId="0" fontId="37" fillId="36" borderId="17" xfId="35" applyFont="1" applyFill="1" applyBorder="1"/>
    <xf numFmtId="165" fontId="30" fillId="36" borderId="2" xfId="60" applyFont="1" applyFill="1">
      <alignment horizontal="right"/>
    </xf>
    <xf numFmtId="165" fontId="31" fillId="36" borderId="2" xfId="61" applyFont="1" applyFill="1">
      <alignment horizontal="right"/>
    </xf>
    <xf numFmtId="0" fontId="36" fillId="36" borderId="17" xfId="36" applyFont="1" applyFill="1" applyBorder="1"/>
    <xf numFmtId="0" fontId="30" fillId="36" borderId="17" xfId="34" applyFont="1" applyFill="1" applyBorder="1"/>
    <xf numFmtId="0" fontId="29" fillId="35" borderId="16" xfId="51" applyFont="1" applyFill="1" applyBorder="1">
      <alignment horizontal="left"/>
    </xf>
    <xf numFmtId="0" fontId="29" fillId="35" borderId="15" xfId="33" applyFont="1" applyFill="1" applyBorder="1">
      <alignment horizontal="left"/>
    </xf>
    <xf numFmtId="0" fontId="6" fillId="36" borderId="0" xfId="31" applyFill="1" applyBorder="1">
      <alignment horizontal="center"/>
    </xf>
    <xf numFmtId="0" fontId="35" fillId="35" borderId="14" xfId="50" applyFont="1" applyFill="1">
      <alignment horizontal="left" vertical="center" readingOrder="1"/>
    </xf>
    <xf numFmtId="0" fontId="34" fillId="0" borderId="0" xfId="0" applyFont="1"/>
    <xf numFmtId="0" fontId="33" fillId="35" borderId="0" xfId="26" applyFont="1" applyFill="1"/>
    <xf numFmtId="4" fontId="31" fillId="36" borderId="2" xfId="54" applyFont="1" applyFill="1">
      <alignment horizontal="right"/>
    </xf>
    <xf numFmtId="3" fontId="31" fillId="36" borderId="2" xfId="52" applyFont="1" applyFill="1">
      <alignment horizontal="right"/>
    </xf>
    <xf numFmtId="4" fontId="30" fillId="36" borderId="2" xfId="57" applyFont="1" applyFill="1">
      <alignment horizontal="right"/>
    </xf>
    <xf numFmtId="3" fontId="30" fillId="36" borderId="2" xfId="55" applyFont="1" applyFill="1">
      <alignment horizontal="right"/>
    </xf>
    <xf numFmtId="164" fontId="32" fillId="36" borderId="2" xfId="58" applyFont="1" applyFill="1">
      <alignment horizontal="right"/>
    </xf>
    <xf numFmtId="164" fontId="31" fillId="36" borderId="2" xfId="53" applyFont="1" applyFill="1">
      <alignment horizontal="right"/>
    </xf>
    <xf numFmtId="164" fontId="30" fillId="36" borderId="2" xfId="56" applyFont="1" applyFill="1">
      <alignment horizontal="right"/>
    </xf>
    <xf numFmtId="0" fontId="29" fillId="35" borderId="16" xfId="30" applyFont="1" applyFill="1" applyBorder="1">
      <alignment horizontal="right"/>
    </xf>
    <xf numFmtId="0" fontId="29" fillId="35" borderId="15" xfId="32" applyFont="1" applyFill="1" applyBorder="1">
      <alignment horizontal="right"/>
    </xf>
    <xf numFmtId="0" fontId="2" fillId="33" borderId="0" xfId="26"/>
    <xf numFmtId="0" fontId="6" fillId="34" borderId="0" xfId="31">
      <alignment horizontal="center"/>
    </xf>
    <xf numFmtId="0" fontId="7" fillId="33" borderId="3" xfId="33">
      <alignment horizontal="left"/>
    </xf>
    <xf numFmtId="0" fontId="7" fillId="33" borderId="3" xfId="32">
      <alignment horizontal="right"/>
    </xf>
    <xf numFmtId="0" fontId="7" fillId="33" borderId="1" xfId="30">
      <alignment horizontal="right"/>
    </xf>
    <xf numFmtId="0" fontId="8" fillId="34" borderId="4" xfId="34"/>
    <xf numFmtId="0" fontId="5" fillId="33" borderId="14" xfId="50">
      <alignment horizontal="left" vertical="center" readingOrder="1"/>
    </xf>
    <xf numFmtId="0" fontId="7" fillId="33" borderId="1" xfId="51">
      <alignment horizontal="left"/>
    </xf>
    <xf numFmtId="0" fontId="3" fillId="34" borderId="4" xfId="36" applyFont="1"/>
    <xf numFmtId="0" fontId="4" fillId="34" borderId="4" xfId="35" applyFont="1"/>
    <xf numFmtId="3" fontId="1" fillId="34" borderId="2" xfId="52">
      <alignment horizontal="right"/>
    </xf>
    <xf numFmtId="164" fontId="1" fillId="34" borderId="2" xfId="53">
      <alignment horizontal="right"/>
    </xf>
    <xf numFmtId="4" fontId="1" fillId="34" borderId="2" xfId="54">
      <alignment horizontal="right"/>
    </xf>
    <xf numFmtId="3" fontId="8" fillId="34" borderId="2" xfId="55">
      <alignment horizontal="right"/>
    </xf>
    <xf numFmtId="164" fontId="8" fillId="34" borderId="2" xfId="56">
      <alignment horizontal="right"/>
    </xf>
    <xf numFmtId="4" fontId="8" fillId="34" borderId="2" xfId="57">
      <alignment horizontal="right"/>
    </xf>
    <xf numFmtId="164" fontId="11" fillId="34" borderId="2" xfId="58">
      <alignment horizontal="right"/>
    </xf>
    <xf numFmtId="0" fontId="3" fillId="34" borderId="18" xfId="63" applyBorder="1"/>
    <xf numFmtId="0" fontId="3" fillId="34" borderId="17" xfId="63"/>
    <xf numFmtId="0" fontId="8" fillId="34" borderId="17" xfId="64"/>
    <xf numFmtId="0" fontId="7" fillId="33" borderId="16" xfId="65">
      <alignment horizontal="right"/>
    </xf>
    <xf numFmtId="0" fontId="7" fillId="33" borderId="16" xfId="66">
      <alignment horizontal="left"/>
    </xf>
    <xf numFmtId="0" fontId="7" fillId="33" borderId="15" xfId="67">
      <alignment horizontal="right"/>
    </xf>
    <xf numFmtId="0" fontId="7" fillId="33" borderId="15" xfId="68">
      <alignment horizontal="left"/>
    </xf>
    <xf numFmtId="3" fontId="8" fillId="34" borderId="19" xfId="55" applyBorder="1">
      <alignment horizontal="right"/>
    </xf>
    <xf numFmtId="4" fontId="1" fillId="34" borderId="19" xfId="54" applyBorder="1">
      <alignment horizontal="right"/>
    </xf>
    <xf numFmtId="3" fontId="1" fillId="34" borderId="19" xfId="52" applyBorder="1">
      <alignment horizontal="right"/>
    </xf>
    <xf numFmtId="4" fontId="8" fillId="34" borderId="19" xfId="55" applyNumberFormat="1" applyBorder="1">
      <alignment horizontal="right"/>
    </xf>
    <xf numFmtId="9" fontId="8" fillId="34" borderId="19" xfId="62" applyFont="1" applyFill="1" applyBorder="1" applyAlignment="1">
      <alignment horizontal="right"/>
    </xf>
    <xf numFmtId="0" fontId="3" fillId="37" borderId="17" xfId="63" applyFill="1"/>
    <xf numFmtId="10" fontId="1" fillId="34" borderId="19" xfId="62" applyNumberFormat="1" applyFont="1" applyFill="1" applyBorder="1" applyAlignment="1">
      <alignment horizontal="right"/>
    </xf>
    <xf numFmtId="0" fontId="0" fillId="38" borderId="0" xfId="0" applyFill="1"/>
    <xf numFmtId="0" fontId="38" fillId="0" borderId="0" xfId="0" applyFont="1"/>
    <xf numFmtId="0" fontId="38" fillId="38" borderId="0" xfId="0" applyFont="1" applyFill="1"/>
    <xf numFmtId="164" fontId="39" fillId="38" borderId="0" xfId="56" applyFont="1" applyFill="1" applyBorder="1">
      <alignment horizontal="right"/>
    </xf>
    <xf numFmtId="164" fontId="0" fillId="38" borderId="0" xfId="0" applyNumberFormat="1" applyFill="1"/>
    <xf numFmtId="164" fontId="27" fillId="38" borderId="14" xfId="0" applyNumberFormat="1" applyFont="1" applyFill="1" applyBorder="1"/>
    <xf numFmtId="0" fontId="27" fillId="38" borderId="20" xfId="0" applyFont="1" applyFill="1" applyBorder="1"/>
    <xf numFmtId="0" fontId="27" fillId="0" borderId="0" xfId="0" applyFont="1"/>
    <xf numFmtId="0" fontId="27" fillId="38" borderId="22" xfId="0" applyFont="1" applyFill="1" applyBorder="1"/>
    <xf numFmtId="0" fontId="27" fillId="38" borderId="18" xfId="0" applyFont="1" applyFill="1" applyBorder="1"/>
    <xf numFmtId="0" fontId="27" fillId="38" borderId="0" xfId="0" applyFont="1" applyFill="1"/>
    <xf numFmtId="0" fontId="0" fillId="38" borderId="25" xfId="0" applyFill="1" applyBorder="1"/>
    <xf numFmtId="164" fontId="27" fillId="38" borderId="21" xfId="0" applyNumberFormat="1" applyFont="1" applyFill="1" applyBorder="1"/>
    <xf numFmtId="164" fontId="0" fillId="0" borderId="0" xfId="0" applyNumberFormat="1"/>
    <xf numFmtId="10" fontId="0" fillId="40" borderId="25" xfId="62" applyNumberFormat="1" applyFont="1" applyFill="1" applyBorder="1"/>
    <xf numFmtId="164" fontId="40" fillId="38" borderId="0" xfId="56" applyFont="1" applyFill="1" applyBorder="1">
      <alignment horizontal="right"/>
    </xf>
    <xf numFmtId="167" fontId="0" fillId="38" borderId="0" xfId="0" applyNumberFormat="1" applyFill="1"/>
    <xf numFmtId="0" fontId="0" fillId="40" borderId="16" xfId="0" applyFill="1" applyBorder="1"/>
    <xf numFmtId="10" fontId="0" fillId="40" borderId="0" xfId="62" applyNumberFormat="1" applyFont="1" applyFill="1" applyBorder="1"/>
    <xf numFmtId="10" fontId="0" fillId="40" borderId="27" xfId="0" applyNumberFormat="1" applyFill="1" applyBorder="1"/>
    <xf numFmtId="0" fontId="24" fillId="39" borderId="0" xfId="0" applyFont="1" applyFill="1"/>
    <xf numFmtId="165" fontId="31" fillId="36" borderId="0" xfId="61" applyFont="1" applyFill="1" applyBorder="1">
      <alignment horizontal="right"/>
    </xf>
    <xf numFmtId="164" fontId="0" fillId="38" borderId="23" xfId="0" applyNumberFormat="1" applyFill="1" applyBorder="1"/>
    <xf numFmtId="164" fontId="39" fillId="38" borderId="0" xfId="53" applyFont="1" applyFill="1" applyBorder="1">
      <alignment horizontal="right"/>
    </xf>
    <xf numFmtId="164" fontId="1" fillId="38" borderId="0" xfId="53" applyFill="1" applyBorder="1">
      <alignment horizontal="right"/>
    </xf>
    <xf numFmtId="0" fontId="0" fillId="40" borderId="2" xfId="0" applyFill="1" applyBorder="1" applyAlignment="1">
      <alignment horizontal="center"/>
    </xf>
    <xf numFmtId="0" fontId="0" fillId="40" borderId="14" xfId="0" applyFill="1" applyBorder="1" applyAlignment="1">
      <alignment horizontal="centerContinuous"/>
    </xf>
    <xf numFmtId="0" fontId="0" fillId="40" borderId="22" xfId="0" applyFill="1" applyBorder="1"/>
    <xf numFmtId="0" fontId="0" fillId="39" borderId="0" xfId="0" applyFill="1"/>
    <xf numFmtId="0" fontId="0" fillId="40" borderId="2" xfId="0" applyFill="1" applyBorder="1"/>
    <xf numFmtId="0" fontId="0" fillId="40" borderId="21" xfId="0" applyFill="1" applyBorder="1" applyAlignment="1">
      <alignment horizontal="centerContinuous"/>
    </xf>
    <xf numFmtId="0" fontId="4" fillId="34" borderId="17" xfId="69"/>
    <xf numFmtId="165" fontId="12" fillId="38" borderId="0" xfId="62" applyNumberFormat="1" applyFont="1" applyFill="1"/>
    <xf numFmtId="0" fontId="43" fillId="38" borderId="0" xfId="0" applyFont="1" applyFill="1"/>
    <xf numFmtId="166" fontId="43" fillId="38" borderId="0" xfId="0" applyNumberFormat="1" applyFont="1" applyFill="1"/>
    <xf numFmtId="0" fontId="24" fillId="38" borderId="0" xfId="0" applyFont="1" applyFill="1"/>
    <xf numFmtId="3" fontId="0" fillId="38" borderId="0" xfId="0" applyNumberFormat="1" applyFill="1"/>
    <xf numFmtId="10" fontId="0" fillId="38" borderId="0" xfId="0" applyNumberFormat="1" applyFill="1" applyAlignment="1">
      <alignment horizontal="right"/>
    </xf>
    <xf numFmtId="0" fontId="24" fillId="38" borderId="0" xfId="0" applyFont="1" applyFill="1" applyAlignment="1">
      <alignment horizontal="right" wrapText="1"/>
    </xf>
    <xf numFmtId="0" fontId="24" fillId="38" borderId="0" xfId="0" applyFont="1" applyFill="1" applyAlignment="1">
      <alignment horizontal="right"/>
    </xf>
    <xf numFmtId="0" fontId="44" fillId="38" borderId="0" xfId="0" applyFont="1" applyFill="1" applyAlignment="1">
      <alignment horizontal="right"/>
    </xf>
    <xf numFmtId="37" fontId="42" fillId="38" borderId="0" xfId="0" applyNumberFormat="1" applyFont="1" applyFill="1"/>
    <xf numFmtId="3" fontId="44" fillId="38" borderId="0" xfId="0" applyNumberFormat="1" applyFont="1" applyFill="1" applyAlignment="1">
      <alignment horizontal="right"/>
    </xf>
    <xf numFmtId="0" fontId="33" fillId="0" borderId="0" xfId="26" applyFont="1" applyFill="1"/>
    <xf numFmtId="0" fontId="35" fillId="0" borderId="0" xfId="50" applyFont="1" applyFill="1" applyBorder="1">
      <alignment horizontal="left" vertical="center" readingOrder="1"/>
    </xf>
    <xf numFmtId="0" fontId="35" fillId="35" borderId="23" xfId="50" applyFont="1" applyFill="1" applyBorder="1">
      <alignment horizontal="left" vertical="center" readingOrder="1"/>
    </xf>
    <xf numFmtId="0" fontId="0" fillId="0" borderId="0" xfId="0" applyAlignment="1">
      <alignment horizontal="center"/>
    </xf>
    <xf numFmtId="0" fontId="47" fillId="0" borderId="0" xfId="0" applyFont="1"/>
    <xf numFmtId="14" fontId="0" fillId="42" borderId="28" xfId="0" applyNumberFormat="1" applyFill="1" applyBorder="1" applyAlignment="1">
      <alignment horizontal="center"/>
    </xf>
    <xf numFmtId="0" fontId="0" fillId="42" borderId="28" xfId="0" applyFill="1" applyBorder="1" applyAlignment="1">
      <alignment horizontal="center"/>
    </xf>
    <xf numFmtId="0" fontId="47" fillId="44" borderId="0" xfId="0" applyFont="1" applyFill="1" applyAlignment="1">
      <alignment vertical="center"/>
    </xf>
    <xf numFmtId="0" fontId="0" fillId="44" borderId="0" xfId="0" applyFill="1" applyAlignment="1">
      <alignment horizontal="right" vertical="center"/>
    </xf>
    <xf numFmtId="0" fontId="47" fillId="44" borderId="0" xfId="0" applyFont="1" applyFill="1" applyAlignment="1">
      <alignment horizontal="center" vertical="center"/>
    </xf>
    <xf numFmtId="0" fontId="48" fillId="44" borderId="0" xfId="0" applyFont="1" applyFill="1" applyAlignment="1">
      <alignment horizontal="centerContinuous" vertical="center"/>
    </xf>
    <xf numFmtId="0" fontId="47" fillId="44" borderId="25" xfId="0" applyFont="1" applyFill="1" applyBorder="1" applyAlignment="1">
      <alignment vertical="center"/>
    </xf>
    <xf numFmtId="0" fontId="47" fillId="44" borderId="25" xfId="0" applyFont="1" applyFill="1" applyBorder="1" applyAlignment="1">
      <alignment horizontal="center" vertical="center"/>
    </xf>
    <xf numFmtId="0" fontId="47" fillId="44" borderId="25" xfId="0" quotePrefix="1" applyFont="1" applyFill="1" applyBorder="1" applyAlignment="1">
      <alignment horizontal="center" vertical="center"/>
    </xf>
    <xf numFmtId="0" fontId="47" fillId="0" borderId="0" xfId="0" applyFont="1" applyAlignment="1">
      <alignment vertical="center"/>
    </xf>
    <xf numFmtId="0" fontId="47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49" fillId="0" borderId="0" xfId="0" applyFont="1" applyAlignment="1">
      <alignment horizontal="left"/>
    </xf>
    <xf numFmtId="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8" fontId="0" fillId="0" borderId="0" xfId="62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0" fontId="49" fillId="0" borderId="0" xfId="0" applyFont="1"/>
    <xf numFmtId="0" fontId="47" fillId="45" borderId="22" xfId="0" applyFont="1" applyFill="1" applyBorder="1"/>
    <xf numFmtId="0" fontId="0" fillId="45" borderId="23" xfId="0" applyFill="1" applyBorder="1"/>
    <xf numFmtId="168" fontId="47" fillId="45" borderId="23" xfId="0" applyNumberFormat="1" applyFont="1" applyFill="1" applyBorder="1" applyAlignment="1">
      <alignment horizontal="center"/>
    </xf>
    <xf numFmtId="169" fontId="47" fillId="45" borderId="23" xfId="0" applyNumberFormat="1" applyFont="1" applyFill="1" applyBorder="1" applyAlignment="1">
      <alignment horizontal="center"/>
    </xf>
    <xf numFmtId="0" fontId="47" fillId="45" borderId="18" xfId="0" applyFont="1" applyFill="1" applyBorder="1"/>
    <xf numFmtId="0" fontId="0" fillId="45" borderId="25" xfId="0" applyFill="1" applyBorder="1"/>
    <xf numFmtId="168" fontId="47" fillId="45" borderId="25" xfId="0" applyNumberFormat="1" applyFont="1" applyFill="1" applyBorder="1" applyAlignment="1">
      <alignment horizontal="center"/>
    </xf>
    <xf numFmtId="169" fontId="47" fillId="45" borderId="25" xfId="0" applyNumberFormat="1" applyFont="1" applyFill="1" applyBorder="1" applyAlignment="1">
      <alignment horizontal="center"/>
    </xf>
    <xf numFmtId="0" fontId="0" fillId="0" borderId="25" xfId="0" applyBorder="1"/>
    <xf numFmtId="0" fontId="24" fillId="39" borderId="0" xfId="0" applyFont="1" applyFill="1" applyAlignment="1">
      <alignment horizontal="left"/>
    </xf>
    <xf numFmtId="0" fontId="28" fillId="39" borderId="0" xfId="0" applyFont="1" applyFill="1" applyAlignment="1">
      <alignment horizontal="centerContinuous"/>
    </xf>
    <xf numFmtId="0" fontId="24" fillId="0" borderId="0" xfId="0" applyFont="1" applyAlignment="1">
      <alignment horizontal="left"/>
    </xf>
    <xf numFmtId="0" fontId="28" fillId="0" borderId="0" xfId="0" applyFont="1" applyAlignment="1">
      <alignment horizontal="centerContinuous"/>
    </xf>
    <xf numFmtId="0" fontId="0" fillId="0" borderId="0" xfId="0" applyAlignment="1">
      <alignment horizontal="left"/>
    </xf>
    <xf numFmtId="39" fontId="50" fillId="46" borderId="28" xfId="0" applyNumberFormat="1" applyFont="1" applyFill="1" applyBorder="1" applyAlignment="1">
      <alignment horizontal="right"/>
    </xf>
    <xf numFmtId="0" fontId="51" fillId="0" borderId="0" xfId="0" applyFont="1" applyAlignment="1">
      <alignment horizontal="left"/>
    </xf>
    <xf numFmtId="170" fontId="52" fillId="46" borderId="28" xfId="0" applyNumberFormat="1" applyFont="1" applyFill="1" applyBorder="1" applyAlignment="1">
      <alignment horizontal="right"/>
    </xf>
    <xf numFmtId="171" fontId="42" fillId="0" borderId="0" xfId="0" applyNumberFormat="1" applyFont="1"/>
    <xf numFmtId="171" fontId="0" fillId="0" borderId="0" xfId="0" applyNumberFormat="1"/>
    <xf numFmtId="171" fontId="44" fillId="0" borderId="0" xfId="0" applyNumberFormat="1" applyFont="1"/>
    <xf numFmtId="0" fontId="27" fillId="0" borderId="0" xfId="0" applyFont="1" applyAlignment="1">
      <alignment horizontal="left"/>
    </xf>
    <xf numFmtId="170" fontId="0" fillId="0" borderId="0" xfId="0" applyNumberFormat="1"/>
    <xf numFmtId="171" fontId="27" fillId="0" borderId="0" xfId="0" applyNumberFormat="1" applyFont="1"/>
    <xf numFmtId="0" fontId="53" fillId="0" borderId="0" xfId="0" applyFont="1" applyAlignment="1">
      <alignment horizontal="right"/>
    </xf>
    <xf numFmtId="172" fontId="0" fillId="0" borderId="0" xfId="0" applyNumberFormat="1" applyAlignment="1">
      <alignment horizontal="left"/>
    </xf>
    <xf numFmtId="39" fontId="52" fillId="46" borderId="28" xfId="0" applyNumberFormat="1" applyFont="1" applyFill="1" applyBorder="1" applyAlignment="1">
      <alignment horizontal="right"/>
    </xf>
    <xf numFmtId="0" fontId="0" fillId="0" borderId="0" xfId="0" applyAlignment="1">
      <alignment horizontal="right" indent="1"/>
    </xf>
    <xf numFmtId="172" fontId="0" fillId="0" borderId="25" xfId="0" applyNumberFormat="1" applyBorder="1" applyAlignment="1">
      <alignment horizontal="left"/>
    </xf>
    <xf numFmtId="170" fontId="52" fillId="0" borderId="25" xfId="0" applyNumberFormat="1" applyFont="1" applyBorder="1" applyAlignment="1">
      <alignment horizontal="right"/>
    </xf>
    <xf numFmtId="0" fontId="0" fillId="0" borderId="25" xfId="0" applyBorder="1" applyAlignment="1">
      <alignment horizontal="right" indent="1"/>
    </xf>
    <xf numFmtId="0" fontId="27" fillId="40" borderId="20" xfId="0" applyFont="1" applyFill="1" applyBorder="1"/>
    <xf numFmtId="0" fontId="27" fillId="40" borderId="14" xfId="0" applyFont="1" applyFill="1" applyBorder="1"/>
    <xf numFmtId="2" fontId="27" fillId="40" borderId="21" xfId="0" applyNumberFormat="1" applyFont="1" applyFill="1" applyBorder="1" applyAlignment="1">
      <alignment horizontal="right" indent="1"/>
    </xf>
    <xf numFmtId="37" fontId="52" fillId="46" borderId="28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 indent="1"/>
    </xf>
    <xf numFmtId="2" fontId="27" fillId="0" borderId="0" xfId="0" applyNumberFormat="1" applyFont="1" applyAlignment="1">
      <alignment horizontal="right" indent="1"/>
    </xf>
    <xf numFmtId="37" fontId="54" fillId="0" borderId="0" xfId="0" applyNumberFormat="1" applyFont="1"/>
    <xf numFmtId="0" fontId="0" fillId="38" borderId="28" xfId="0" applyFill="1" applyBorder="1" applyAlignment="1">
      <alignment horizontal="center"/>
    </xf>
    <xf numFmtId="14" fontId="0" fillId="38" borderId="28" xfId="0" applyNumberFormat="1" applyFill="1" applyBorder="1" applyAlignment="1">
      <alignment horizontal="center"/>
    </xf>
    <xf numFmtId="10" fontId="44" fillId="38" borderId="28" xfId="0" applyNumberFormat="1" applyFont="1" applyFill="1" applyBorder="1" applyAlignment="1">
      <alignment horizontal="center"/>
    </xf>
    <xf numFmtId="0" fontId="0" fillId="38" borderId="0" xfId="0" applyFill="1" applyAlignment="1">
      <alignment horizontal="center"/>
    </xf>
    <xf numFmtId="14" fontId="0" fillId="38" borderId="0" xfId="0" applyNumberFormat="1" applyFill="1" applyAlignment="1">
      <alignment horizontal="center"/>
    </xf>
    <xf numFmtId="10" fontId="50" fillId="38" borderId="0" xfId="0" applyNumberFormat="1" applyFont="1" applyFill="1" applyAlignment="1">
      <alignment horizontal="center"/>
    </xf>
    <xf numFmtId="10" fontId="44" fillId="38" borderId="0" xfId="0" applyNumberFormat="1" applyFont="1" applyFill="1" applyAlignment="1">
      <alignment horizontal="center"/>
    </xf>
    <xf numFmtId="10" fontId="55" fillId="38" borderId="28" xfId="0" applyNumberFormat="1" applyFont="1" applyFill="1" applyBorder="1" applyAlignment="1">
      <alignment horizontal="center"/>
    </xf>
    <xf numFmtId="4" fontId="1" fillId="34" borderId="0" xfId="54" applyBorder="1">
      <alignment horizontal="right"/>
    </xf>
    <xf numFmtId="4" fontId="0" fillId="38" borderId="0" xfId="0" applyNumberFormat="1" applyFill="1"/>
    <xf numFmtId="164" fontId="27" fillId="38" borderId="23" xfId="0" applyNumberFormat="1" applyFont="1" applyFill="1" applyBorder="1"/>
    <xf numFmtId="164" fontId="27" fillId="38" borderId="24" xfId="0" applyNumberFormat="1" applyFont="1" applyFill="1" applyBorder="1"/>
    <xf numFmtId="164" fontId="27" fillId="38" borderId="25" xfId="0" applyNumberFormat="1" applyFont="1" applyFill="1" applyBorder="1"/>
    <xf numFmtId="164" fontId="27" fillId="38" borderId="26" xfId="0" applyNumberFormat="1" applyFont="1" applyFill="1" applyBorder="1"/>
    <xf numFmtId="164" fontId="0" fillId="38" borderId="14" xfId="0" applyNumberFormat="1" applyFill="1" applyBorder="1"/>
    <xf numFmtId="0" fontId="55" fillId="38" borderId="0" xfId="0" applyFont="1" applyFill="1"/>
    <xf numFmtId="0" fontId="0" fillId="0" borderId="22" xfId="0" applyBorder="1"/>
    <xf numFmtId="0" fontId="0" fillId="0" borderId="23" xfId="0" applyBorder="1"/>
    <xf numFmtId="165" fontId="44" fillId="42" borderId="28" xfId="0" applyNumberFormat="1" applyFont="1" applyFill="1" applyBorder="1" applyAlignment="1">
      <alignment horizontal="right"/>
    </xf>
    <xf numFmtId="165" fontId="43" fillId="42" borderId="28" xfId="0" applyNumberFormat="1" applyFont="1" applyFill="1" applyBorder="1" applyAlignment="1">
      <alignment horizontal="right"/>
    </xf>
    <xf numFmtId="37" fontId="43" fillId="0" borderId="25" xfId="0" applyNumberFormat="1" applyFont="1" applyBorder="1" applyAlignment="1">
      <alignment horizontal="right"/>
    </xf>
    <xf numFmtId="169" fontId="0" fillId="0" borderId="0" xfId="62" applyNumberFormat="1" applyFont="1" applyAlignment="1">
      <alignment horizontal="center"/>
    </xf>
    <xf numFmtId="0" fontId="24" fillId="39" borderId="22" xfId="0" applyFont="1" applyFill="1" applyBorder="1"/>
    <xf numFmtId="0" fontId="0" fillId="39" borderId="23" xfId="0" applyFill="1" applyBorder="1"/>
    <xf numFmtId="0" fontId="0" fillId="39" borderId="24" xfId="0" applyFill="1" applyBorder="1"/>
    <xf numFmtId="0" fontId="0" fillId="38" borderId="0" xfId="0" applyFill="1" applyBorder="1"/>
    <xf numFmtId="0" fontId="0" fillId="38" borderId="27" xfId="0" applyFill="1" applyBorder="1"/>
    <xf numFmtId="39" fontId="41" fillId="40" borderId="0" xfId="0" applyNumberFormat="1" applyFont="1" applyFill="1" applyBorder="1"/>
    <xf numFmtId="10" fontId="0" fillId="40" borderId="0" xfId="0" applyNumberFormat="1" applyFill="1" applyBorder="1"/>
    <xf numFmtId="0" fontId="0" fillId="38" borderId="26" xfId="0" applyFill="1" applyBorder="1"/>
    <xf numFmtId="0" fontId="0" fillId="0" borderId="17" xfId="0" applyBorder="1"/>
    <xf numFmtId="0" fontId="0" fillId="0" borderId="0" xfId="0" applyBorder="1"/>
    <xf numFmtId="0" fontId="0" fillId="0" borderId="27" xfId="0" applyBorder="1"/>
    <xf numFmtId="0" fontId="24" fillId="43" borderId="17" xfId="0" applyFont="1" applyFill="1" applyBorder="1"/>
    <xf numFmtId="0" fontId="24" fillId="43" borderId="0" xfId="0" applyFont="1" applyFill="1" applyBorder="1"/>
    <xf numFmtId="0" fontId="24" fillId="43" borderId="27" xfId="0" applyFont="1" applyFill="1" applyBorder="1"/>
    <xf numFmtId="10" fontId="42" fillId="0" borderId="0" xfId="0" applyNumberFormat="1" applyFont="1" applyBorder="1"/>
    <xf numFmtId="37" fontId="0" fillId="0" borderId="27" xfId="0" applyNumberFormat="1" applyBorder="1"/>
    <xf numFmtId="37" fontId="43" fillId="0" borderId="0" xfId="0" applyNumberFormat="1" applyFont="1" applyBorder="1" applyAlignment="1">
      <alignment horizontal="right"/>
    </xf>
    <xf numFmtId="173" fontId="50" fillId="0" borderId="27" xfId="0" applyNumberFormat="1" applyFont="1" applyBorder="1"/>
    <xf numFmtId="0" fontId="27" fillId="0" borderId="0" xfId="0" applyFont="1" applyBorder="1"/>
    <xf numFmtId="37" fontId="27" fillId="0" borderId="0" xfId="0" applyNumberFormat="1" applyFont="1" applyBorder="1"/>
    <xf numFmtId="37" fontId="0" fillId="0" borderId="26" xfId="0" applyNumberFormat="1" applyBorder="1"/>
    <xf numFmtId="37" fontId="27" fillId="0" borderId="27" xfId="0" applyNumberFormat="1" applyFont="1" applyBorder="1"/>
    <xf numFmtId="9" fontId="43" fillId="0" borderId="0" xfId="0" applyNumberFormat="1" applyFont="1" applyBorder="1"/>
    <xf numFmtId="9" fontId="43" fillId="0" borderId="27" xfId="0" applyNumberFormat="1" applyFont="1" applyBorder="1"/>
    <xf numFmtId="0" fontId="0" fillId="0" borderId="18" xfId="0" applyBorder="1"/>
    <xf numFmtId="173" fontId="0" fillId="0" borderId="25" xfId="0" applyNumberFormat="1" applyBorder="1"/>
    <xf numFmtId="10" fontId="43" fillId="0" borderId="26" xfId="0" applyNumberFormat="1" applyFont="1" applyBorder="1"/>
    <xf numFmtId="3" fontId="0" fillId="0" borderId="0" xfId="0" applyNumberFormat="1"/>
    <xf numFmtId="0" fontId="24" fillId="41" borderId="22" xfId="0" applyFont="1" applyFill="1" applyBorder="1"/>
    <xf numFmtId="0" fontId="24" fillId="41" borderId="23" xfId="0" applyFont="1" applyFill="1" applyBorder="1"/>
    <xf numFmtId="0" fontId="24" fillId="41" borderId="24" xfId="0" applyFont="1" applyFill="1" applyBorder="1"/>
    <xf numFmtId="0" fontId="0" fillId="38" borderId="17" xfId="0" applyFill="1" applyBorder="1"/>
    <xf numFmtId="0" fontId="0" fillId="38" borderId="0" xfId="0" applyFill="1" applyBorder="1" applyAlignment="1">
      <alignment wrapText="1"/>
    </xf>
    <xf numFmtId="0" fontId="24" fillId="43" borderId="0" xfId="0" applyFont="1" applyFill="1" applyBorder="1" applyAlignment="1">
      <alignment horizontal="right" wrapText="1"/>
    </xf>
    <xf numFmtId="0" fontId="24" fillId="43" borderId="0" xfId="0" applyFont="1" applyFill="1" applyBorder="1" applyAlignment="1">
      <alignment horizontal="right"/>
    </xf>
    <xf numFmtId="0" fontId="24" fillId="43" borderId="27" xfId="0" applyFont="1" applyFill="1" applyBorder="1" applyAlignment="1">
      <alignment horizontal="right"/>
    </xf>
    <xf numFmtId="0" fontId="43" fillId="38" borderId="17" xfId="0" applyFont="1" applyFill="1" applyBorder="1"/>
    <xf numFmtId="0" fontId="43" fillId="38" borderId="0" xfId="0" applyFont="1" applyFill="1" applyBorder="1"/>
    <xf numFmtId="0" fontId="44" fillId="38" borderId="0" xfId="0" applyFont="1" applyFill="1" applyBorder="1" applyAlignment="1">
      <alignment horizontal="right"/>
    </xf>
    <xf numFmtId="37" fontId="42" fillId="38" borderId="0" xfId="0" applyNumberFormat="1" applyFont="1" applyFill="1" applyBorder="1"/>
    <xf numFmtId="10" fontId="0" fillId="38" borderId="0" xfId="0" applyNumberFormat="1" applyFill="1" applyBorder="1" applyAlignment="1">
      <alignment horizontal="right"/>
    </xf>
    <xf numFmtId="166" fontId="43" fillId="38" borderId="27" xfId="0" applyNumberFormat="1" applyFont="1" applyFill="1" applyBorder="1"/>
    <xf numFmtId="166" fontId="43" fillId="38" borderId="0" xfId="0" applyNumberFormat="1" applyFont="1" applyFill="1" applyBorder="1"/>
    <xf numFmtId="37" fontId="43" fillId="38" borderId="0" xfId="0" applyNumberFormat="1" applyFont="1" applyFill="1" applyBorder="1"/>
    <xf numFmtId="37" fontId="43" fillId="38" borderId="27" xfId="0" applyNumberFormat="1" applyFont="1" applyFill="1" applyBorder="1"/>
    <xf numFmtId="0" fontId="43" fillId="38" borderId="27" xfId="0" applyFont="1" applyFill="1" applyBorder="1"/>
    <xf numFmtId="0" fontId="45" fillId="38" borderId="18" xfId="0" applyFont="1" applyFill="1" applyBorder="1"/>
    <xf numFmtId="0" fontId="43" fillId="38" borderId="25" xfId="0" applyFont="1" applyFill="1" applyBorder="1"/>
    <xf numFmtId="166" fontId="45" fillId="38" borderId="25" xfId="0" applyNumberFormat="1" applyFont="1" applyFill="1" applyBorder="1"/>
    <xf numFmtId="0" fontId="43" fillId="38" borderId="26" xfId="0" applyFont="1" applyFill="1" applyBorder="1"/>
    <xf numFmtId="3" fontId="0" fillId="38" borderId="0" xfId="0" applyNumberFormat="1" applyFill="1" applyBorder="1"/>
    <xf numFmtId="0" fontId="0" fillId="41" borderId="23" xfId="0" applyFill="1" applyBorder="1"/>
    <xf numFmtId="0" fontId="0" fillId="41" borderId="24" xfId="0" applyFill="1" applyBorder="1"/>
    <xf numFmtId="3" fontId="0" fillId="38" borderId="27" xfId="0" applyNumberFormat="1" applyFill="1" applyBorder="1"/>
    <xf numFmtId="10" fontId="0" fillId="38" borderId="27" xfId="0" applyNumberFormat="1" applyFill="1" applyBorder="1" applyAlignment="1">
      <alignment horizontal="right"/>
    </xf>
    <xf numFmtId="166" fontId="42" fillId="38" borderId="27" xfId="0" applyNumberFormat="1" applyFont="1" applyFill="1" applyBorder="1" applyAlignment="1">
      <alignment horizontal="right"/>
    </xf>
    <xf numFmtId="3" fontId="0" fillId="38" borderId="27" xfId="0" applyNumberFormat="1" applyFill="1" applyBorder="1" applyAlignment="1">
      <alignment horizontal="right"/>
    </xf>
    <xf numFmtId="165" fontId="0" fillId="38" borderId="27" xfId="0" applyNumberFormat="1" applyFill="1" applyBorder="1" applyAlignment="1">
      <alignment horizontal="right"/>
    </xf>
    <xf numFmtId="0" fontId="0" fillId="38" borderId="20" xfId="0" applyFill="1" applyBorder="1"/>
    <xf numFmtId="0" fontId="0" fillId="38" borderId="14" xfId="0" applyFill="1" applyBorder="1"/>
    <xf numFmtId="3" fontId="0" fillId="38" borderId="21" xfId="0" applyNumberFormat="1" applyFill="1" applyBorder="1"/>
    <xf numFmtId="10" fontId="0" fillId="38" borderId="21" xfId="0" applyNumberFormat="1" applyFill="1" applyBorder="1" applyAlignment="1">
      <alignment horizontal="right"/>
    </xf>
  </cellXfs>
  <cellStyles count="7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 2" xfId="65" xr:uid="{9FF26E99-5CDF-42B3-B4A5-7F8C19F56785}"/>
    <cellStyle name="fa_column_header_bottom_left" xfId="51" xr:uid="{00000000-0005-0000-0000-00001F000000}"/>
    <cellStyle name="fa_column_header_bottom_left 2" xfId="66" xr:uid="{3BCB3F66-11E9-4BDF-9602-EC1E8CB7A6FF}"/>
    <cellStyle name="fa_column_header_empty" xfId="31" xr:uid="{00000000-0005-0000-0000-000020000000}"/>
    <cellStyle name="fa_column_header_top" xfId="32" xr:uid="{00000000-0005-0000-0000-000021000000}"/>
    <cellStyle name="fa_column_header_top 2" xfId="67" xr:uid="{C8D3C177-CCA9-48EE-9EC5-B9A206FB9B5C}"/>
    <cellStyle name="fa_column_header_top_left" xfId="33" xr:uid="{00000000-0005-0000-0000-000022000000}"/>
    <cellStyle name="fa_column_header_top_left 2" xfId="68" xr:uid="{C93CF3E9-4F42-4411-B3E2-A24F4C3460C0}"/>
    <cellStyle name="fa_data_bold_0_grouped" xfId="55" xr:uid="{00000000-0005-0000-0000-000023000000}"/>
    <cellStyle name="fa_data_bold_1_grouped" xfId="56" xr:uid="{00000000-0005-0000-0000-000024000000}"/>
    <cellStyle name="fa_data_bold_1_percent" xfId="60" xr:uid="{639E5B96-31F2-46A5-8827-189623D640E9}"/>
    <cellStyle name="fa_data_bold_2_grouped" xfId="57" xr:uid="{00000000-0005-0000-0000-000025000000}"/>
    <cellStyle name="fa_data_italic_1_grouped" xfId="58" xr:uid="{00000000-0005-0000-0000-000026000000}"/>
    <cellStyle name="fa_data_italic_1_percent" xfId="59" xr:uid="{9C53B094-9C85-4CE9-9AF2-A88A647806A3}"/>
    <cellStyle name="fa_data_standard_0_grouped" xfId="52" xr:uid="{00000000-0005-0000-0000-000027000000}"/>
    <cellStyle name="fa_data_standard_1_grouped" xfId="53" xr:uid="{00000000-0005-0000-0000-000028000000}"/>
    <cellStyle name="fa_data_standard_1_percent" xfId="61" xr:uid="{009ADC3A-8DD1-4AA2-AE71-0A4C3BA6DF1A}"/>
    <cellStyle name="fa_data_standard_2_grouped" xfId="54" xr:uid="{00000000-0005-0000-0000-000029000000}"/>
    <cellStyle name="fa_row_header_bold" xfId="34" xr:uid="{00000000-0005-0000-0000-00002B000000}"/>
    <cellStyle name="fa_row_header_bold 2" xfId="64" xr:uid="{6D2AB5F6-929B-45C7-B66D-3A2E228855DD}"/>
    <cellStyle name="fa_row_header_italic" xfId="35" xr:uid="{00000000-0005-0000-0000-00002C000000}"/>
    <cellStyle name="fa_row_header_italic 2" xfId="69" xr:uid="{1318235B-3BEC-4532-88B6-49FA952298E9}"/>
    <cellStyle name="fa_row_header_standard" xfId="36" xr:uid="{00000000-0005-0000-0000-00002D000000}"/>
    <cellStyle name="fa_row_header_standard 2" xfId="63" xr:uid="{6B2F917F-142A-4D1C-A027-14AADA9BAEBA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Percent" xfId="62" builtinId="5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</a:t>
            </a:r>
            <a:r>
              <a:rPr lang="en-US" baseline="0"/>
              <a:t> Margin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Profitability!$C$5:$L$5</c:f>
              <c:strCache>
                <c:ptCount val="10"/>
                <c:pt idx="0">
                  <c:v>01/31/2015</c:v>
                </c:pt>
                <c:pt idx="1">
                  <c:v>01/30/2016</c:v>
                </c:pt>
                <c:pt idx="2">
                  <c:v>01/28/2017</c:v>
                </c:pt>
                <c:pt idx="3">
                  <c:v>02/03/2018</c:v>
                </c:pt>
                <c:pt idx="4">
                  <c:v>02/02/2019</c:v>
                </c:pt>
                <c:pt idx="5">
                  <c:v>02/01/2020</c:v>
                </c:pt>
                <c:pt idx="6">
                  <c:v>01/30/2021</c:v>
                </c:pt>
                <c:pt idx="7">
                  <c:v>01/29/2022</c:v>
                </c:pt>
                <c:pt idx="8">
                  <c:v>01/28/2023</c:v>
                </c:pt>
                <c:pt idx="9">
                  <c:v>02/03/2024</c:v>
                </c:pt>
              </c:strCache>
            </c:strRef>
          </c:cat>
          <c:val>
            <c:numRef>
              <c:f>Profitability!$C$13:$L$13</c:f>
              <c:numCache>
                <c:formatCode>#,##0.00</c:formatCode>
                <c:ptCount val="10"/>
                <c:pt idx="0">
                  <c:v>29.386700000000001</c:v>
                </c:pt>
                <c:pt idx="1">
                  <c:v>29.1983</c:v>
                </c:pt>
                <c:pt idx="2">
                  <c:v>29.282699999999998</c:v>
                </c:pt>
                <c:pt idx="3">
                  <c:v>29.690300000000001</c:v>
                </c:pt>
                <c:pt idx="4">
                  <c:v>29.270399999999999</c:v>
                </c:pt>
                <c:pt idx="5">
                  <c:v>29.7624</c:v>
                </c:pt>
                <c:pt idx="6">
                  <c:v>29.268599999999999</c:v>
                </c:pt>
                <c:pt idx="7">
                  <c:v>29.2835</c:v>
                </c:pt>
                <c:pt idx="8">
                  <c:v>24.6435</c:v>
                </c:pt>
                <c:pt idx="9">
                  <c:v>27.6282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D2-4878-94CA-E9AE0AA36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56243440"/>
        <c:axId val="756243920"/>
      </c:barChart>
      <c:dateAx>
        <c:axId val="756243440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243920"/>
        <c:crosses val="autoZero"/>
        <c:auto val="0"/>
        <c:lblOffset val="100"/>
        <c:baseTimeUnit val="days"/>
      </c:dateAx>
      <c:valAx>
        <c:axId val="75624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24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Profitability!$C$5:$L$5</c:f>
              <c:strCache>
                <c:ptCount val="10"/>
                <c:pt idx="0">
                  <c:v>01/31/2015</c:v>
                </c:pt>
                <c:pt idx="1">
                  <c:v>01/30/2016</c:v>
                </c:pt>
                <c:pt idx="2">
                  <c:v>01/28/2017</c:v>
                </c:pt>
                <c:pt idx="3">
                  <c:v>02/03/2018</c:v>
                </c:pt>
                <c:pt idx="4">
                  <c:v>02/02/2019</c:v>
                </c:pt>
                <c:pt idx="5">
                  <c:v>02/01/2020</c:v>
                </c:pt>
                <c:pt idx="6">
                  <c:v>01/30/2021</c:v>
                </c:pt>
                <c:pt idx="7">
                  <c:v>01/29/2022</c:v>
                </c:pt>
                <c:pt idx="8">
                  <c:v>01/28/2023</c:v>
                </c:pt>
                <c:pt idx="9">
                  <c:v>02/03/2024</c:v>
                </c:pt>
              </c:strCache>
            </c:strRef>
          </c:cat>
          <c:val>
            <c:numRef>
              <c:f>Profitability!$C$15:$L$15</c:f>
              <c:numCache>
                <c:formatCode>#,##0.00</c:formatCode>
                <c:ptCount val="10"/>
                <c:pt idx="0">
                  <c:v>6.2450000000000001</c:v>
                </c:pt>
                <c:pt idx="1">
                  <c:v>7.4946999999999999</c:v>
                </c:pt>
                <c:pt idx="2">
                  <c:v>7.1501999999999999</c:v>
                </c:pt>
                <c:pt idx="3">
                  <c:v>5.8090999999999999</c:v>
                </c:pt>
                <c:pt idx="4">
                  <c:v>5.4541000000000004</c:v>
                </c:pt>
                <c:pt idx="5">
                  <c:v>5.9631999999999996</c:v>
                </c:pt>
                <c:pt idx="6">
                  <c:v>6.9889999999999999</c:v>
                </c:pt>
                <c:pt idx="7">
                  <c:v>8.4391999999999996</c:v>
                </c:pt>
                <c:pt idx="8">
                  <c:v>3.5264000000000002</c:v>
                </c:pt>
                <c:pt idx="9">
                  <c:v>5.3132000000000001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7-4C3D-98FF-8B1BAB09C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56964304"/>
        <c:axId val="1256965264"/>
      </c:barChart>
      <c:catAx>
        <c:axId val="125696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965264"/>
        <c:crosses val="autoZero"/>
        <c:auto val="1"/>
        <c:lblAlgn val="ctr"/>
        <c:lblOffset val="100"/>
        <c:noMultiLvlLbl val="0"/>
      </c:catAx>
      <c:valAx>
        <c:axId val="125696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96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Income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Profitability!$C$5:$L$5</c:f>
              <c:strCache>
                <c:ptCount val="10"/>
                <c:pt idx="0">
                  <c:v>01/31/2015</c:v>
                </c:pt>
                <c:pt idx="1">
                  <c:v>01/30/2016</c:v>
                </c:pt>
                <c:pt idx="2">
                  <c:v>01/28/2017</c:v>
                </c:pt>
                <c:pt idx="3">
                  <c:v>02/03/2018</c:v>
                </c:pt>
                <c:pt idx="4">
                  <c:v>02/02/2019</c:v>
                </c:pt>
                <c:pt idx="5">
                  <c:v>02/01/2020</c:v>
                </c:pt>
                <c:pt idx="6">
                  <c:v>01/30/2021</c:v>
                </c:pt>
                <c:pt idx="7">
                  <c:v>01/29/2022</c:v>
                </c:pt>
                <c:pt idx="8">
                  <c:v>01/28/2023</c:v>
                </c:pt>
                <c:pt idx="9">
                  <c:v>02/03/2024</c:v>
                </c:pt>
              </c:strCache>
            </c:strRef>
          </c:cat>
          <c:val>
            <c:numRef>
              <c:f>Profitability!$C$19:$L$19</c:f>
              <c:numCache>
                <c:formatCode>#,##0.00</c:formatCode>
                <c:ptCount val="10"/>
                <c:pt idx="0">
                  <c:v>-2.2528999999999999</c:v>
                </c:pt>
                <c:pt idx="1">
                  <c:v>4.5578000000000003</c:v>
                </c:pt>
                <c:pt idx="2">
                  <c:v>3.9384000000000001</c:v>
                </c:pt>
                <c:pt idx="3">
                  <c:v>4.0075000000000003</c:v>
                </c:pt>
                <c:pt idx="4">
                  <c:v>3.8975</c:v>
                </c:pt>
                <c:pt idx="5">
                  <c:v>4.2004000000000001</c:v>
                </c:pt>
                <c:pt idx="6">
                  <c:v>4.6685999999999996</c:v>
                </c:pt>
                <c:pt idx="7">
                  <c:v>6.5525000000000002</c:v>
                </c:pt>
                <c:pt idx="8">
                  <c:v>2.5476999999999999</c:v>
                </c:pt>
                <c:pt idx="9">
                  <c:v>3.8525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8-4F73-86E2-B93A615C7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53313296"/>
        <c:axId val="1253314256"/>
      </c:barChart>
      <c:dateAx>
        <c:axId val="125331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314256"/>
        <c:crosses val="autoZero"/>
        <c:auto val="0"/>
        <c:lblOffset val="1000"/>
        <c:baseTimeUnit val="days"/>
      </c:dateAx>
      <c:valAx>
        <c:axId val="125331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31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DCF!$A$37</c:f>
              <c:strCache>
                <c:ptCount val="1"/>
                <c:pt idx="0">
                  <c:v>Unlevered FCF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DCF!$L$13:$P$13</c:f>
              <c:strCache>
                <c:ptCount val="5"/>
                <c:pt idx="0">
                  <c:v>01/31/2025</c:v>
                </c:pt>
                <c:pt idx="1">
                  <c:v>01/31/2026</c:v>
                </c:pt>
                <c:pt idx="2">
                  <c:v>01/31/2027</c:v>
                </c:pt>
                <c:pt idx="3">
                  <c:v>01/31/2028</c:v>
                </c:pt>
                <c:pt idx="4">
                  <c:v>01/31/2029</c:v>
                </c:pt>
              </c:strCache>
            </c:strRef>
          </c:cat>
          <c:val>
            <c:numRef>
              <c:f>DCF!$L$37:$P$37</c:f>
              <c:numCache>
                <c:formatCode>#,##0.0</c:formatCode>
                <c:ptCount val="5"/>
                <c:pt idx="0">
                  <c:v>6577.8687966402049</c:v>
                </c:pt>
                <c:pt idx="1">
                  <c:v>6244.5326898862268</c:v>
                </c:pt>
                <c:pt idx="2">
                  <c:v>6528.2864556250033</c:v>
                </c:pt>
                <c:pt idx="3">
                  <c:v>6821.5220161825482</c:v>
                </c:pt>
                <c:pt idx="4">
                  <c:v>6996.8552985500428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E-4967-B8CB-3F22AC5E69C8}"/>
            </c:ext>
          </c:extLst>
        </c:ser>
        <c:ser>
          <c:idx val="1"/>
          <c:order val="1"/>
          <c:tx>
            <c:strRef>
              <c:f>DCF!$A$38</c:f>
              <c:strCache>
                <c:ptCount val="1"/>
                <c:pt idx="0">
                  <c:v>PV of UFCF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DCF!$L$13:$P$13</c:f>
              <c:strCache>
                <c:ptCount val="5"/>
                <c:pt idx="0">
                  <c:v>01/31/2025</c:v>
                </c:pt>
                <c:pt idx="1">
                  <c:v>01/31/2026</c:v>
                </c:pt>
                <c:pt idx="2">
                  <c:v>01/31/2027</c:v>
                </c:pt>
                <c:pt idx="3">
                  <c:v>01/31/2028</c:v>
                </c:pt>
                <c:pt idx="4">
                  <c:v>01/31/2029</c:v>
                </c:pt>
              </c:strCache>
            </c:strRef>
          </c:cat>
          <c:val>
            <c:numRef>
              <c:f>DCF!$L$38:$P$38</c:f>
              <c:numCache>
                <c:formatCode>#,##0.0</c:formatCode>
                <c:ptCount val="5"/>
                <c:pt idx="0">
                  <c:v>6626.3414028481084</c:v>
                </c:pt>
                <c:pt idx="1">
                  <c:v>5841.9422036181895</c:v>
                </c:pt>
                <c:pt idx="2">
                  <c:v>5630.3659808509919</c:v>
                </c:pt>
                <c:pt idx="3">
                  <c:v>5423.7394480259809</c:v>
                </c:pt>
                <c:pt idx="4">
                  <c:v>5128.6201662561225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DE-4967-B8CB-3F22AC5E6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66847"/>
        <c:axId val="383849359"/>
      </c:areaChart>
      <c:catAx>
        <c:axId val="1707066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49359"/>
        <c:crosses val="autoZero"/>
        <c:auto val="1"/>
        <c:lblAlgn val="ctr"/>
        <c:lblOffset val="100"/>
        <c:noMultiLvlLbl val="0"/>
      </c:catAx>
      <c:valAx>
        <c:axId val="38384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USD</a:t>
                </a:r>
                <a:r>
                  <a:rPr lang="en-IN" baseline="0"/>
                  <a:t> in millions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066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75399825515988"/>
          <c:y val="0.13649242560846048"/>
          <c:w val="0.21792744920439028"/>
          <c:h val="0.208310648901479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DCF!$L$24:$P$24</c:f>
              <c:numCache>
                <c:formatCode>#,##0.0</c:formatCode>
                <c:ptCount val="5"/>
                <c:pt idx="0">
                  <c:v>4421.0403999061327</c:v>
                </c:pt>
                <c:pt idx="1">
                  <c:v>4643.1284325217748</c:v>
                </c:pt>
                <c:pt idx="2">
                  <c:v>4991.5162009045116</c:v>
                </c:pt>
                <c:pt idx="3">
                  <c:v>5198.4020337959792</c:v>
                </c:pt>
                <c:pt idx="4">
                  <c:v>5599.1973765587909</c:v>
                </c:pt>
              </c:numCache>
            </c:numRef>
          </c:cat>
          <c:val>
            <c:numRef>
              <c:f>DCF!$L$15:$P$15</c:f>
              <c:numCache>
                <c:formatCode>#,##0.0</c:formatCode>
                <c:ptCount val="5"/>
                <c:pt idx="0">
                  <c:v>105668.75</c:v>
                </c:pt>
                <c:pt idx="1">
                  <c:v>108349.935</c:v>
                </c:pt>
                <c:pt idx="2">
                  <c:v>111988.375</c:v>
                </c:pt>
                <c:pt idx="3">
                  <c:v>115455.5</c:v>
                </c:pt>
                <c:pt idx="4">
                  <c:v>121359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AD-445C-B32F-F8C3258C9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364031"/>
        <c:axId val="401364991"/>
      </c:lineChart>
      <c:catAx>
        <c:axId val="401364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EBIAT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364991"/>
        <c:crosses val="autoZero"/>
        <c:auto val="1"/>
        <c:lblAlgn val="ctr"/>
        <c:lblOffset val="100"/>
        <c:noMultiLvlLbl val="0"/>
      </c:catAx>
      <c:valAx>
        <c:axId val="40136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364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1191</xdr:colOff>
      <xdr:row>2</xdr:row>
      <xdr:rowOff>177402</xdr:rowOff>
    </xdr:from>
    <xdr:to>
      <xdr:col>20</xdr:col>
      <xdr:colOff>325041</xdr:colOff>
      <xdr:row>17</xdr:row>
      <xdr:rowOff>65007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06C612-9C6E-CB08-3936-AB88C19D1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607219</xdr:colOff>
      <xdr:row>18</xdr:row>
      <xdr:rowOff>1190</xdr:rowOff>
    </xdr:from>
    <xdr:to>
      <xdr:col>20</xdr:col>
      <xdr:colOff>321469</xdr:colOff>
      <xdr:row>31</xdr:row>
      <xdr:rowOff>67865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582BA6-E145-2070-5145-8B136C7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1190</xdr:colOff>
      <xdr:row>32</xdr:row>
      <xdr:rowOff>3570</xdr:rowOff>
    </xdr:from>
    <xdr:to>
      <xdr:col>20</xdr:col>
      <xdr:colOff>322659</xdr:colOff>
      <xdr:row>49</xdr:row>
      <xdr:rowOff>130967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789DA3-58A8-1C90-D7C3-9C08582575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587498</xdr:colOff>
      <xdr:row>24</xdr:row>
      <xdr:rowOff>94562</xdr:rowOff>
    </xdr:from>
    <xdr:to>
      <xdr:col>24</xdr:col>
      <xdr:colOff>364066</xdr:colOff>
      <xdr:row>38</xdr:row>
      <xdr:rowOff>143933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255A3F-0640-5971-07EB-6DC77C8193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584200</xdr:colOff>
      <xdr:row>10</xdr:row>
      <xdr:rowOff>110068</xdr:rowOff>
    </xdr:from>
    <xdr:to>
      <xdr:col>24</xdr:col>
      <xdr:colOff>355600</xdr:colOff>
      <xdr:row>23</xdr:row>
      <xdr:rowOff>135466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4FD748-0F58-A8DC-E580-7C4D3838C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wnloads\2024.10.31-DCF-Tutorial-Part-3.xlsx" TargetMode="External"/><Relationship Id="rId1" Type="http://schemas.openxmlformats.org/officeDocument/2006/relationships/externalLinkPath" Target="file:///C:\Users\HP\Downloads\2024.10.31-DCF-Tutorial-Part-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fc5d5c8c4852779/Desktop/2024.08.13%20-%20Burger%20King%20LBO%20Stream%20-%20Part%202.xlsx" TargetMode="External"/><Relationship Id="rId1" Type="http://schemas.openxmlformats.org/officeDocument/2006/relationships/externalLinkPath" Target="/4fc5d5c8c4852779/Desktop/Models/DCF/Models/LBOs/2024.08.13%20-%20Burger%20King%20LBO%20Stream%20-%20Part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Operating Model"/>
      <sheetName val="DCF&gt;&gt;&gt;"/>
      <sheetName val="Consolidated"/>
      <sheetName val="North America"/>
      <sheetName val="International"/>
      <sheetName val="AWS"/>
      <sheetName val="WACC"/>
      <sheetName val="Shares"/>
      <sheetName val="Sheet1"/>
      <sheetName val="FS&gt;&gt;&gt;"/>
      <sheetName val="Segments"/>
      <sheetName val="IS"/>
      <sheetName val="CFS"/>
      <sheetName val="CapEx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LBO"/>
      <sheetName val="Shares"/>
    </sheetNames>
    <sheetDataSet>
      <sheetData sheetId="0"/>
      <sheetData sheetId="1">
        <row r="6">
          <cell r="E6" t="str">
            <v>OFF</v>
          </cell>
        </row>
        <row r="8">
          <cell r="E8">
            <v>2</v>
          </cell>
        </row>
      </sheetData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topLeftCell="A25" zoomScale="80" zoomScaleNormal="80" workbookViewId="0">
      <selection activeCell="K60" sqref="K60"/>
    </sheetView>
  </sheetViews>
  <sheetFormatPr defaultRowHeight="14.4" x14ac:dyDescent="0.3"/>
  <cols>
    <col min="1" max="1" width="35.109375" customWidth="1"/>
    <col min="2" max="16" width="12.5546875" customWidth="1"/>
  </cols>
  <sheetData>
    <row r="1" spans="1:17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7" ht="21" x14ac:dyDescent="0.3">
      <c r="A2" s="29" t="s">
        <v>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17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7" x14ac:dyDescent="0.3">
      <c r="A4" s="25" t="s">
        <v>4</v>
      </c>
      <c r="B4" s="26" t="s">
        <v>5</v>
      </c>
      <c r="C4" s="26" t="s">
        <v>6</v>
      </c>
      <c r="D4" s="26" t="s">
        <v>7</v>
      </c>
      <c r="E4" s="26" t="s">
        <v>8</v>
      </c>
      <c r="F4" s="26" t="s">
        <v>9</v>
      </c>
      <c r="G4" s="26" t="s">
        <v>10</v>
      </c>
      <c r="H4" s="26" t="s">
        <v>11</v>
      </c>
      <c r="I4" s="26" t="s">
        <v>12</v>
      </c>
      <c r="J4" s="26" t="s">
        <v>13</v>
      </c>
      <c r="K4" s="26" t="s">
        <v>14</v>
      </c>
      <c r="L4" s="22" t="s">
        <v>86</v>
      </c>
      <c r="M4" s="22" t="s">
        <v>87</v>
      </c>
      <c r="N4" s="22" t="s">
        <v>88</v>
      </c>
      <c r="O4" s="22" t="s">
        <v>89</v>
      </c>
      <c r="P4" s="22" t="s">
        <v>90</v>
      </c>
    </row>
    <row r="5" spans="1:17" x14ac:dyDescent="0.3">
      <c r="A5" s="30" t="s">
        <v>15</v>
      </c>
      <c r="B5" s="27" t="s">
        <v>16</v>
      </c>
      <c r="C5" s="27" t="s">
        <v>17</v>
      </c>
      <c r="D5" s="27" t="s">
        <v>18</v>
      </c>
      <c r="E5" s="27" t="s">
        <v>19</v>
      </c>
      <c r="F5" s="27" t="s">
        <v>20</v>
      </c>
      <c r="G5" s="27" t="s">
        <v>21</v>
      </c>
      <c r="H5" s="27" t="s">
        <v>22</v>
      </c>
      <c r="I5" s="27" t="s">
        <v>23</v>
      </c>
      <c r="J5" s="27" t="s">
        <v>24</v>
      </c>
      <c r="K5" s="27" t="s">
        <v>25</v>
      </c>
      <c r="L5" s="21" t="s">
        <v>91</v>
      </c>
      <c r="M5" s="21" t="s">
        <v>92</v>
      </c>
      <c r="N5" s="21" t="s">
        <v>93</v>
      </c>
      <c r="O5" s="21" t="s">
        <v>94</v>
      </c>
      <c r="P5" s="21" t="s">
        <v>95</v>
      </c>
    </row>
    <row r="6" spans="1:17" x14ac:dyDescent="0.3">
      <c r="A6" s="28" t="s">
        <v>0</v>
      </c>
      <c r="B6" s="37">
        <v>72618</v>
      </c>
      <c r="C6" s="37">
        <v>73785</v>
      </c>
      <c r="D6" s="37">
        <v>69495</v>
      </c>
      <c r="E6" s="37">
        <v>72714</v>
      </c>
      <c r="F6" s="37">
        <v>75356</v>
      </c>
      <c r="G6" s="37">
        <v>78112</v>
      </c>
      <c r="H6" s="37">
        <v>93561</v>
      </c>
      <c r="I6" s="37">
        <v>106005</v>
      </c>
      <c r="J6" s="37">
        <v>109120</v>
      </c>
      <c r="K6" s="37">
        <v>107412</v>
      </c>
      <c r="L6" s="20">
        <v>105668.75</v>
      </c>
      <c r="M6" s="20">
        <v>108349.935</v>
      </c>
      <c r="N6" s="20">
        <v>111988.375</v>
      </c>
      <c r="O6" s="20">
        <v>115455.5</v>
      </c>
      <c r="P6" s="20">
        <v>121359</v>
      </c>
    </row>
    <row r="7" spans="1:17" x14ac:dyDescent="0.3">
      <c r="A7" s="31" t="s">
        <v>26</v>
      </c>
      <c r="B7" s="34">
        <v>72618</v>
      </c>
      <c r="C7" s="34">
        <v>73785</v>
      </c>
      <c r="D7" s="34">
        <v>69495</v>
      </c>
      <c r="E7" s="34">
        <v>71786</v>
      </c>
      <c r="F7" s="34">
        <v>74433</v>
      </c>
      <c r="G7" s="34">
        <v>77130</v>
      </c>
      <c r="H7" s="34">
        <v>92400</v>
      </c>
      <c r="I7" s="34">
        <v>104611</v>
      </c>
      <c r="J7" s="34">
        <v>107588</v>
      </c>
      <c r="K7" s="34">
        <v>105803</v>
      </c>
      <c r="L7" s="19"/>
      <c r="M7" s="19"/>
      <c r="N7" s="19"/>
      <c r="O7" s="19"/>
      <c r="P7" s="19"/>
    </row>
    <row r="8" spans="1:17" x14ac:dyDescent="0.3">
      <c r="A8" s="31" t="s">
        <v>27</v>
      </c>
      <c r="B8" s="34" t="s">
        <v>85</v>
      </c>
      <c r="C8" s="34" t="s">
        <v>85</v>
      </c>
      <c r="D8" s="34" t="s">
        <v>85</v>
      </c>
      <c r="E8" s="34">
        <v>928</v>
      </c>
      <c r="F8" s="34">
        <v>923</v>
      </c>
      <c r="G8" s="34">
        <v>982</v>
      </c>
      <c r="H8" s="34">
        <v>1161</v>
      </c>
      <c r="I8" s="34">
        <v>1394</v>
      </c>
      <c r="J8" s="34">
        <v>1532</v>
      </c>
      <c r="K8" s="34">
        <v>1609</v>
      </c>
      <c r="L8" s="19"/>
      <c r="M8" s="19"/>
      <c r="N8" s="19"/>
      <c r="O8" s="19"/>
      <c r="P8" s="19"/>
    </row>
    <row r="9" spans="1:17" x14ac:dyDescent="0.3">
      <c r="A9" s="31" t="s">
        <v>28</v>
      </c>
      <c r="B9" s="34">
        <v>51278</v>
      </c>
      <c r="C9" s="34">
        <v>52241</v>
      </c>
      <c r="D9" s="34">
        <v>49145</v>
      </c>
      <c r="E9" s="34">
        <v>51125</v>
      </c>
      <c r="F9" s="34">
        <v>53299</v>
      </c>
      <c r="G9" s="34">
        <v>54864</v>
      </c>
      <c r="H9" s="34">
        <v>66177</v>
      </c>
      <c r="I9" s="34">
        <v>74963</v>
      </c>
      <c r="J9" s="34">
        <v>82229</v>
      </c>
      <c r="K9" s="34">
        <v>77736</v>
      </c>
      <c r="L9" s="19"/>
      <c r="M9" s="19"/>
      <c r="N9" s="19"/>
      <c r="O9" s="19"/>
      <c r="P9" s="19"/>
    </row>
    <row r="10" spans="1:17" x14ac:dyDescent="0.3">
      <c r="A10" s="31" t="s">
        <v>29</v>
      </c>
      <c r="B10" s="34">
        <v>51278</v>
      </c>
      <c r="C10" s="34">
        <v>52241</v>
      </c>
      <c r="D10" s="34">
        <v>49145</v>
      </c>
      <c r="E10" s="34">
        <v>51125</v>
      </c>
      <c r="F10" s="34">
        <v>53299</v>
      </c>
      <c r="G10" s="34">
        <v>54864</v>
      </c>
      <c r="H10" s="34">
        <v>66177</v>
      </c>
      <c r="I10" s="34">
        <v>74963</v>
      </c>
      <c r="J10" s="34">
        <v>82229</v>
      </c>
      <c r="K10" s="34">
        <v>77736</v>
      </c>
      <c r="L10" s="19"/>
      <c r="M10" s="19"/>
      <c r="N10" s="19"/>
      <c r="O10" s="19"/>
      <c r="P10" s="19"/>
      <c r="Q10" s="67"/>
    </row>
    <row r="11" spans="1:17" x14ac:dyDescent="0.3">
      <c r="A11" s="28" t="s">
        <v>1</v>
      </c>
      <c r="B11" s="37">
        <v>21340</v>
      </c>
      <c r="C11" s="37">
        <v>21544</v>
      </c>
      <c r="D11" s="37">
        <v>20350</v>
      </c>
      <c r="E11" s="37">
        <v>21589</v>
      </c>
      <c r="F11" s="37">
        <v>22057</v>
      </c>
      <c r="G11" s="37">
        <v>23248</v>
      </c>
      <c r="H11" s="37">
        <v>27384</v>
      </c>
      <c r="I11" s="37">
        <v>31042</v>
      </c>
      <c r="J11" s="37">
        <v>26891</v>
      </c>
      <c r="K11" s="37">
        <v>29676</v>
      </c>
      <c r="L11" s="20">
        <v>28981.768062499999</v>
      </c>
      <c r="M11" s="20">
        <v>29930.586044399999</v>
      </c>
      <c r="N11" s="20">
        <v>31118.20976125</v>
      </c>
      <c r="O11" s="20">
        <v>31625.57056</v>
      </c>
      <c r="P11" s="20">
        <v>33365.229870000003</v>
      </c>
    </row>
    <row r="12" spans="1:17" x14ac:dyDescent="0.3">
      <c r="A12" s="31" t="s">
        <v>30</v>
      </c>
      <c r="B12" s="34">
        <v>0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19"/>
      <c r="M12" s="19"/>
      <c r="N12" s="19"/>
      <c r="O12" s="19"/>
      <c r="P12" s="19"/>
    </row>
    <row r="13" spans="1:17" x14ac:dyDescent="0.3">
      <c r="A13" s="31" t="s">
        <v>31</v>
      </c>
      <c r="B13" s="34">
        <v>16805</v>
      </c>
      <c r="C13" s="34">
        <v>16014</v>
      </c>
      <c r="D13" s="34">
        <v>15381</v>
      </c>
      <c r="E13" s="34">
        <v>17365</v>
      </c>
      <c r="F13" s="34">
        <v>17947</v>
      </c>
      <c r="G13" s="34">
        <v>18590</v>
      </c>
      <c r="H13" s="34">
        <v>20845</v>
      </c>
      <c r="I13" s="34">
        <v>22096</v>
      </c>
      <c r="J13" s="34">
        <v>23043</v>
      </c>
      <c r="K13" s="34">
        <v>23969</v>
      </c>
      <c r="L13" s="19"/>
      <c r="M13" s="19"/>
      <c r="N13" s="19"/>
      <c r="O13" s="19"/>
      <c r="P13" s="19"/>
    </row>
    <row r="14" spans="1:17" x14ac:dyDescent="0.3">
      <c r="A14" s="31" t="s">
        <v>32</v>
      </c>
      <c r="B14" s="34">
        <v>14676</v>
      </c>
      <c r="C14" s="34">
        <v>14665</v>
      </c>
      <c r="D14" s="34">
        <v>13356</v>
      </c>
      <c r="E14" s="34">
        <v>15140</v>
      </c>
      <c r="F14" s="34">
        <v>15723</v>
      </c>
      <c r="G14" s="34">
        <v>16233</v>
      </c>
      <c r="H14" s="34">
        <v>18615</v>
      </c>
      <c r="I14" s="34">
        <v>19752</v>
      </c>
      <c r="J14" s="34">
        <v>20658</v>
      </c>
      <c r="K14" s="34">
        <v>21554</v>
      </c>
      <c r="L14" s="19"/>
      <c r="M14" s="19"/>
      <c r="N14" s="19"/>
      <c r="O14" s="19"/>
      <c r="P14" s="19"/>
    </row>
    <row r="15" spans="1:17" x14ac:dyDescent="0.3">
      <c r="A15" s="31" t="s">
        <v>33</v>
      </c>
      <c r="B15" s="34">
        <v>0</v>
      </c>
      <c r="C15" s="34">
        <v>0</v>
      </c>
      <c r="D15" s="34">
        <v>0</v>
      </c>
      <c r="E15" s="34">
        <v>0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19"/>
      <c r="M15" s="19"/>
      <c r="N15" s="19"/>
      <c r="O15" s="19"/>
      <c r="P15" s="19"/>
    </row>
    <row r="16" spans="1:17" x14ac:dyDescent="0.3">
      <c r="A16" s="31" t="s">
        <v>34</v>
      </c>
      <c r="B16" s="34">
        <v>2129</v>
      </c>
      <c r="C16" s="34">
        <v>1969</v>
      </c>
      <c r="D16" s="34">
        <v>2025</v>
      </c>
      <c r="E16" s="34">
        <v>2225</v>
      </c>
      <c r="F16" s="34">
        <v>2224</v>
      </c>
      <c r="G16" s="34">
        <v>2357</v>
      </c>
      <c r="H16" s="34">
        <v>2230</v>
      </c>
      <c r="I16" s="34">
        <v>2344</v>
      </c>
      <c r="J16" s="34">
        <v>2385</v>
      </c>
      <c r="K16" s="34">
        <v>2415</v>
      </c>
      <c r="L16" s="19"/>
      <c r="M16" s="19"/>
      <c r="N16" s="19"/>
      <c r="O16" s="19"/>
      <c r="P16" s="19"/>
    </row>
    <row r="17" spans="1:16" x14ac:dyDescent="0.3">
      <c r="A17" s="31" t="s">
        <v>35</v>
      </c>
      <c r="B17" s="34">
        <v>0</v>
      </c>
      <c r="C17" s="34">
        <v>-620</v>
      </c>
      <c r="D17" s="34">
        <v>0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19"/>
      <c r="M17" s="19"/>
      <c r="N17" s="19"/>
      <c r="O17" s="19"/>
      <c r="P17" s="19"/>
    </row>
    <row r="18" spans="1:16" x14ac:dyDescent="0.3">
      <c r="A18" s="28" t="s">
        <v>36</v>
      </c>
      <c r="B18" s="37">
        <v>4535</v>
      </c>
      <c r="C18" s="37">
        <v>5530</v>
      </c>
      <c r="D18" s="37">
        <v>4969</v>
      </c>
      <c r="E18" s="37">
        <v>4224</v>
      </c>
      <c r="F18" s="37">
        <v>4110</v>
      </c>
      <c r="G18" s="37">
        <v>4658</v>
      </c>
      <c r="H18" s="37">
        <v>6539</v>
      </c>
      <c r="I18" s="37">
        <v>8946</v>
      </c>
      <c r="J18" s="37">
        <v>3848</v>
      </c>
      <c r="K18" s="37">
        <v>5707</v>
      </c>
      <c r="L18" s="20">
        <v>5518.6760000000004</v>
      </c>
      <c r="M18" s="20">
        <v>5778.9709999999995</v>
      </c>
      <c r="N18" s="20">
        <v>6219.8890000000001</v>
      </c>
      <c r="O18" s="20">
        <v>6452.857</v>
      </c>
      <c r="P18" s="20">
        <v>6984</v>
      </c>
    </row>
    <row r="19" spans="1:16" x14ac:dyDescent="0.3">
      <c r="A19" s="31" t="s">
        <v>37</v>
      </c>
      <c r="B19" s="34">
        <v>882</v>
      </c>
      <c r="C19" s="34">
        <v>607</v>
      </c>
      <c r="D19" s="34">
        <v>1004</v>
      </c>
      <c r="E19" s="34">
        <v>594</v>
      </c>
      <c r="F19" s="34">
        <v>434</v>
      </c>
      <c r="G19" s="34">
        <v>468</v>
      </c>
      <c r="H19" s="34">
        <v>993</v>
      </c>
      <c r="I19" s="34">
        <v>39</v>
      </c>
      <c r="J19" s="34">
        <v>430</v>
      </c>
      <c r="K19" s="34">
        <v>410</v>
      </c>
      <c r="L19" s="19"/>
      <c r="M19" s="19"/>
      <c r="N19" s="19"/>
      <c r="O19" s="19"/>
      <c r="P19" s="19"/>
    </row>
    <row r="20" spans="1:16" x14ac:dyDescent="0.3">
      <c r="A20" s="31" t="s">
        <v>38</v>
      </c>
      <c r="B20" s="34">
        <v>882</v>
      </c>
      <c r="C20" s="34">
        <v>607</v>
      </c>
      <c r="D20" s="34">
        <v>1004</v>
      </c>
      <c r="E20" s="34">
        <v>653</v>
      </c>
      <c r="F20" s="34">
        <v>461</v>
      </c>
      <c r="G20" s="34">
        <v>477</v>
      </c>
      <c r="H20" s="34">
        <v>977</v>
      </c>
      <c r="I20" s="34">
        <v>421</v>
      </c>
      <c r="J20" s="34">
        <v>478</v>
      </c>
      <c r="K20" s="34">
        <v>502</v>
      </c>
      <c r="L20" s="19"/>
      <c r="M20" s="19"/>
      <c r="N20" s="19"/>
      <c r="O20" s="19"/>
      <c r="P20" s="19"/>
    </row>
    <row r="21" spans="1:16" x14ac:dyDescent="0.3">
      <c r="A21" s="32" t="s">
        <v>39</v>
      </c>
      <c r="B21" s="39">
        <v>882</v>
      </c>
      <c r="C21" s="39">
        <v>607</v>
      </c>
      <c r="D21" s="39">
        <v>1004</v>
      </c>
      <c r="E21" s="39">
        <v>653</v>
      </c>
      <c r="F21" s="39">
        <v>461</v>
      </c>
      <c r="G21" s="39">
        <v>477</v>
      </c>
      <c r="H21" s="39">
        <v>977</v>
      </c>
      <c r="I21" s="39">
        <v>421</v>
      </c>
      <c r="J21" s="39">
        <v>478</v>
      </c>
      <c r="K21" s="39">
        <v>502</v>
      </c>
      <c r="L21" s="18"/>
      <c r="M21" s="18"/>
      <c r="N21" s="18"/>
      <c r="O21" s="18"/>
      <c r="P21" s="18"/>
    </row>
    <row r="22" spans="1:16" x14ac:dyDescent="0.3">
      <c r="A22" s="32" t="s">
        <v>40</v>
      </c>
      <c r="B22" s="39">
        <v>0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18"/>
      <c r="M22" s="18"/>
      <c r="N22" s="18"/>
      <c r="O22" s="18"/>
      <c r="P22" s="18"/>
    </row>
    <row r="23" spans="1:16" x14ac:dyDescent="0.3">
      <c r="A23" s="31" t="s">
        <v>41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19"/>
      <c r="M23" s="19"/>
      <c r="N23" s="19"/>
      <c r="O23" s="19"/>
      <c r="P23" s="19"/>
    </row>
    <row r="24" spans="1:16" x14ac:dyDescent="0.3">
      <c r="A24" s="31" t="s">
        <v>42</v>
      </c>
      <c r="B24" s="34">
        <v>0</v>
      </c>
      <c r="C24" s="34" t="s">
        <v>85</v>
      </c>
      <c r="D24" s="34" t="s">
        <v>85</v>
      </c>
      <c r="E24" s="34" t="s">
        <v>85</v>
      </c>
      <c r="F24" s="34" t="s">
        <v>85</v>
      </c>
      <c r="G24" s="34" t="s">
        <v>85</v>
      </c>
      <c r="H24" s="34" t="s">
        <v>85</v>
      </c>
      <c r="I24" s="34" t="s">
        <v>85</v>
      </c>
      <c r="J24" s="34" t="s">
        <v>85</v>
      </c>
      <c r="K24" s="34" t="s">
        <v>85</v>
      </c>
      <c r="L24" s="19"/>
      <c r="M24" s="19"/>
      <c r="N24" s="19"/>
      <c r="O24" s="19"/>
      <c r="P24" s="19"/>
    </row>
    <row r="25" spans="1:16" x14ac:dyDescent="0.3">
      <c r="A25" s="31" t="s">
        <v>43</v>
      </c>
      <c r="B25" s="34">
        <v>0</v>
      </c>
      <c r="C25" s="34">
        <v>0</v>
      </c>
      <c r="D25" s="34">
        <v>0</v>
      </c>
      <c r="E25" s="34">
        <v>-59</v>
      </c>
      <c r="F25" s="34">
        <v>-27</v>
      </c>
      <c r="G25" s="34">
        <v>-9</v>
      </c>
      <c r="H25" s="34">
        <v>16</v>
      </c>
      <c r="I25" s="34">
        <v>-382</v>
      </c>
      <c r="J25" s="34">
        <v>-48</v>
      </c>
      <c r="K25" s="34">
        <v>-92</v>
      </c>
      <c r="L25" s="19"/>
      <c r="M25" s="19"/>
      <c r="N25" s="19"/>
      <c r="O25" s="19"/>
      <c r="P25" s="19"/>
    </row>
    <row r="26" spans="1:16" x14ac:dyDescent="0.3">
      <c r="A26" s="28" t="s">
        <v>44</v>
      </c>
      <c r="B26" s="37">
        <v>3653</v>
      </c>
      <c r="C26" s="37">
        <v>4923</v>
      </c>
      <c r="D26" s="37">
        <v>3965</v>
      </c>
      <c r="E26" s="37">
        <v>3630</v>
      </c>
      <c r="F26" s="37">
        <v>3676</v>
      </c>
      <c r="G26" s="37">
        <v>4190</v>
      </c>
      <c r="H26" s="37">
        <v>5546</v>
      </c>
      <c r="I26" s="37">
        <v>8907</v>
      </c>
      <c r="J26" s="37">
        <v>3418</v>
      </c>
      <c r="K26" s="37">
        <v>5297</v>
      </c>
      <c r="L26" s="20">
        <v>5188.0969999999998</v>
      </c>
      <c r="M26" s="20">
        <v>5426.9030000000002</v>
      </c>
      <c r="N26" s="20">
        <v>5869</v>
      </c>
      <c r="O26" s="20">
        <v>6056.5</v>
      </c>
      <c r="P26" s="20">
        <v>6556.25</v>
      </c>
    </row>
    <row r="27" spans="1:16" x14ac:dyDescent="0.3">
      <c r="A27" s="31" t="s">
        <v>45</v>
      </c>
      <c r="B27" s="34">
        <v>1204</v>
      </c>
      <c r="C27" s="34">
        <v>1602</v>
      </c>
      <c r="D27" s="34">
        <v>1296</v>
      </c>
      <c r="E27" s="34">
        <v>722</v>
      </c>
      <c r="F27" s="34">
        <v>746</v>
      </c>
      <c r="G27" s="34">
        <v>921</v>
      </c>
      <c r="H27" s="34">
        <v>1178</v>
      </c>
      <c r="I27" s="34">
        <v>1961</v>
      </c>
      <c r="J27" s="34">
        <v>638</v>
      </c>
      <c r="K27" s="34">
        <v>1159</v>
      </c>
      <c r="L27" s="19"/>
      <c r="M27" s="19"/>
      <c r="N27" s="19"/>
      <c r="O27" s="19"/>
      <c r="P27" s="19"/>
    </row>
    <row r="28" spans="1:16" x14ac:dyDescent="0.3">
      <c r="A28" s="31" t="s">
        <v>46</v>
      </c>
      <c r="B28" s="34">
        <v>1197</v>
      </c>
      <c r="C28" s="34">
        <v>1924</v>
      </c>
      <c r="D28" s="34">
        <v>1255</v>
      </c>
      <c r="E28" s="34">
        <v>910</v>
      </c>
      <c r="F28" s="34">
        <v>424</v>
      </c>
      <c r="G28" s="34">
        <v>743</v>
      </c>
      <c r="H28" s="34">
        <v>1362</v>
      </c>
      <c r="I28" s="34">
        <v>1439</v>
      </c>
      <c r="J28" s="34">
        <v>56</v>
      </c>
      <c r="K28" s="34">
        <v>861</v>
      </c>
      <c r="L28" s="19"/>
      <c r="M28" s="19"/>
      <c r="N28" s="19"/>
      <c r="O28" s="19"/>
      <c r="P28" s="19"/>
    </row>
    <row r="29" spans="1:16" x14ac:dyDescent="0.3">
      <c r="A29" s="31" t="s">
        <v>47</v>
      </c>
      <c r="B29" s="34">
        <v>7</v>
      </c>
      <c r="C29" s="34">
        <v>-322</v>
      </c>
      <c r="D29" s="34">
        <v>41</v>
      </c>
      <c r="E29" s="34">
        <v>-188</v>
      </c>
      <c r="F29" s="34">
        <v>322</v>
      </c>
      <c r="G29" s="34">
        <v>178</v>
      </c>
      <c r="H29" s="34">
        <v>-184</v>
      </c>
      <c r="I29" s="34">
        <v>522</v>
      </c>
      <c r="J29" s="34">
        <v>582</v>
      </c>
      <c r="K29" s="34">
        <v>298</v>
      </c>
      <c r="L29" s="19"/>
      <c r="M29" s="19"/>
      <c r="N29" s="19"/>
      <c r="O29" s="19"/>
      <c r="P29" s="19"/>
    </row>
    <row r="30" spans="1:16" x14ac:dyDescent="0.3">
      <c r="A30" s="31" t="s">
        <v>48</v>
      </c>
      <c r="B30" s="34" t="s">
        <v>85</v>
      </c>
      <c r="C30" s="34" t="s">
        <v>85</v>
      </c>
      <c r="D30" s="34" t="s">
        <v>85</v>
      </c>
      <c r="E30" s="34" t="s">
        <v>85</v>
      </c>
      <c r="F30" s="34" t="s">
        <v>85</v>
      </c>
      <c r="G30" s="34" t="s">
        <v>85</v>
      </c>
      <c r="H30" s="34" t="s">
        <v>85</v>
      </c>
      <c r="I30" s="34" t="s">
        <v>85</v>
      </c>
      <c r="J30" s="34" t="s">
        <v>85</v>
      </c>
      <c r="K30" s="34" t="s">
        <v>85</v>
      </c>
      <c r="L30" s="19"/>
      <c r="M30" s="19"/>
      <c r="N30" s="19"/>
      <c r="O30" s="19"/>
      <c r="P30" s="19"/>
    </row>
    <row r="31" spans="1:16" x14ac:dyDescent="0.3">
      <c r="A31" s="28" t="s">
        <v>49</v>
      </c>
      <c r="B31" s="37">
        <v>2449</v>
      </c>
      <c r="C31" s="37">
        <v>3321</v>
      </c>
      <c r="D31" s="37">
        <v>2669</v>
      </c>
      <c r="E31" s="37">
        <v>2908</v>
      </c>
      <c r="F31" s="37">
        <v>2930</v>
      </c>
      <c r="G31" s="37">
        <v>3269</v>
      </c>
      <c r="H31" s="37">
        <v>4368</v>
      </c>
      <c r="I31" s="37">
        <v>6946</v>
      </c>
      <c r="J31" s="37">
        <v>2780</v>
      </c>
      <c r="K31" s="37">
        <v>4138</v>
      </c>
      <c r="L31" s="20">
        <v>4031.8519999999999</v>
      </c>
      <c r="M31" s="20">
        <v>4224.5770000000002</v>
      </c>
      <c r="N31" s="20">
        <v>4540.6840000000002</v>
      </c>
      <c r="O31" s="20">
        <v>4808.143</v>
      </c>
      <c r="P31" s="20">
        <v>5088.5</v>
      </c>
    </row>
    <row r="32" spans="1:16" x14ac:dyDescent="0.3">
      <c r="A32" s="31" t="s">
        <v>50</v>
      </c>
      <c r="B32" s="34">
        <v>4085</v>
      </c>
      <c r="C32" s="34">
        <v>-42</v>
      </c>
      <c r="D32" s="34">
        <v>-68</v>
      </c>
      <c r="E32" s="34">
        <v>-6</v>
      </c>
      <c r="F32" s="34">
        <v>-7</v>
      </c>
      <c r="G32" s="34">
        <v>-12</v>
      </c>
      <c r="H32" s="34">
        <v>0</v>
      </c>
      <c r="I32" s="34">
        <v>0</v>
      </c>
      <c r="J32" s="34">
        <v>0</v>
      </c>
      <c r="K32" s="34">
        <v>0</v>
      </c>
      <c r="L32" s="19"/>
      <c r="M32" s="19"/>
      <c r="N32" s="19"/>
      <c r="O32" s="19"/>
      <c r="P32" s="19"/>
    </row>
    <row r="33" spans="1:16" x14ac:dyDescent="0.3">
      <c r="A33" s="31" t="s">
        <v>51</v>
      </c>
      <c r="B33" s="34">
        <v>4085</v>
      </c>
      <c r="C33" s="34">
        <v>-42</v>
      </c>
      <c r="D33" s="34">
        <v>-68</v>
      </c>
      <c r="E33" s="34">
        <v>-6</v>
      </c>
      <c r="F33" s="34">
        <v>-7</v>
      </c>
      <c r="G33" s="34">
        <v>-12</v>
      </c>
      <c r="H33" s="34">
        <v>0</v>
      </c>
      <c r="I33" s="34">
        <v>0</v>
      </c>
      <c r="J33" s="34">
        <v>0</v>
      </c>
      <c r="K33" s="34">
        <v>0</v>
      </c>
      <c r="L33" s="19"/>
      <c r="M33" s="19"/>
      <c r="N33" s="19"/>
      <c r="O33" s="19"/>
      <c r="P33" s="19"/>
    </row>
    <row r="34" spans="1:16" x14ac:dyDescent="0.3">
      <c r="A34" s="31" t="s">
        <v>52</v>
      </c>
      <c r="B34" s="34">
        <v>0</v>
      </c>
      <c r="C34" s="34">
        <v>0</v>
      </c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19"/>
      <c r="M34" s="19"/>
      <c r="N34" s="19"/>
      <c r="O34" s="19"/>
      <c r="P34" s="19"/>
    </row>
    <row r="35" spans="1:16" x14ac:dyDescent="0.3">
      <c r="A35" s="28" t="s">
        <v>53</v>
      </c>
      <c r="B35" s="37">
        <v>-1636</v>
      </c>
      <c r="C35" s="37">
        <v>3363</v>
      </c>
      <c r="D35" s="37">
        <v>2737</v>
      </c>
      <c r="E35" s="37">
        <v>2914</v>
      </c>
      <c r="F35" s="37">
        <v>2937</v>
      </c>
      <c r="G35" s="37">
        <v>3281</v>
      </c>
      <c r="H35" s="37">
        <v>4368</v>
      </c>
      <c r="I35" s="37">
        <v>6946</v>
      </c>
      <c r="J35" s="37">
        <v>2780</v>
      </c>
      <c r="K35" s="37">
        <v>4138</v>
      </c>
      <c r="L35" s="20"/>
      <c r="M35" s="20"/>
      <c r="N35" s="20"/>
      <c r="O35" s="20"/>
      <c r="P35" s="20"/>
    </row>
    <row r="36" spans="1:16" x14ac:dyDescent="0.3">
      <c r="A36" s="31" t="s">
        <v>54</v>
      </c>
      <c r="B36" s="34">
        <v>0</v>
      </c>
      <c r="C36" s="34">
        <v>0</v>
      </c>
      <c r="D36" s="34">
        <v>0</v>
      </c>
      <c r="E36" s="34">
        <v>0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19"/>
      <c r="M36" s="19"/>
      <c r="N36" s="19"/>
      <c r="O36" s="19"/>
      <c r="P36" s="19"/>
    </row>
    <row r="37" spans="1:16" x14ac:dyDescent="0.3">
      <c r="A37" s="28" t="s">
        <v>55</v>
      </c>
      <c r="B37" s="37">
        <v>-1636</v>
      </c>
      <c r="C37" s="37">
        <v>3363</v>
      </c>
      <c r="D37" s="37">
        <v>2737</v>
      </c>
      <c r="E37" s="37">
        <v>2914</v>
      </c>
      <c r="F37" s="37">
        <v>2937</v>
      </c>
      <c r="G37" s="37">
        <v>3281</v>
      </c>
      <c r="H37" s="37">
        <v>4368</v>
      </c>
      <c r="I37" s="37">
        <v>6946</v>
      </c>
      <c r="J37" s="37">
        <v>2780</v>
      </c>
      <c r="K37" s="37">
        <v>4138</v>
      </c>
      <c r="L37" s="20">
        <v>4031.8519999999999</v>
      </c>
      <c r="M37" s="20">
        <v>4224.5770000000002</v>
      </c>
      <c r="N37" s="20">
        <v>4540.6840000000002</v>
      </c>
      <c r="O37" s="20">
        <v>4808.143</v>
      </c>
      <c r="P37" s="20">
        <v>5088.5</v>
      </c>
    </row>
    <row r="38" spans="1:16" x14ac:dyDescent="0.3">
      <c r="A38" s="31" t="s">
        <v>56</v>
      </c>
      <c r="B38" s="34">
        <v>0</v>
      </c>
      <c r="C38" s="34">
        <v>0</v>
      </c>
      <c r="D38" s="34">
        <v>0</v>
      </c>
      <c r="E38" s="34">
        <v>0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19"/>
      <c r="M38" s="19"/>
      <c r="N38" s="19"/>
      <c r="O38" s="19"/>
      <c r="P38" s="19"/>
    </row>
    <row r="39" spans="1:16" x14ac:dyDescent="0.3">
      <c r="A39" s="31" t="s">
        <v>57</v>
      </c>
      <c r="B39" s="34">
        <v>0</v>
      </c>
      <c r="C39" s="34">
        <v>0</v>
      </c>
      <c r="D39" s="34">
        <v>0</v>
      </c>
      <c r="E39" s="34">
        <v>0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19"/>
      <c r="M39" s="19"/>
      <c r="N39" s="19"/>
      <c r="O39" s="19"/>
      <c r="P39" s="19"/>
    </row>
    <row r="40" spans="1:16" x14ac:dyDescent="0.3">
      <c r="A40" s="28" t="s">
        <v>58</v>
      </c>
      <c r="B40" s="37">
        <v>-1636</v>
      </c>
      <c r="C40" s="37">
        <v>3363</v>
      </c>
      <c r="D40" s="37">
        <v>2737</v>
      </c>
      <c r="E40" s="37">
        <v>2914</v>
      </c>
      <c r="F40" s="37">
        <v>2937</v>
      </c>
      <c r="G40" s="37">
        <v>3281</v>
      </c>
      <c r="H40" s="37">
        <v>4368</v>
      </c>
      <c r="I40" s="37">
        <v>6946</v>
      </c>
      <c r="J40" s="37">
        <v>2780</v>
      </c>
      <c r="K40" s="37">
        <v>4138</v>
      </c>
      <c r="L40" s="20">
        <v>4031.8519999999999</v>
      </c>
      <c r="M40" s="20">
        <v>4224.5770000000002</v>
      </c>
      <c r="N40" s="20">
        <v>4540.6840000000002</v>
      </c>
      <c r="O40" s="20">
        <v>4808.143</v>
      </c>
      <c r="P40" s="20">
        <v>5088.5</v>
      </c>
    </row>
    <row r="41" spans="1:16" x14ac:dyDescent="0.3">
      <c r="A41" s="28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17"/>
      <c r="M41" s="17"/>
      <c r="N41" s="17"/>
      <c r="O41" s="17"/>
      <c r="P41" s="17"/>
    </row>
    <row r="42" spans="1:16" x14ac:dyDescent="0.3">
      <c r="A42" s="28" t="s">
        <v>59</v>
      </c>
      <c r="B42" s="37">
        <v>2699</v>
      </c>
      <c r="C42" s="37">
        <v>2970</v>
      </c>
      <c r="D42" s="37">
        <v>2914.4</v>
      </c>
      <c r="E42" s="37">
        <v>2580</v>
      </c>
      <c r="F42" s="37">
        <v>2876.68</v>
      </c>
      <c r="G42" s="37">
        <v>3295</v>
      </c>
      <c r="H42" s="37">
        <v>4760</v>
      </c>
      <c r="I42" s="37">
        <v>6684</v>
      </c>
      <c r="J42" s="37">
        <v>2847.14</v>
      </c>
      <c r="K42" s="37">
        <v>4218.58</v>
      </c>
      <c r="L42" s="20">
        <v>4021.3139999999999</v>
      </c>
      <c r="M42" s="20">
        <v>4202.4709999999995</v>
      </c>
      <c r="N42" s="20">
        <v>4519.8850000000002</v>
      </c>
      <c r="O42" s="20">
        <v>4808.143</v>
      </c>
      <c r="P42" s="20">
        <v>5088.5</v>
      </c>
    </row>
    <row r="43" spans="1:16" x14ac:dyDescent="0.3">
      <c r="A43" s="31" t="s">
        <v>60</v>
      </c>
      <c r="B43" s="34">
        <v>250</v>
      </c>
      <c r="C43" s="34">
        <v>-351</v>
      </c>
      <c r="D43" s="34">
        <v>245.4</v>
      </c>
      <c r="E43" s="34">
        <v>-328</v>
      </c>
      <c r="F43" s="34">
        <v>-53.32</v>
      </c>
      <c r="G43" s="34">
        <v>26</v>
      </c>
      <c r="H43" s="34">
        <v>392</v>
      </c>
      <c r="I43" s="34">
        <v>-262</v>
      </c>
      <c r="J43" s="34">
        <v>67.14</v>
      </c>
      <c r="K43" s="34">
        <v>80.58</v>
      </c>
      <c r="L43" s="19"/>
      <c r="M43" s="19"/>
      <c r="N43" s="19"/>
      <c r="O43" s="19"/>
      <c r="P43" s="19"/>
    </row>
    <row r="44" spans="1:16" x14ac:dyDescent="0.3">
      <c r="A44" s="31" t="s">
        <v>61</v>
      </c>
      <c r="B44" s="34">
        <v>4085</v>
      </c>
      <c r="C44" s="34">
        <v>-42</v>
      </c>
      <c r="D44" s="34">
        <v>-68</v>
      </c>
      <c r="E44" s="34">
        <v>-6</v>
      </c>
      <c r="F44" s="34">
        <v>-7</v>
      </c>
      <c r="G44" s="34">
        <v>-12</v>
      </c>
      <c r="H44" s="34">
        <v>0</v>
      </c>
      <c r="I44" s="34">
        <v>0</v>
      </c>
      <c r="J44" s="34">
        <v>0</v>
      </c>
      <c r="K44" s="34">
        <v>0</v>
      </c>
      <c r="L44" s="19"/>
      <c r="M44" s="19"/>
      <c r="N44" s="19"/>
      <c r="O44" s="19"/>
      <c r="P44" s="19"/>
    </row>
    <row r="45" spans="1:16" x14ac:dyDescent="0.3">
      <c r="A45" s="28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17"/>
      <c r="M45" s="17"/>
      <c r="N45" s="17"/>
      <c r="O45" s="17"/>
      <c r="P45" s="17"/>
    </row>
    <row r="46" spans="1:16" x14ac:dyDescent="0.3">
      <c r="A46" s="31" t="s">
        <v>62</v>
      </c>
      <c r="B46" s="34">
        <v>634.70000000000005</v>
      </c>
      <c r="C46" s="34">
        <v>627.70000000000005</v>
      </c>
      <c r="D46" s="34">
        <v>577.6</v>
      </c>
      <c r="E46" s="34">
        <v>546.79999999999995</v>
      </c>
      <c r="F46" s="34">
        <v>528.6</v>
      </c>
      <c r="G46" s="34">
        <v>510.9</v>
      </c>
      <c r="H46" s="34">
        <v>500.6</v>
      </c>
      <c r="I46" s="34">
        <v>488.1</v>
      </c>
      <c r="J46" s="34">
        <v>462.1</v>
      </c>
      <c r="K46" s="34">
        <v>461.5</v>
      </c>
      <c r="L46" s="19"/>
      <c r="M46" s="19"/>
      <c r="N46" s="19"/>
      <c r="O46" s="19"/>
      <c r="P46" s="19"/>
    </row>
    <row r="47" spans="1:16" x14ac:dyDescent="0.3">
      <c r="A47" s="28" t="s">
        <v>63</v>
      </c>
      <c r="B47" s="38">
        <v>-2.58</v>
      </c>
      <c r="C47" s="38">
        <v>5.35</v>
      </c>
      <c r="D47" s="38">
        <v>4.74</v>
      </c>
      <c r="E47" s="38">
        <v>5.32</v>
      </c>
      <c r="F47" s="38">
        <v>5.55</v>
      </c>
      <c r="G47" s="38">
        <v>6.42</v>
      </c>
      <c r="H47" s="38">
        <v>8.7200000000000006</v>
      </c>
      <c r="I47" s="38">
        <v>14.23</v>
      </c>
      <c r="J47" s="38">
        <v>6.02</v>
      </c>
      <c r="K47" s="38">
        <v>8.9600000000000009</v>
      </c>
      <c r="L47" s="16">
        <v>8.6690000000000005</v>
      </c>
      <c r="M47" s="16">
        <v>9.2189999999999994</v>
      </c>
      <c r="N47" s="16">
        <v>10.007999999999999</v>
      </c>
      <c r="O47" s="16">
        <v>10.634</v>
      </c>
      <c r="P47" s="16">
        <v>11.41</v>
      </c>
    </row>
    <row r="48" spans="1:16" x14ac:dyDescent="0.3">
      <c r="A48" s="28" t="s">
        <v>64</v>
      </c>
      <c r="B48" s="38">
        <v>3.86</v>
      </c>
      <c r="C48" s="38">
        <v>5.29</v>
      </c>
      <c r="D48" s="38">
        <v>4.62</v>
      </c>
      <c r="E48" s="38">
        <v>5.32</v>
      </c>
      <c r="F48" s="38">
        <v>5.54</v>
      </c>
      <c r="G48" s="38">
        <v>6.39</v>
      </c>
      <c r="H48" s="38">
        <v>8.7200000000000006</v>
      </c>
      <c r="I48" s="38">
        <v>14.23</v>
      </c>
      <c r="J48" s="38">
        <v>6.02</v>
      </c>
      <c r="K48" s="38">
        <v>8.9600000000000009</v>
      </c>
      <c r="L48" s="16">
        <v>8.6690000000000005</v>
      </c>
      <c r="M48" s="16">
        <v>9.2189999999999994</v>
      </c>
      <c r="N48" s="16">
        <v>10.007999999999999</v>
      </c>
      <c r="O48" s="16">
        <v>10.634</v>
      </c>
      <c r="P48" s="16">
        <v>11.41</v>
      </c>
    </row>
    <row r="49" spans="1:16" x14ac:dyDescent="0.3">
      <c r="A49" s="28" t="s">
        <v>65</v>
      </c>
      <c r="B49" s="38">
        <v>4.2523999999999997</v>
      </c>
      <c r="C49" s="38">
        <v>4.7316000000000003</v>
      </c>
      <c r="D49" s="38">
        <v>5.0457000000000001</v>
      </c>
      <c r="E49" s="38">
        <v>4.7183999999999999</v>
      </c>
      <c r="F49" s="38">
        <v>5.4420999999999999</v>
      </c>
      <c r="G49" s="38">
        <v>6.4493999999999998</v>
      </c>
      <c r="H49" s="38">
        <v>9.5085999999999995</v>
      </c>
      <c r="I49" s="38">
        <v>13.693899999999999</v>
      </c>
      <c r="J49" s="38">
        <v>6.1612999999999998</v>
      </c>
      <c r="K49" s="38">
        <v>9.141</v>
      </c>
      <c r="L49" s="16">
        <v>8.7089999999999996</v>
      </c>
      <c r="M49" s="16">
        <v>9.2289999999999992</v>
      </c>
      <c r="N49" s="16">
        <v>10.084</v>
      </c>
      <c r="O49" s="16">
        <v>10.622999999999999</v>
      </c>
      <c r="P49" s="16">
        <v>11.888</v>
      </c>
    </row>
    <row r="50" spans="1:16" x14ac:dyDescent="0.3">
      <c r="A50" s="28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17"/>
      <c r="M50" s="17"/>
      <c r="N50" s="17"/>
      <c r="O50" s="17"/>
      <c r="P50" s="17"/>
    </row>
    <row r="51" spans="1:16" x14ac:dyDescent="0.3">
      <c r="A51" s="31" t="s">
        <v>66</v>
      </c>
      <c r="B51" s="34">
        <v>640.1</v>
      </c>
      <c r="C51" s="34">
        <v>632.9</v>
      </c>
      <c r="D51" s="34">
        <v>582.5</v>
      </c>
      <c r="E51" s="34">
        <v>550.29999999999995</v>
      </c>
      <c r="F51" s="34">
        <v>533.20000000000005</v>
      </c>
      <c r="G51" s="34">
        <v>515.6</v>
      </c>
      <c r="H51" s="34">
        <v>505.4</v>
      </c>
      <c r="I51" s="34">
        <v>492.7</v>
      </c>
      <c r="J51" s="34">
        <v>464.7</v>
      </c>
      <c r="K51" s="34">
        <v>462.8</v>
      </c>
      <c r="L51" s="19"/>
      <c r="M51" s="19"/>
      <c r="N51" s="19"/>
      <c r="O51" s="19"/>
      <c r="P51" s="19"/>
    </row>
    <row r="52" spans="1:16" x14ac:dyDescent="0.3">
      <c r="A52" s="28" t="s">
        <v>67</v>
      </c>
      <c r="B52" s="38">
        <v>-2.58</v>
      </c>
      <c r="C52" s="38">
        <v>5.31</v>
      </c>
      <c r="D52" s="38">
        <v>4.7</v>
      </c>
      <c r="E52" s="38">
        <v>5.29</v>
      </c>
      <c r="F52" s="38">
        <v>5.51</v>
      </c>
      <c r="G52" s="38">
        <v>6.36</v>
      </c>
      <c r="H52" s="38">
        <v>8.64</v>
      </c>
      <c r="I52" s="38">
        <v>14.1</v>
      </c>
      <c r="J52" s="38">
        <v>5.98</v>
      </c>
      <c r="K52" s="38">
        <v>8.94</v>
      </c>
      <c r="L52" s="16">
        <v>8.6690000000000005</v>
      </c>
      <c r="M52" s="16">
        <v>9.2189999999999994</v>
      </c>
      <c r="N52" s="16">
        <v>10.007999999999999</v>
      </c>
      <c r="O52" s="16">
        <v>10.634</v>
      </c>
      <c r="P52" s="16">
        <v>11.41</v>
      </c>
    </row>
    <row r="53" spans="1:16" x14ac:dyDescent="0.3">
      <c r="A53" s="28" t="s">
        <v>68</v>
      </c>
      <c r="B53" s="38">
        <v>3.83</v>
      </c>
      <c r="C53" s="38">
        <v>5.25</v>
      </c>
      <c r="D53" s="38">
        <v>4.58</v>
      </c>
      <c r="E53" s="38">
        <v>5.2790999999999997</v>
      </c>
      <c r="F53" s="38">
        <v>5.5</v>
      </c>
      <c r="G53" s="38">
        <v>6.34</v>
      </c>
      <c r="H53" s="38">
        <v>8.64</v>
      </c>
      <c r="I53" s="38">
        <v>14.1</v>
      </c>
      <c r="J53" s="38">
        <v>5.98</v>
      </c>
      <c r="K53" s="38">
        <v>8.94</v>
      </c>
      <c r="L53" s="16">
        <v>8.6690000000000005</v>
      </c>
      <c r="M53" s="16">
        <v>9.2189999999999994</v>
      </c>
      <c r="N53" s="16">
        <v>10.007999999999999</v>
      </c>
      <c r="O53" s="16">
        <v>10.634</v>
      </c>
      <c r="P53" s="16">
        <v>11.41</v>
      </c>
    </row>
    <row r="54" spans="1:16" x14ac:dyDescent="0.3">
      <c r="A54" s="28" t="s">
        <v>69</v>
      </c>
      <c r="B54" s="38">
        <v>4.2206000000000001</v>
      </c>
      <c r="C54" s="38">
        <v>4.6954000000000002</v>
      </c>
      <c r="D54" s="38">
        <v>5.0012999999999996</v>
      </c>
      <c r="E54" s="38">
        <v>4.6830999999999996</v>
      </c>
      <c r="F54" s="38">
        <v>5.4</v>
      </c>
      <c r="G54" s="38">
        <v>6.3903999999999996</v>
      </c>
      <c r="H54" s="38">
        <v>9.4155999999999995</v>
      </c>
      <c r="I54" s="38">
        <v>13.568199999999999</v>
      </c>
      <c r="J54" s="38">
        <v>6.1245000000000003</v>
      </c>
      <c r="K54" s="38">
        <v>9.1141000000000005</v>
      </c>
      <c r="L54" s="16">
        <v>8.7089999999999996</v>
      </c>
      <c r="M54" s="16">
        <v>9.2289999999999992</v>
      </c>
      <c r="N54" s="16">
        <v>10.084</v>
      </c>
      <c r="O54" s="16">
        <v>10.622999999999999</v>
      </c>
      <c r="P54" s="16">
        <v>11.888</v>
      </c>
    </row>
    <row r="55" spans="1:16" x14ac:dyDescent="0.3">
      <c r="A55" s="28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17"/>
      <c r="M55" s="17"/>
      <c r="N55" s="17"/>
      <c r="O55" s="17"/>
      <c r="P55" s="17"/>
    </row>
    <row r="56" spans="1:16" x14ac:dyDescent="0.3">
      <c r="A56" s="28" t="s">
        <v>2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17"/>
      <c r="M56" s="17"/>
      <c r="N56" s="17"/>
      <c r="O56" s="17"/>
      <c r="P56" s="17"/>
    </row>
    <row r="57" spans="1:16" x14ac:dyDescent="0.3">
      <c r="A57" s="31" t="s">
        <v>70</v>
      </c>
      <c r="B57" s="33" t="s">
        <v>71</v>
      </c>
      <c r="C57" s="33" t="s">
        <v>71</v>
      </c>
      <c r="D57" s="33" t="s">
        <v>71</v>
      </c>
      <c r="E57" s="33" t="s">
        <v>71</v>
      </c>
      <c r="F57" s="33" t="s">
        <v>71</v>
      </c>
      <c r="G57" s="33" t="s">
        <v>71</v>
      </c>
      <c r="H57" s="33" t="s">
        <v>71</v>
      </c>
      <c r="I57" s="33" t="s">
        <v>71</v>
      </c>
      <c r="J57" s="33" t="s">
        <v>71</v>
      </c>
      <c r="K57" s="33" t="s">
        <v>71</v>
      </c>
      <c r="L57" s="15"/>
      <c r="M57" s="15"/>
      <c r="N57" s="15"/>
      <c r="O57" s="15"/>
      <c r="P57" s="15"/>
    </row>
    <row r="58" spans="1:16" x14ac:dyDescent="0.3">
      <c r="A58" s="31" t="s">
        <v>72</v>
      </c>
      <c r="B58" s="34">
        <v>6664</v>
      </c>
      <c r="C58" s="34">
        <v>7743</v>
      </c>
      <c r="D58" s="34">
        <v>7267</v>
      </c>
      <c r="E58" s="34">
        <v>6912</v>
      </c>
      <c r="F58" s="34">
        <v>6824</v>
      </c>
      <c r="G58" s="34">
        <v>7536</v>
      </c>
      <c r="H58" s="34">
        <v>9393</v>
      </c>
      <c r="I58" s="34">
        <v>12036</v>
      </c>
      <c r="J58" s="34">
        <v>6996</v>
      </c>
      <c r="K58" s="34">
        <v>9038</v>
      </c>
      <c r="L58" s="19">
        <v>8408.4500000000007</v>
      </c>
      <c r="M58" s="19">
        <v>8701.7099999999991</v>
      </c>
      <c r="N58" s="19">
        <v>9201.5</v>
      </c>
      <c r="O58" s="19">
        <v>9418.6</v>
      </c>
      <c r="P58" s="19">
        <v>10175</v>
      </c>
    </row>
    <row r="59" spans="1:16" x14ac:dyDescent="0.3">
      <c r="A59" s="31" t="s">
        <v>73</v>
      </c>
      <c r="B59" s="35">
        <v>9.1768000000000001</v>
      </c>
      <c r="C59" s="35">
        <v>10.494</v>
      </c>
      <c r="D59" s="35">
        <v>10.456899999999999</v>
      </c>
      <c r="E59" s="35">
        <v>9.5056999999999992</v>
      </c>
      <c r="F59" s="35">
        <v>9.0556999999999999</v>
      </c>
      <c r="G59" s="35">
        <v>9.6477000000000004</v>
      </c>
      <c r="H59" s="35">
        <v>10.039400000000001</v>
      </c>
      <c r="I59" s="35">
        <v>11.354200000000001</v>
      </c>
      <c r="J59" s="35">
        <v>6.4112999999999998</v>
      </c>
      <c r="K59" s="35">
        <v>8.4143000000000008</v>
      </c>
      <c r="L59" s="14">
        <v>7.9573667711598803</v>
      </c>
      <c r="M59" s="14">
        <v>8.0311169545233199</v>
      </c>
      <c r="N59" s="14">
        <v>8.2164778263815297</v>
      </c>
      <c r="O59" s="14">
        <v>8.1577750735131698</v>
      </c>
      <c r="P59" s="14">
        <v>8.3842154269563895</v>
      </c>
    </row>
    <row r="60" spans="1:16" x14ac:dyDescent="0.3">
      <c r="A60" s="31" t="s">
        <v>74</v>
      </c>
      <c r="B60" s="34">
        <v>4556</v>
      </c>
      <c r="C60" s="34">
        <v>5552</v>
      </c>
      <c r="D60" s="34">
        <v>4987</v>
      </c>
      <c r="E60" s="34">
        <v>4450</v>
      </c>
      <c r="F60" s="34">
        <v>4364</v>
      </c>
      <c r="G60" s="34">
        <v>4945</v>
      </c>
      <c r="H60" s="34">
        <v>7178</v>
      </c>
      <c r="I60" s="34">
        <v>9436</v>
      </c>
      <c r="J60" s="34">
        <v>4296</v>
      </c>
      <c r="K60" s="34">
        <v>6238</v>
      </c>
      <c r="L60" s="19"/>
      <c r="M60" s="19"/>
      <c r="N60" s="19"/>
      <c r="O60" s="19"/>
      <c r="P60" s="19"/>
    </row>
    <row r="61" spans="1:16" x14ac:dyDescent="0.3">
      <c r="A61" s="31" t="s">
        <v>75</v>
      </c>
      <c r="B61" s="34">
        <v>4535</v>
      </c>
      <c r="C61" s="34">
        <v>5530</v>
      </c>
      <c r="D61" s="34">
        <v>4969</v>
      </c>
      <c r="E61" s="34">
        <v>4224</v>
      </c>
      <c r="F61" s="34">
        <v>4110</v>
      </c>
      <c r="G61" s="34">
        <v>4658</v>
      </c>
      <c r="H61" s="34">
        <v>6539</v>
      </c>
      <c r="I61" s="34">
        <v>8946</v>
      </c>
      <c r="J61" s="34">
        <v>3848</v>
      </c>
      <c r="K61" s="34">
        <v>5707</v>
      </c>
      <c r="L61" s="19">
        <v>5518.6760000000004</v>
      </c>
      <c r="M61" s="19">
        <v>5778.9709999999995</v>
      </c>
      <c r="N61" s="19">
        <v>6219.8890000000001</v>
      </c>
      <c r="O61" s="19">
        <v>6452.857</v>
      </c>
      <c r="P61" s="19">
        <v>6984</v>
      </c>
    </row>
    <row r="62" spans="1:16" x14ac:dyDescent="0.3">
      <c r="A62" s="31" t="s">
        <v>76</v>
      </c>
      <c r="B62" s="35">
        <v>29.386700000000001</v>
      </c>
      <c r="C62" s="35">
        <v>29.1983</v>
      </c>
      <c r="D62" s="35">
        <v>29.282699999999998</v>
      </c>
      <c r="E62" s="35">
        <v>29.690300000000001</v>
      </c>
      <c r="F62" s="35">
        <v>29.270399999999999</v>
      </c>
      <c r="G62" s="35">
        <v>29.7624</v>
      </c>
      <c r="H62" s="35">
        <v>29.268599999999999</v>
      </c>
      <c r="I62" s="35">
        <v>29.2835</v>
      </c>
      <c r="J62" s="35">
        <v>24.6435</v>
      </c>
      <c r="K62" s="35">
        <v>27.6282</v>
      </c>
      <c r="L62" s="14"/>
      <c r="M62" s="14"/>
      <c r="N62" s="14"/>
      <c r="O62" s="14"/>
      <c r="P62" s="14"/>
    </row>
    <row r="63" spans="1:16" x14ac:dyDescent="0.3">
      <c r="A63" s="31" t="s">
        <v>77</v>
      </c>
      <c r="B63" s="35">
        <v>6.2450000000000001</v>
      </c>
      <c r="C63" s="35">
        <v>7.4946999999999999</v>
      </c>
      <c r="D63" s="35">
        <v>7.1501999999999999</v>
      </c>
      <c r="E63" s="35">
        <v>5.8090999999999999</v>
      </c>
      <c r="F63" s="35">
        <v>5.4541000000000004</v>
      </c>
      <c r="G63" s="35">
        <v>5.9631999999999996</v>
      </c>
      <c r="H63" s="35">
        <v>6.9889999999999999</v>
      </c>
      <c r="I63" s="35">
        <v>8.4391999999999996</v>
      </c>
      <c r="J63" s="35">
        <v>3.5264000000000002</v>
      </c>
      <c r="K63" s="35">
        <v>5.3132000000000001</v>
      </c>
      <c r="L63" s="14">
        <v>5.2226187969480096</v>
      </c>
      <c r="M63" s="14">
        <v>5.3336174128761602</v>
      </c>
      <c r="N63" s="14">
        <v>5.5540488019403798</v>
      </c>
      <c r="O63" s="14">
        <v>5.5890425315381203</v>
      </c>
      <c r="P63" s="14">
        <v>5.7548265888809196</v>
      </c>
    </row>
    <row r="64" spans="1:16" x14ac:dyDescent="0.3">
      <c r="A64" s="31" t="s">
        <v>78</v>
      </c>
      <c r="B64" s="35">
        <v>-2.2528999999999999</v>
      </c>
      <c r="C64" s="35">
        <v>4.5578000000000003</v>
      </c>
      <c r="D64" s="35">
        <v>3.9384000000000001</v>
      </c>
      <c r="E64" s="35">
        <v>4.0075000000000003</v>
      </c>
      <c r="F64" s="35">
        <v>3.8975</v>
      </c>
      <c r="G64" s="35">
        <v>4.2004000000000001</v>
      </c>
      <c r="H64" s="35">
        <v>4.6685999999999996</v>
      </c>
      <c r="I64" s="35">
        <v>6.5525000000000002</v>
      </c>
      <c r="J64" s="35">
        <v>2.5476999999999999</v>
      </c>
      <c r="K64" s="35">
        <v>3.8525</v>
      </c>
      <c r="L64" s="14">
        <v>3.8055849056603801</v>
      </c>
      <c r="M64" s="14">
        <v>3.8786096179937699</v>
      </c>
      <c r="N64" s="14">
        <v>4.0360305254898101</v>
      </c>
      <c r="O64" s="14">
        <v>4.1644988761903896</v>
      </c>
      <c r="P64" s="14">
        <v>4.1929317149943603</v>
      </c>
    </row>
    <row r="65" spans="1:16" x14ac:dyDescent="0.3">
      <c r="A65" s="31" t="s">
        <v>79</v>
      </c>
      <c r="B65" s="35">
        <v>209273.7752</v>
      </c>
      <c r="C65" s="35">
        <v>216378.2991</v>
      </c>
      <c r="D65" s="35">
        <v>215154.79879999999</v>
      </c>
      <c r="E65" s="35">
        <v>201983.3333</v>
      </c>
      <c r="F65" s="35">
        <v>209322.22219999999</v>
      </c>
      <c r="G65" s="35">
        <v>212260.86960000001</v>
      </c>
      <c r="H65" s="35">
        <v>228755.5012</v>
      </c>
      <c r="I65" s="35">
        <v>235566.6667</v>
      </c>
      <c r="J65" s="35">
        <v>248000</v>
      </c>
      <c r="K65" s="35">
        <v>258824.09640000001</v>
      </c>
      <c r="L65" s="14"/>
      <c r="M65" s="14"/>
      <c r="N65" s="14"/>
      <c r="O65" s="14"/>
      <c r="P65" s="14"/>
    </row>
    <row r="66" spans="1:16" x14ac:dyDescent="0.3">
      <c r="A66" s="31" t="s">
        <v>80</v>
      </c>
      <c r="B66" s="35">
        <v>1.99</v>
      </c>
      <c r="C66" s="35">
        <v>2.2000000000000002</v>
      </c>
      <c r="D66" s="35">
        <v>2.36</v>
      </c>
      <c r="E66" s="35">
        <v>2.46</v>
      </c>
      <c r="F66" s="35">
        <v>2.54</v>
      </c>
      <c r="G66" s="35">
        <v>2.62</v>
      </c>
      <c r="H66" s="35">
        <v>2.7</v>
      </c>
      <c r="I66" s="35">
        <v>3.38</v>
      </c>
      <c r="J66" s="35">
        <v>4.1399999999999997</v>
      </c>
      <c r="K66" s="35">
        <v>4.38</v>
      </c>
      <c r="L66" s="14">
        <v>4.4459999999999997</v>
      </c>
      <c r="M66" s="14">
        <v>4.4610000000000003</v>
      </c>
      <c r="N66" s="14">
        <v>4.6210000000000004</v>
      </c>
      <c r="O66" s="14">
        <v>5.0270000000000001</v>
      </c>
      <c r="P66" s="14">
        <v>5.3029999999999999</v>
      </c>
    </row>
    <row r="67" spans="1:16" x14ac:dyDescent="0.3">
      <c r="A67" s="31" t="s">
        <v>81</v>
      </c>
      <c r="B67" s="34">
        <v>1273</v>
      </c>
      <c r="C67" s="34">
        <v>1378</v>
      </c>
      <c r="D67" s="34">
        <v>1359</v>
      </c>
      <c r="E67" s="34">
        <v>1356</v>
      </c>
      <c r="F67" s="34">
        <v>1347</v>
      </c>
      <c r="G67" s="34">
        <v>1329</v>
      </c>
      <c r="H67" s="34">
        <v>1343</v>
      </c>
      <c r="I67" s="34">
        <v>1548</v>
      </c>
      <c r="J67" s="34">
        <v>1835</v>
      </c>
      <c r="K67" s="34">
        <v>1846</v>
      </c>
      <c r="L67" s="19"/>
      <c r="M67" s="19"/>
      <c r="N67" s="19"/>
      <c r="O67" s="19"/>
      <c r="P67" s="19"/>
    </row>
    <row r="68" spans="1:16" x14ac:dyDescent="0.3">
      <c r="A68" s="31" t="s">
        <v>82</v>
      </c>
      <c r="B68" s="34">
        <v>1</v>
      </c>
      <c r="C68" s="34">
        <v>16</v>
      </c>
      <c r="D68" s="34">
        <v>20</v>
      </c>
      <c r="E68" s="34">
        <v>0</v>
      </c>
      <c r="F68" s="34" t="s">
        <v>85</v>
      </c>
      <c r="G68" s="34" t="s">
        <v>85</v>
      </c>
      <c r="H68" s="34" t="s">
        <v>85</v>
      </c>
      <c r="I68" s="34" t="s">
        <v>85</v>
      </c>
      <c r="J68" s="34" t="s">
        <v>85</v>
      </c>
      <c r="K68" s="34" t="s">
        <v>85</v>
      </c>
      <c r="L68" s="19"/>
      <c r="M68" s="19"/>
      <c r="N68" s="19"/>
      <c r="O68" s="19"/>
      <c r="P68" s="19"/>
    </row>
    <row r="69" spans="1:16" x14ac:dyDescent="0.3">
      <c r="A69" s="31" t="s">
        <v>83</v>
      </c>
      <c r="B69" s="34">
        <v>2108</v>
      </c>
      <c r="C69" s="34">
        <v>2191</v>
      </c>
      <c r="D69" s="34">
        <v>2280</v>
      </c>
      <c r="E69" s="34">
        <v>2462</v>
      </c>
      <c r="F69" s="34">
        <v>2460</v>
      </c>
      <c r="G69" s="34">
        <v>2591</v>
      </c>
      <c r="H69" s="34">
        <v>2215</v>
      </c>
      <c r="I69" s="34">
        <v>2600</v>
      </c>
      <c r="J69" s="34">
        <v>2700</v>
      </c>
      <c r="K69" s="34">
        <v>2800</v>
      </c>
      <c r="L69" s="19"/>
      <c r="M69" s="19"/>
      <c r="N69" s="19"/>
      <c r="O69" s="19"/>
      <c r="P69" s="19"/>
    </row>
    <row r="70" spans="1:16" x14ac:dyDescent="0.3">
      <c r="A70" s="31" t="s">
        <v>84</v>
      </c>
      <c r="B70" s="34">
        <v>186</v>
      </c>
      <c r="C70" s="34">
        <v>182</v>
      </c>
      <c r="D70" s="34">
        <v>148</v>
      </c>
      <c r="E70" s="34">
        <v>212</v>
      </c>
      <c r="F70" s="34">
        <v>240</v>
      </c>
      <c r="G70" s="34">
        <v>274</v>
      </c>
      <c r="H70" s="34">
        <v>369</v>
      </c>
      <c r="I70" s="34">
        <v>448</v>
      </c>
      <c r="J70" s="34">
        <v>448</v>
      </c>
      <c r="K70" s="34">
        <v>530</v>
      </c>
      <c r="L70" s="19"/>
      <c r="M70" s="19"/>
      <c r="N70" s="19"/>
      <c r="O70" s="19"/>
      <c r="P70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7F5F-63AD-4D11-8267-24A8F1EA1C44}">
  <dimension ref="A1:P59"/>
  <sheetViews>
    <sheetView topLeftCell="A31" zoomScale="80" zoomScaleNormal="80" workbookViewId="0">
      <selection activeCell="A51" sqref="A51"/>
    </sheetView>
  </sheetViews>
  <sheetFormatPr defaultColWidth="9.109375" defaultRowHeight="14.4" x14ac:dyDescent="0.3"/>
  <cols>
    <col min="1" max="1" width="35.109375" style="12" customWidth="1"/>
    <col min="2" max="16" width="12" style="12" customWidth="1"/>
    <col min="17" max="16384" width="9.109375" style="12"/>
  </cols>
  <sheetData>
    <row r="1" spans="1:16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21" x14ac:dyDescent="0.3">
      <c r="A2" s="11" t="s">
        <v>96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3">
      <c r="A4" s="9" t="s">
        <v>4</v>
      </c>
      <c r="B4" s="22" t="s">
        <v>5</v>
      </c>
      <c r="C4" s="22" t="s">
        <v>6</v>
      </c>
      <c r="D4" s="22" t="s">
        <v>7</v>
      </c>
      <c r="E4" s="22" t="s">
        <v>8</v>
      </c>
      <c r="F4" s="22" t="s">
        <v>9</v>
      </c>
      <c r="G4" s="22" t="s">
        <v>10</v>
      </c>
      <c r="H4" s="22" t="s">
        <v>11</v>
      </c>
      <c r="I4" s="22" t="s">
        <v>12</v>
      </c>
      <c r="J4" s="22" t="s">
        <v>13</v>
      </c>
      <c r="K4" s="22" t="s">
        <v>14</v>
      </c>
      <c r="L4" s="22" t="s">
        <v>86</v>
      </c>
      <c r="M4" s="22" t="s">
        <v>87</v>
      </c>
      <c r="N4" s="22" t="s">
        <v>88</v>
      </c>
      <c r="O4" s="22" t="s">
        <v>89</v>
      </c>
      <c r="P4" s="22" t="s">
        <v>90</v>
      </c>
    </row>
    <row r="5" spans="1:16" x14ac:dyDescent="0.3">
      <c r="A5" s="8" t="s">
        <v>15</v>
      </c>
      <c r="B5" s="21" t="s">
        <v>16</v>
      </c>
      <c r="C5" s="21" t="s">
        <v>17</v>
      </c>
      <c r="D5" s="21" t="s">
        <v>18</v>
      </c>
      <c r="E5" s="21" t="s">
        <v>19</v>
      </c>
      <c r="F5" s="21" t="s">
        <v>20</v>
      </c>
      <c r="G5" s="21" t="s">
        <v>21</v>
      </c>
      <c r="H5" s="21" t="s">
        <v>22</v>
      </c>
      <c r="I5" s="21" t="s">
        <v>23</v>
      </c>
      <c r="J5" s="21" t="s">
        <v>24</v>
      </c>
      <c r="K5" s="21" t="s">
        <v>25</v>
      </c>
      <c r="L5" s="21" t="s">
        <v>91</v>
      </c>
      <c r="M5" s="21" t="s">
        <v>92</v>
      </c>
      <c r="N5" s="21" t="s">
        <v>93</v>
      </c>
      <c r="O5" s="21" t="s">
        <v>94</v>
      </c>
      <c r="P5" s="21" t="s">
        <v>95</v>
      </c>
    </row>
    <row r="6" spans="1:16" x14ac:dyDescent="0.3">
      <c r="A6" s="7" t="s">
        <v>0</v>
      </c>
      <c r="B6" s="20">
        <v>72618</v>
      </c>
      <c r="C6" s="20">
        <v>73785</v>
      </c>
      <c r="D6" s="20">
        <v>69495</v>
      </c>
      <c r="E6" s="20">
        <v>72714</v>
      </c>
      <c r="F6" s="20">
        <v>75356</v>
      </c>
      <c r="G6" s="20">
        <v>78112</v>
      </c>
      <c r="H6" s="20">
        <v>93561</v>
      </c>
      <c r="I6" s="20">
        <v>106005</v>
      </c>
      <c r="J6" s="20">
        <v>109120</v>
      </c>
      <c r="K6" s="20">
        <v>107412</v>
      </c>
      <c r="L6" s="20">
        <v>105668.75</v>
      </c>
      <c r="M6" s="20">
        <v>108349.935</v>
      </c>
      <c r="N6" s="20">
        <v>111988.375</v>
      </c>
      <c r="O6" s="20">
        <v>115455.5</v>
      </c>
      <c r="P6" s="20">
        <v>121359</v>
      </c>
    </row>
    <row r="7" spans="1:16" x14ac:dyDescent="0.3">
      <c r="A7" s="6" t="s">
        <v>26</v>
      </c>
      <c r="B7" s="5">
        <v>1</v>
      </c>
      <c r="C7" s="5">
        <v>1</v>
      </c>
      <c r="D7" s="5">
        <v>1</v>
      </c>
      <c r="E7" s="5">
        <v>0.98723767087493497</v>
      </c>
      <c r="F7" s="5">
        <v>0.98775147300812105</v>
      </c>
      <c r="G7" s="5">
        <v>0.987428308070463</v>
      </c>
      <c r="H7" s="5">
        <v>0.98759098342258</v>
      </c>
      <c r="I7" s="5">
        <v>0.98684967690203296</v>
      </c>
      <c r="J7" s="5">
        <v>0.98596041055718497</v>
      </c>
      <c r="K7" s="5">
        <v>0.98502029568390903</v>
      </c>
      <c r="L7" s="5"/>
      <c r="M7" s="5"/>
      <c r="N7" s="5"/>
      <c r="O7" s="5"/>
      <c r="P7" s="5"/>
    </row>
    <row r="8" spans="1:16" x14ac:dyDescent="0.3">
      <c r="A8" s="6" t="s">
        <v>27</v>
      </c>
      <c r="B8" s="5" t="s">
        <v>85</v>
      </c>
      <c r="C8" s="5" t="s">
        <v>85</v>
      </c>
      <c r="D8" s="5" t="s">
        <v>85</v>
      </c>
      <c r="E8" s="5">
        <v>1.2762329125065299E-2</v>
      </c>
      <c r="F8" s="5">
        <v>1.2248526991878599E-2</v>
      </c>
      <c r="G8" s="5">
        <v>1.2571691929537099E-2</v>
      </c>
      <c r="H8" s="5">
        <v>1.24090165774201E-2</v>
      </c>
      <c r="I8" s="5">
        <v>1.31503230979671E-2</v>
      </c>
      <c r="J8" s="5">
        <v>1.4039589442815199E-2</v>
      </c>
      <c r="K8" s="5">
        <v>1.4979704316091301E-2</v>
      </c>
      <c r="L8" s="5"/>
      <c r="M8" s="5"/>
      <c r="N8" s="5"/>
      <c r="O8" s="5"/>
      <c r="P8" s="5"/>
    </row>
    <row r="9" spans="1:16" x14ac:dyDescent="0.3">
      <c r="A9" s="6" t="s">
        <v>28</v>
      </c>
      <c r="B9" s="5">
        <v>0.70613346553196199</v>
      </c>
      <c r="C9" s="5">
        <v>0.70801653452598801</v>
      </c>
      <c r="D9" s="5">
        <v>0.70717317792646905</v>
      </c>
      <c r="E9" s="5">
        <v>0.70309706521440196</v>
      </c>
      <c r="F9" s="5">
        <v>0.70729603482138104</v>
      </c>
      <c r="G9" s="5">
        <v>0.70237607537894298</v>
      </c>
      <c r="H9" s="5">
        <v>0.70731394491294497</v>
      </c>
      <c r="I9" s="5">
        <v>0.707164756379416</v>
      </c>
      <c r="J9" s="5">
        <v>0.75356488269794697</v>
      </c>
      <c r="K9" s="5">
        <v>0.72371802033292398</v>
      </c>
      <c r="L9" s="5"/>
      <c r="M9" s="5"/>
      <c r="N9" s="5"/>
      <c r="O9" s="5"/>
      <c r="P9" s="5"/>
    </row>
    <row r="10" spans="1:16" x14ac:dyDescent="0.3">
      <c r="A10" s="6" t="s">
        <v>29</v>
      </c>
      <c r="B10" s="1">
        <v>0.70613346553196199</v>
      </c>
      <c r="C10" s="1">
        <v>0.70801653452598801</v>
      </c>
      <c r="D10" s="1">
        <v>0.70717317792646905</v>
      </c>
      <c r="E10" s="1">
        <v>0.70309706521440196</v>
      </c>
      <c r="F10" s="1">
        <v>0.70729603482138104</v>
      </c>
      <c r="G10" s="1">
        <v>0.70237607537894298</v>
      </c>
      <c r="H10" s="1">
        <v>0.70731394491294497</v>
      </c>
      <c r="I10" s="1">
        <v>0.707164756379416</v>
      </c>
      <c r="J10" s="1">
        <v>0.75356488269794697</v>
      </c>
      <c r="K10" s="1">
        <v>0.72371802033292398</v>
      </c>
      <c r="L10" s="1"/>
      <c r="M10" s="1"/>
      <c r="N10" s="1"/>
      <c r="O10" s="1"/>
      <c r="P10" s="1"/>
    </row>
    <row r="11" spans="1:16" x14ac:dyDescent="0.3">
      <c r="A11" s="7" t="s">
        <v>1</v>
      </c>
      <c r="B11" s="4">
        <v>0.29386653446803801</v>
      </c>
      <c r="C11" s="4">
        <v>0.29198346547401199</v>
      </c>
      <c r="D11" s="4">
        <v>0.29282682207353</v>
      </c>
      <c r="E11" s="4">
        <v>0.29690293478559798</v>
      </c>
      <c r="F11" s="4">
        <v>0.29270396517861902</v>
      </c>
      <c r="G11" s="4">
        <v>0.29762392462105702</v>
      </c>
      <c r="H11" s="4">
        <v>0.29268605508705597</v>
      </c>
      <c r="I11" s="4">
        <v>0.292835243620584</v>
      </c>
      <c r="J11" s="4">
        <v>0.246435117302053</v>
      </c>
      <c r="K11" s="4">
        <v>0.27628197966707602</v>
      </c>
      <c r="L11" s="4">
        <v>0.27427000000000001</v>
      </c>
      <c r="M11" s="4">
        <v>0.27623999999999999</v>
      </c>
      <c r="N11" s="4">
        <v>0.27787000000000001</v>
      </c>
      <c r="O11" s="4">
        <v>0.27392</v>
      </c>
      <c r="P11" s="4">
        <v>0.27493000000000001</v>
      </c>
    </row>
    <row r="12" spans="1:16" x14ac:dyDescent="0.3">
      <c r="A12" s="6" t="s">
        <v>30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/>
      <c r="M12" s="5"/>
      <c r="N12" s="5"/>
      <c r="O12" s="5"/>
      <c r="P12" s="5"/>
    </row>
    <row r="13" spans="1:16" x14ac:dyDescent="0.3">
      <c r="A13" s="6" t="s">
        <v>31</v>
      </c>
      <c r="B13" s="5">
        <v>0.23141645322096399</v>
      </c>
      <c r="C13" s="5">
        <v>0.21703598292335799</v>
      </c>
      <c r="D13" s="5">
        <v>0.221325275199655</v>
      </c>
      <c r="E13" s="5">
        <v>0.23881233325081799</v>
      </c>
      <c r="F13" s="5">
        <v>0.23816285365465301</v>
      </c>
      <c r="G13" s="5">
        <v>0.23799160180254</v>
      </c>
      <c r="H13" s="5">
        <v>0.22279582304592699</v>
      </c>
      <c r="I13" s="5">
        <v>0.208442997971794</v>
      </c>
      <c r="J13" s="5">
        <v>0.211171187683284</v>
      </c>
      <c r="K13" s="5">
        <v>0.22315011358135001</v>
      </c>
      <c r="L13" s="5"/>
      <c r="M13" s="5"/>
      <c r="N13" s="5"/>
      <c r="O13" s="5"/>
      <c r="P13" s="5"/>
    </row>
    <row r="14" spans="1:16" x14ac:dyDescent="0.3">
      <c r="A14" s="6" t="s">
        <v>32</v>
      </c>
      <c r="B14" s="5">
        <v>0.202098653226473</v>
      </c>
      <c r="C14" s="5">
        <v>0.198753134105848</v>
      </c>
      <c r="D14" s="5">
        <v>0.19218648823656401</v>
      </c>
      <c r="E14" s="5">
        <v>0.208212998872294</v>
      </c>
      <c r="F14" s="5">
        <v>0.20864960985190301</v>
      </c>
      <c r="G14" s="5">
        <v>0.20781698074559601</v>
      </c>
      <c r="H14" s="5">
        <v>0.19896110558886701</v>
      </c>
      <c r="I14" s="5">
        <v>0.18633083345125201</v>
      </c>
      <c r="J14" s="5">
        <v>0.189314516129032</v>
      </c>
      <c r="K14" s="5">
        <v>0.20066659218709301</v>
      </c>
      <c r="L14" s="5"/>
      <c r="M14" s="5"/>
      <c r="N14" s="5"/>
      <c r="O14" s="5"/>
      <c r="P14" s="5"/>
    </row>
    <row r="15" spans="1:16" x14ac:dyDescent="0.3">
      <c r="A15" s="6" t="s">
        <v>33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/>
      <c r="M15" s="5"/>
      <c r="N15" s="5"/>
      <c r="O15" s="5"/>
      <c r="P15" s="5"/>
    </row>
    <row r="16" spans="1:16" x14ac:dyDescent="0.3">
      <c r="A16" s="6" t="s">
        <v>34</v>
      </c>
      <c r="B16" s="5">
        <v>2.9317799994491699E-2</v>
      </c>
      <c r="C16" s="5">
        <v>2.6685640712882E-2</v>
      </c>
      <c r="D16" s="5">
        <v>2.9138786963090899E-2</v>
      </c>
      <c r="E16" s="5">
        <v>3.05993343785241E-2</v>
      </c>
      <c r="F16" s="5">
        <v>2.9513243802749601E-2</v>
      </c>
      <c r="G16" s="5">
        <v>3.01746210569439E-2</v>
      </c>
      <c r="H16" s="5">
        <v>2.38347174570601E-2</v>
      </c>
      <c r="I16" s="5">
        <v>2.2112164520541499E-2</v>
      </c>
      <c r="J16" s="5">
        <v>2.1856671554252201E-2</v>
      </c>
      <c r="K16" s="5">
        <v>2.2483521394257602E-2</v>
      </c>
      <c r="L16" s="5"/>
      <c r="M16" s="5"/>
      <c r="N16" s="5"/>
      <c r="O16" s="5"/>
      <c r="P16" s="5"/>
    </row>
    <row r="17" spans="1:16" x14ac:dyDescent="0.3">
      <c r="A17" s="6" t="s">
        <v>35</v>
      </c>
      <c r="B17" s="1">
        <v>0</v>
      </c>
      <c r="C17" s="1">
        <v>-8.4027918953716897E-3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  <c r="M17" s="1"/>
      <c r="N17" s="1"/>
      <c r="O17" s="1"/>
      <c r="P17" s="1"/>
    </row>
    <row r="18" spans="1:16" x14ac:dyDescent="0.3">
      <c r="A18" s="7" t="s">
        <v>36</v>
      </c>
      <c r="B18" s="4">
        <v>6.2450081247073699E-2</v>
      </c>
      <c r="C18" s="4">
        <v>7.4947482550653893E-2</v>
      </c>
      <c r="D18" s="4">
        <v>7.1501546873875804E-2</v>
      </c>
      <c r="E18" s="4">
        <v>5.8090601534780101E-2</v>
      </c>
      <c r="F18" s="4">
        <v>5.45411115239662E-2</v>
      </c>
      <c r="G18" s="4">
        <v>5.9632322818516999E-2</v>
      </c>
      <c r="H18" s="4">
        <v>6.9890232041128306E-2</v>
      </c>
      <c r="I18" s="4">
        <v>8.4392245648790207E-2</v>
      </c>
      <c r="J18" s="4">
        <v>3.52639296187683E-2</v>
      </c>
      <c r="K18" s="4">
        <v>5.3131866085726003E-2</v>
      </c>
      <c r="L18" s="4">
        <v>5.2226187969480101E-2</v>
      </c>
      <c r="M18" s="4">
        <v>5.3336174128761599E-2</v>
      </c>
      <c r="N18" s="4">
        <v>5.5540488019403797E-2</v>
      </c>
      <c r="O18" s="4">
        <v>5.5890425315381201E-2</v>
      </c>
      <c r="P18" s="4">
        <v>5.7548265888809201E-2</v>
      </c>
    </row>
    <row r="19" spans="1:16" x14ac:dyDescent="0.3">
      <c r="A19" s="6" t="s">
        <v>37</v>
      </c>
      <c r="B19" s="5">
        <v>1.2145748987854201E-2</v>
      </c>
      <c r="C19" s="5">
        <v>8.2266043233719596E-3</v>
      </c>
      <c r="D19" s="5">
        <v>1.44470825239226E-2</v>
      </c>
      <c r="E19" s="5">
        <v>8.1689908408284495E-3</v>
      </c>
      <c r="F19" s="5">
        <v>5.75932905143585E-3</v>
      </c>
      <c r="G19" s="5">
        <v>5.9913969684555497E-3</v>
      </c>
      <c r="H19" s="5">
        <v>1.0613396607560799E-2</v>
      </c>
      <c r="I19" s="5">
        <v>3.6790717418989699E-4</v>
      </c>
      <c r="J19" s="5">
        <v>3.9406158357771304E-3</v>
      </c>
      <c r="K19" s="5">
        <v>3.8170781663128899E-3</v>
      </c>
      <c r="L19" s="5"/>
      <c r="M19" s="5"/>
      <c r="N19" s="5"/>
      <c r="O19" s="5"/>
      <c r="P19" s="5"/>
    </row>
    <row r="20" spans="1:16" x14ac:dyDescent="0.3">
      <c r="A20" s="6" t="s">
        <v>38</v>
      </c>
      <c r="B20" s="5">
        <v>1.2145748987854201E-2</v>
      </c>
      <c r="C20" s="5">
        <v>8.2266043233719596E-3</v>
      </c>
      <c r="D20" s="5">
        <v>1.44470825239226E-2</v>
      </c>
      <c r="E20" s="5">
        <v>8.9803889209780809E-3</v>
      </c>
      <c r="F20" s="5">
        <v>6.1176283242210302E-3</v>
      </c>
      <c r="G20" s="5">
        <v>6.1066161409258496E-3</v>
      </c>
      <c r="H20" s="5">
        <v>1.0442385181859999E-2</v>
      </c>
      <c r="I20" s="5">
        <v>3.9715107777934999E-3</v>
      </c>
      <c r="J20" s="5">
        <v>4.3804985337243399E-3</v>
      </c>
      <c r="K20" s="5">
        <v>4.6735932670465101E-3</v>
      </c>
      <c r="L20" s="5"/>
      <c r="M20" s="5"/>
      <c r="N20" s="5"/>
      <c r="O20" s="5"/>
      <c r="P20" s="5"/>
    </row>
    <row r="21" spans="1:16" x14ac:dyDescent="0.3">
      <c r="A21" s="3" t="s">
        <v>39</v>
      </c>
      <c r="B21" s="2">
        <v>1.2145748987854201E-2</v>
      </c>
      <c r="C21" s="2">
        <v>8.2266043233719596E-3</v>
      </c>
      <c r="D21" s="2">
        <v>1.44470825239226E-2</v>
      </c>
      <c r="E21" s="2">
        <v>8.9803889209780809E-3</v>
      </c>
      <c r="F21" s="2">
        <v>6.1176283242210302E-3</v>
      </c>
      <c r="G21" s="2">
        <v>6.1066161409258496E-3</v>
      </c>
      <c r="H21" s="2">
        <v>1.0442385181859999E-2</v>
      </c>
      <c r="I21" s="2">
        <v>3.9715107777934999E-3</v>
      </c>
      <c r="J21" s="2">
        <v>4.3804985337243399E-3</v>
      </c>
      <c r="K21" s="2">
        <v>4.6735932670465101E-3</v>
      </c>
      <c r="L21" s="2"/>
      <c r="M21" s="2"/>
      <c r="N21" s="2"/>
      <c r="O21" s="2"/>
      <c r="P21" s="2"/>
    </row>
    <row r="22" spans="1:16" x14ac:dyDescent="0.3">
      <c r="A22" s="3" t="s">
        <v>40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/>
      <c r="M22" s="2"/>
      <c r="N22" s="2"/>
      <c r="O22" s="2"/>
      <c r="P22" s="2"/>
    </row>
    <row r="23" spans="1:16" x14ac:dyDescent="0.3">
      <c r="A23" s="6" t="s">
        <v>41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/>
      <c r="M23" s="5"/>
      <c r="N23" s="5"/>
      <c r="O23" s="5"/>
      <c r="P23" s="5"/>
    </row>
    <row r="24" spans="1:16" x14ac:dyDescent="0.3">
      <c r="A24" s="6" t="s">
        <v>42</v>
      </c>
      <c r="B24" s="5">
        <v>0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/>
      <c r="M24" s="5"/>
      <c r="N24" s="5"/>
      <c r="O24" s="5"/>
      <c r="P24" s="5"/>
    </row>
    <row r="25" spans="1:16" x14ac:dyDescent="0.3">
      <c r="A25" s="6" t="s">
        <v>43</v>
      </c>
      <c r="B25" s="1">
        <v>0</v>
      </c>
      <c r="C25" s="1">
        <v>0</v>
      </c>
      <c r="D25" s="1">
        <v>0</v>
      </c>
      <c r="E25" s="1">
        <v>-8.1139808014962702E-4</v>
      </c>
      <c r="F25" s="1">
        <v>-3.5829927278517999E-4</v>
      </c>
      <c r="G25" s="1">
        <v>-1.15219172470299E-4</v>
      </c>
      <c r="H25" s="1">
        <v>1.7101142570088E-4</v>
      </c>
      <c r="I25" s="1">
        <v>-3.6036036036036002E-3</v>
      </c>
      <c r="J25" s="1">
        <v>-4.3988269794721402E-4</v>
      </c>
      <c r="K25" s="1">
        <v>-8.5651510073362399E-4</v>
      </c>
      <c r="L25" s="1"/>
      <c r="M25" s="1"/>
      <c r="N25" s="1"/>
      <c r="O25" s="1"/>
      <c r="P25" s="1"/>
    </row>
    <row r="26" spans="1:16" x14ac:dyDescent="0.3">
      <c r="A26" s="7" t="s">
        <v>44</v>
      </c>
      <c r="B26" s="4">
        <v>5.03043322592195E-2</v>
      </c>
      <c r="C26" s="4">
        <v>6.6720878227281996E-2</v>
      </c>
      <c r="D26" s="4">
        <v>5.7054464349953198E-2</v>
      </c>
      <c r="E26" s="4">
        <v>4.9921610693951603E-2</v>
      </c>
      <c r="F26" s="4">
        <v>4.8781782472530399E-2</v>
      </c>
      <c r="G26" s="4">
        <v>5.3640925850061499E-2</v>
      </c>
      <c r="H26" s="4">
        <v>5.9276835433567397E-2</v>
      </c>
      <c r="I26" s="4">
        <v>8.4024338474600294E-2</v>
      </c>
      <c r="J26" s="4">
        <v>3.1323313782991198E-2</v>
      </c>
      <c r="K26" s="4">
        <v>4.93147879194131E-2</v>
      </c>
      <c r="L26" s="4">
        <v>4.9097741763766502E-2</v>
      </c>
      <c r="M26" s="4">
        <v>5.0086813619223701E-2</v>
      </c>
      <c r="N26" s="4">
        <v>5.2407225303519198E-2</v>
      </c>
      <c r="O26" s="4">
        <v>5.2457440312501401E-2</v>
      </c>
      <c r="P26" s="4">
        <v>5.4023599403422898E-2</v>
      </c>
    </row>
    <row r="27" spans="1:16" x14ac:dyDescent="0.3">
      <c r="A27" s="6" t="s">
        <v>45</v>
      </c>
      <c r="B27" s="5">
        <v>1.6579911316753401E-2</v>
      </c>
      <c r="C27" s="5">
        <v>2.1711730026428101E-2</v>
      </c>
      <c r="D27" s="5">
        <v>1.86488236563782E-2</v>
      </c>
      <c r="E27" s="5">
        <v>9.9293120994581492E-3</v>
      </c>
      <c r="F27" s="5">
        <v>9.8996762036201499E-3</v>
      </c>
      <c r="G27" s="5">
        <v>1.17907619827939E-2</v>
      </c>
      <c r="H27" s="5">
        <v>1.25907162172273E-2</v>
      </c>
      <c r="I27" s="5">
        <v>1.8499127399651E-2</v>
      </c>
      <c r="J27" s="5">
        <v>5.8467741935483899E-3</v>
      </c>
      <c r="K27" s="5">
        <v>1.07902282798942E-2</v>
      </c>
      <c r="L27" s="5"/>
      <c r="M27" s="5"/>
      <c r="N27" s="5"/>
      <c r="O27" s="5"/>
      <c r="P27" s="5"/>
    </row>
    <row r="28" spans="1:16" x14ac:dyDescent="0.3">
      <c r="A28" s="6" t="s">
        <v>46</v>
      </c>
      <c r="B28" s="5">
        <v>1.6483516483516501E-2</v>
      </c>
      <c r="C28" s="5">
        <v>2.6075760655959901E-2</v>
      </c>
      <c r="D28" s="5">
        <v>1.8058853154903201E-2</v>
      </c>
      <c r="E28" s="5">
        <v>1.25147839480705E-2</v>
      </c>
      <c r="F28" s="5">
        <v>5.6266256170709704E-3</v>
      </c>
      <c r="G28" s="5">
        <v>9.5119827939369097E-3</v>
      </c>
      <c r="H28" s="5">
        <v>1.4557347612787401E-2</v>
      </c>
      <c r="I28" s="5">
        <v>1.3574831375878499E-2</v>
      </c>
      <c r="J28" s="5">
        <v>5.1319648093841599E-4</v>
      </c>
      <c r="K28" s="5">
        <v>8.0158641492570695E-3</v>
      </c>
      <c r="L28" s="5"/>
      <c r="M28" s="5"/>
      <c r="N28" s="5"/>
      <c r="O28" s="5"/>
      <c r="P28" s="5"/>
    </row>
    <row r="29" spans="1:16" x14ac:dyDescent="0.3">
      <c r="A29" s="6" t="s">
        <v>47</v>
      </c>
      <c r="B29" s="5">
        <v>9.6394833236938498E-5</v>
      </c>
      <c r="C29" s="5">
        <v>-4.3640306295317502E-3</v>
      </c>
      <c r="D29" s="5">
        <v>5.8997050147492603E-4</v>
      </c>
      <c r="E29" s="5">
        <v>-2.5854718486123698E-3</v>
      </c>
      <c r="F29" s="5">
        <v>4.2730505865491803E-3</v>
      </c>
      <c r="G29" s="5">
        <v>2.2787791888570301E-3</v>
      </c>
      <c r="H29" s="5">
        <v>-1.9666313955601202E-3</v>
      </c>
      <c r="I29" s="5">
        <v>4.9242960237724596E-3</v>
      </c>
      <c r="J29" s="5">
        <v>5.3335777126099701E-3</v>
      </c>
      <c r="K29" s="5">
        <v>2.77436413063717E-3</v>
      </c>
      <c r="L29" s="5"/>
      <c r="M29" s="5"/>
      <c r="N29" s="5"/>
      <c r="O29" s="5"/>
      <c r="P29" s="5"/>
    </row>
    <row r="30" spans="1:16" x14ac:dyDescent="0.3">
      <c r="A30" s="6" t="s">
        <v>48</v>
      </c>
      <c r="B30" s="1" t="s">
        <v>85</v>
      </c>
      <c r="C30" s="1" t="s">
        <v>85</v>
      </c>
      <c r="D30" s="1" t="s">
        <v>85</v>
      </c>
      <c r="E30" s="1" t="s">
        <v>85</v>
      </c>
      <c r="F30" s="1" t="s">
        <v>85</v>
      </c>
      <c r="G30" s="1" t="s">
        <v>85</v>
      </c>
      <c r="H30" s="1" t="s">
        <v>85</v>
      </c>
      <c r="I30" s="1" t="s">
        <v>85</v>
      </c>
      <c r="J30" s="1" t="s">
        <v>85</v>
      </c>
      <c r="K30" s="1" t="s">
        <v>85</v>
      </c>
      <c r="L30" s="1"/>
      <c r="M30" s="1"/>
      <c r="N30" s="1"/>
      <c r="O30" s="1"/>
      <c r="P30" s="1"/>
    </row>
    <row r="31" spans="1:16" x14ac:dyDescent="0.3">
      <c r="A31" s="7" t="s">
        <v>49</v>
      </c>
      <c r="B31" s="4">
        <v>3.3724420942466103E-2</v>
      </c>
      <c r="C31" s="4">
        <v>4.5009148200853798E-2</v>
      </c>
      <c r="D31" s="4">
        <v>3.8405640693575098E-2</v>
      </c>
      <c r="E31" s="4">
        <v>3.9992298594493499E-2</v>
      </c>
      <c r="F31" s="4">
        <v>3.8882106268910199E-2</v>
      </c>
      <c r="G31" s="4">
        <v>4.1850163867267497E-2</v>
      </c>
      <c r="H31" s="4">
        <v>4.6686119216340097E-2</v>
      </c>
      <c r="I31" s="4">
        <v>6.5525211074949297E-2</v>
      </c>
      <c r="J31" s="4">
        <v>2.54765395894428E-2</v>
      </c>
      <c r="K31" s="4">
        <v>3.8524559639518903E-2</v>
      </c>
      <c r="L31" s="4">
        <v>3.81555757970072E-2</v>
      </c>
      <c r="M31" s="4">
        <v>3.8990120298641601E-2</v>
      </c>
      <c r="N31" s="4">
        <v>4.0546029889263098E-2</v>
      </c>
      <c r="O31" s="4">
        <v>4.1644988761903902E-2</v>
      </c>
      <c r="P31" s="4">
        <v>4.19293171499436E-2</v>
      </c>
    </row>
    <row r="32" spans="1:16" x14ac:dyDescent="0.3">
      <c r="A32" s="6" t="s">
        <v>50</v>
      </c>
      <c r="B32" s="5">
        <v>5.6253270538984802E-2</v>
      </c>
      <c r="C32" s="5">
        <v>-5.6922138646066302E-4</v>
      </c>
      <c r="D32" s="5">
        <v>-9.7848766098280505E-4</v>
      </c>
      <c r="E32" s="5">
        <v>-8.2515058998267201E-5</v>
      </c>
      <c r="F32" s="5">
        <v>-9.2892404055417005E-5</v>
      </c>
      <c r="G32" s="5">
        <v>-1.5362556329373201E-4</v>
      </c>
      <c r="H32" s="5">
        <v>0</v>
      </c>
      <c r="I32" s="5">
        <v>0</v>
      </c>
      <c r="J32" s="5">
        <v>0</v>
      </c>
      <c r="K32" s="5">
        <v>0</v>
      </c>
      <c r="L32" s="5"/>
      <c r="M32" s="5"/>
      <c r="N32" s="5"/>
      <c r="O32" s="5"/>
      <c r="P32" s="5"/>
    </row>
    <row r="33" spans="1:16" x14ac:dyDescent="0.3">
      <c r="A33" s="6" t="s">
        <v>51</v>
      </c>
      <c r="B33" s="5">
        <v>5.6253270538984802E-2</v>
      </c>
      <c r="C33" s="5">
        <v>-5.6922138646066302E-4</v>
      </c>
      <c r="D33" s="5">
        <v>-9.7848766098280505E-4</v>
      </c>
      <c r="E33" s="5">
        <v>-8.2515058998267201E-5</v>
      </c>
      <c r="F33" s="5">
        <v>-9.2892404055417005E-5</v>
      </c>
      <c r="G33" s="5">
        <v>-1.5362556329373201E-4</v>
      </c>
      <c r="H33" s="5">
        <v>0</v>
      </c>
      <c r="I33" s="5">
        <v>0</v>
      </c>
      <c r="J33" s="5">
        <v>0</v>
      </c>
      <c r="K33" s="5">
        <v>0</v>
      </c>
      <c r="L33" s="5"/>
      <c r="M33" s="5"/>
      <c r="N33" s="5"/>
      <c r="O33" s="5"/>
      <c r="P33" s="5"/>
    </row>
    <row r="34" spans="1:16" x14ac:dyDescent="0.3">
      <c r="A34" s="6" t="s">
        <v>52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/>
      <c r="M34" s="5"/>
      <c r="N34" s="5"/>
      <c r="O34" s="5"/>
      <c r="P34" s="5"/>
    </row>
    <row r="35" spans="1:16" x14ac:dyDescent="0.3">
      <c r="A35" s="7" t="s">
        <v>53</v>
      </c>
      <c r="B35" s="4">
        <v>-2.25288495965188E-2</v>
      </c>
      <c r="C35" s="4">
        <v>4.5578369587314503E-2</v>
      </c>
      <c r="D35" s="4">
        <v>3.9384128354557901E-2</v>
      </c>
      <c r="E35" s="4">
        <v>4.0074813653491803E-2</v>
      </c>
      <c r="F35" s="4">
        <v>3.8974998672965701E-2</v>
      </c>
      <c r="G35" s="4">
        <v>4.2003789430561198E-2</v>
      </c>
      <c r="H35" s="4">
        <v>4.6686119216340097E-2</v>
      </c>
      <c r="I35" s="4">
        <v>6.5525211074949297E-2</v>
      </c>
      <c r="J35" s="4">
        <v>2.54765395894428E-2</v>
      </c>
      <c r="K35" s="4">
        <v>3.8524559639518903E-2</v>
      </c>
      <c r="L35" s="4"/>
      <c r="M35" s="4"/>
      <c r="N35" s="4"/>
      <c r="O35" s="4"/>
      <c r="P35" s="4"/>
    </row>
    <row r="36" spans="1:16" x14ac:dyDescent="0.3">
      <c r="A36" s="6" t="s">
        <v>54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/>
      <c r="M36" s="1"/>
      <c r="N36" s="1"/>
      <c r="O36" s="1"/>
      <c r="P36" s="1"/>
    </row>
    <row r="37" spans="1:16" x14ac:dyDescent="0.3">
      <c r="A37" s="7" t="s">
        <v>55</v>
      </c>
      <c r="B37" s="4">
        <v>-2.25288495965188E-2</v>
      </c>
      <c r="C37" s="4">
        <v>4.5578369587314503E-2</v>
      </c>
      <c r="D37" s="4">
        <v>3.9384128354557901E-2</v>
      </c>
      <c r="E37" s="4">
        <v>4.0074813653491803E-2</v>
      </c>
      <c r="F37" s="4">
        <v>3.8974998672965701E-2</v>
      </c>
      <c r="G37" s="4">
        <v>4.2003789430561198E-2</v>
      </c>
      <c r="H37" s="4">
        <v>4.6686119216340097E-2</v>
      </c>
      <c r="I37" s="4">
        <v>6.5525211074949297E-2</v>
      </c>
      <c r="J37" s="4">
        <v>2.54765395894428E-2</v>
      </c>
      <c r="K37" s="4">
        <v>3.8524559639518903E-2</v>
      </c>
      <c r="L37" s="4">
        <v>3.81555757970072E-2</v>
      </c>
      <c r="M37" s="4">
        <v>3.8990120298641601E-2</v>
      </c>
      <c r="N37" s="4">
        <v>4.0546029889263098E-2</v>
      </c>
      <c r="O37" s="4">
        <v>4.1644988761903902E-2</v>
      </c>
      <c r="P37" s="4">
        <v>4.19293171499436E-2</v>
      </c>
    </row>
    <row r="38" spans="1:16" x14ac:dyDescent="0.3">
      <c r="A38" s="6" t="s">
        <v>56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/>
      <c r="M38" s="5"/>
      <c r="N38" s="5"/>
      <c r="O38" s="5"/>
      <c r="P38" s="5"/>
    </row>
    <row r="39" spans="1:16" x14ac:dyDescent="0.3">
      <c r="A39" s="6" t="s">
        <v>57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/>
      <c r="M39" s="1"/>
      <c r="N39" s="1"/>
      <c r="O39" s="1"/>
      <c r="P39" s="1"/>
    </row>
    <row r="40" spans="1:16" x14ac:dyDescent="0.3">
      <c r="A40" s="7" t="s">
        <v>58</v>
      </c>
      <c r="B40" s="4">
        <v>-2.25288495965188E-2</v>
      </c>
      <c r="C40" s="4">
        <v>4.5578369587314503E-2</v>
      </c>
      <c r="D40" s="4">
        <v>3.9384128354557901E-2</v>
      </c>
      <c r="E40" s="4">
        <v>4.0074813653491803E-2</v>
      </c>
      <c r="F40" s="4">
        <v>3.8974998672965701E-2</v>
      </c>
      <c r="G40" s="4">
        <v>4.2003789430561198E-2</v>
      </c>
      <c r="H40" s="4">
        <v>4.6686119216340097E-2</v>
      </c>
      <c r="I40" s="4">
        <v>6.5525211074949297E-2</v>
      </c>
      <c r="J40" s="4">
        <v>2.54765395894428E-2</v>
      </c>
      <c r="K40" s="4">
        <v>3.8524559639518903E-2</v>
      </c>
      <c r="L40" s="4">
        <v>3.81555757970072E-2</v>
      </c>
      <c r="M40" s="4">
        <v>3.8990120298641601E-2</v>
      </c>
      <c r="N40" s="4">
        <v>4.0546029889263098E-2</v>
      </c>
      <c r="O40" s="4">
        <v>4.1644988761903902E-2</v>
      </c>
      <c r="P40" s="4">
        <v>4.19293171499436E-2</v>
      </c>
    </row>
    <row r="41" spans="1:16" x14ac:dyDescent="0.3">
      <c r="A41" s="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16" x14ac:dyDescent="0.3">
      <c r="A42" s="6" t="s">
        <v>60</v>
      </c>
      <c r="B42" s="5">
        <v>3.4426726156049502E-3</v>
      </c>
      <c r="C42" s="5">
        <v>-4.7570644439926804E-3</v>
      </c>
      <c r="D42" s="5">
        <v>3.53118929419383E-3</v>
      </c>
      <c r="E42" s="5">
        <v>-4.5108232252386096E-3</v>
      </c>
      <c r="F42" s="5">
        <v>-7.0757471203354702E-4</v>
      </c>
      <c r="G42" s="5">
        <v>3.3285538713641902E-4</v>
      </c>
      <c r="H42" s="5">
        <v>4.1897799296715501E-3</v>
      </c>
      <c r="I42" s="5">
        <v>-2.4715815291731502E-3</v>
      </c>
      <c r="J42" s="5">
        <v>6.1528592375366604E-4</v>
      </c>
      <c r="K42" s="5">
        <v>7.5019550888168901E-4</v>
      </c>
      <c r="L42" s="5"/>
      <c r="M42" s="5"/>
      <c r="N42" s="5"/>
      <c r="O42" s="5"/>
      <c r="P42" s="5"/>
    </row>
    <row r="43" spans="1:16" x14ac:dyDescent="0.3">
      <c r="A43" s="6" t="s">
        <v>61</v>
      </c>
      <c r="B43" s="5">
        <v>5.6253270538984802E-2</v>
      </c>
      <c r="C43" s="5">
        <v>-5.6922138646066302E-4</v>
      </c>
      <c r="D43" s="5">
        <v>-9.7848766098280505E-4</v>
      </c>
      <c r="E43" s="5">
        <v>-8.2515058998267201E-5</v>
      </c>
      <c r="F43" s="5">
        <v>-9.2892404055417005E-5</v>
      </c>
      <c r="G43" s="5">
        <v>-1.5362556329373201E-4</v>
      </c>
      <c r="H43" s="5">
        <v>0</v>
      </c>
      <c r="I43" s="5">
        <v>0</v>
      </c>
      <c r="J43" s="5">
        <v>0</v>
      </c>
      <c r="K43" s="5">
        <v>0</v>
      </c>
      <c r="L43" s="5"/>
      <c r="M43" s="5"/>
      <c r="N43" s="5"/>
      <c r="O43" s="5"/>
      <c r="P43" s="5"/>
    </row>
    <row r="44" spans="1:16" x14ac:dyDescent="0.3">
      <c r="A44" s="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 x14ac:dyDescent="0.3">
      <c r="A45" s="7" t="s">
        <v>2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16" x14ac:dyDescent="0.3">
      <c r="A46" s="6" t="s">
        <v>70</v>
      </c>
      <c r="B46" s="15" t="s">
        <v>71</v>
      </c>
      <c r="C46" s="15" t="s">
        <v>71</v>
      </c>
      <c r="D46" s="15" t="s">
        <v>71</v>
      </c>
      <c r="E46" s="15" t="s">
        <v>71</v>
      </c>
      <c r="F46" s="15" t="s">
        <v>71</v>
      </c>
      <c r="G46" s="15" t="s">
        <v>71</v>
      </c>
      <c r="H46" s="15" t="s">
        <v>71</v>
      </c>
      <c r="I46" s="15" t="s">
        <v>71</v>
      </c>
      <c r="J46" s="15" t="s">
        <v>71</v>
      </c>
      <c r="K46" s="15" t="s">
        <v>71</v>
      </c>
      <c r="L46" s="15"/>
      <c r="M46" s="15"/>
      <c r="N46" s="15"/>
      <c r="O46" s="15"/>
      <c r="P46" s="15"/>
    </row>
    <row r="47" spans="1:16" x14ac:dyDescent="0.3">
      <c r="A47" s="6" t="s">
        <v>72</v>
      </c>
      <c r="B47" s="5">
        <v>9.1767881241565499E-2</v>
      </c>
      <c r="C47" s="5">
        <v>0.10494002846106899</v>
      </c>
      <c r="D47" s="5">
        <v>0.10456867400532401</v>
      </c>
      <c r="E47" s="5">
        <v>9.5057347966003805E-2</v>
      </c>
      <c r="F47" s="5">
        <v>9.0556823610595097E-2</v>
      </c>
      <c r="G47" s="5">
        <v>9.6476853748463806E-2</v>
      </c>
      <c r="H47" s="5">
        <v>0.100394395100523</v>
      </c>
      <c r="I47" s="5">
        <v>0.113541814065374</v>
      </c>
      <c r="J47" s="5">
        <v>6.4112903225806497E-2</v>
      </c>
      <c r="K47" s="5">
        <v>8.4143298700331395E-2</v>
      </c>
      <c r="L47" s="5">
        <v>7.9573667711598794E-2</v>
      </c>
      <c r="M47" s="5">
        <v>8.0311169545233194E-2</v>
      </c>
      <c r="N47" s="5">
        <v>8.2164778263815297E-2</v>
      </c>
      <c r="O47" s="5">
        <v>8.1577750735131696E-2</v>
      </c>
      <c r="P47" s="5">
        <v>8.3842154269563901E-2</v>
      </c>
    </row>
    <row r="48" spans="1:16" x14ac:dyDescent="0.3">
      <c r="A48" s="6" t="s">
        <v>73</v>
      </c>
      <c r="B48" s="5">
        <v>1.2637070698724801E-4</v>
      </c>
      <c r="C48" s="5">
        <v>1.4222406993291299E-4</v>
      </c>
      <c r="D48" s="5">
        <v>1.5046934311821E-4</v>
      </c>
      <c r="E48" s="5">
        <v>1.3072771405781599E-4</v>
      </c>
      <c r="F48" s="5">
        <v>1.2017201019162399E-4</v>
      </c>
      <c r="G48" s="5">
        <v>1.2351092021712401E-4</v>
      </c>
      <c r="H48" s="5">
        <v>1.07303684227402E-4</v>
      </c>
      <c r="I48" s="5">
        <v>1.07109862742323E-4</v>
      </c>
      <c r="J48" s="5">
        <v>5.8754490469208203E-5</v>
      </c>
      <c r="K48" s="5">
        <v>7.8336964212564694E-5</v>
      </c>
      <c r="L48" s="5">
        <v>7.5304825420570201E-5</v>
      </c>
      <c r="M48" s="5">
        <v>7.4122028356762E-5</v>
      </c>
      <c r="N48" s="5">
        <v>7.3369024475813095E-5</v>
      </c>
      <c r="O48" s="5">
        <v>7.0657310162904107E-5</v>
      </c>
      <c r="P48" s="5">
        <v>6.9086062236475097E-5</v>
      </c>
    </row>
    <row r="49" spans="1:16" x14ac:dyDescent="0.3">
      <c r="A49" s="6" t="s">
        <v>74</v>
      </c>
      <c r="B49" s="5">
        <v>6.2739265746784498E-2</v>
      </c>
      <c r="C49" s="5">
        <v>7.5245646134038099E-2</v>
      </c>
      <c r="D49" s="5">
        <v>7.1760558313547704E-2</v>
      </c>
      <c r="E49" s="5">
        <v>6.11986687570482E-2</v>
      </c>
      <c r="F49" s="5">
        <v>5.7911778756834197E-2</v>
      </c>
      <c r="G49" s="5">
        <v>6.3306534207292098E-2</v>
      </c>
      <c r="H49" s="5">
        <v>7.6720000855057105E-2</v>
      </c>
      <c r="I49" s="5">
        <v>8.9014669119381107E-2</v>
      </c>
      <c r="J49" s="5">
        <v>3.93695014662757E-2</v>
      </c>
      <c r="K49" s="5">
        <v>5.8075447808438499E-2</v>
      </c>
      <c r="L49" s="5"/>
      <c r="M49" s="5"/>
      <c r="N49" s="5"/>
      <c r="O49" s="5"/>
      <c r="P49" s="5"/>
    </row>
    <row r="50" spans="1:16" x14ac:dyDescent="0.3">
      <c r="A50" s="6" t="s">
        <v>75</v>
      </c>
      <c r="B50" s="5">
        <v>6.2450081247073699E-2</v>
      </c>
      <c r="C50" s="5">
        <v>7.4947482550653893E-2</v>
      </c>
      <c r="D50" s="5">
        <v>7.1501546873875804E-2</v>
      </c>
      <c r="E50" s="5">
        <v>5.8090601534780101E-2</v>
      </c>
      <c r="F50" s="5">
        <v>5.45411115239662E-2</v>
      </c>
      <c r="G50" s="5">
        <v>5.9632322818516999E-2</v>
      </c>
      <c r="H50" s="5">
        <v>6.9890232041128306E-2</v>
      </c>
      <c r="I50" s="5">
        <v>8.4392245648790207E-2</v>
      </c>
      <c r="J50" s="5">
        <v>3.52639296187683E-2</v>
      </c>
      <c r="K50" s="5">
        <v>5.3131866085726003E-2</v>
      </c>
      <c r="L50" s="5">
        <v>5.2226187969480101E-2</v>
      </c>
      <c r="M50" s="5">
        <v>5.3336174128761599E-2</v>
      </c>
      <c r="N50" s="5">
        <v>5.5540488019403797E-2</v>
      </c>
      <c r="O50" s="5">
        <v>5.5890425315381201E-2</v>
      </c>
      <c r="P50" s="5">
        <v>5.7548265888809201E-2</v>
      </c>
    </row>
    <row r="51" spans="1:16" x14ac:dyDescent="0.3">
      <c r="A51" s="6" t="s">
        <v>76</v>
      </c>
      <c r="B51" s="5">
        <v>4.0467450218954E-4</v>
      </c>
      <c r="C51" s="5">
        <v>3.9572198956427501E-4</v>
      </c>
      <c r="D51" s="5">
        <v>4.2136386790416603E-4</v>
      </c>
      <c r="E51" s="5">
        <v>4.0831604642847298E-4</v>
      </c>
      <c r="F51" s="5">
        <v>3.88428220712352E-4</v>
      </c>
      <c r="G51" s="5">
        <v>3.8102201966407198E-4</v>
      </c>
      <c r="H51" s="5">
        <v>3.12829127521082E-4</v>
      </c>
      <c r="I51" s="5">
        <v>2.7624662987594899E-4</v>
      </c>
      <c r="J51" s="5">
        <v>2.2583863636363601E-4</v>
      </c>
      <c r="K51" s="5">
        <v>2.5721705209846201E-4</v>
      </c>
      <c r="L51" s="5"/>
      <c r="M51" s="5"/>
      <c r="N51" s="5"/>
      <c r="O51" s="5"/>
      <c r="P51" s="5"/>
    </row>
    <row r="52" spans="1:16" x14ac:dyDescent="0.3">
      <c r="A52" s="6" t="s">
        <v>77</v>
      </c>
      <c r="B52" s="5">
        <v>8.5998072103335305E-5</v>
      </c>
      <c r="C52" s="5">
        <v>1.01575496374602E-4</v>
      </c>
      <c r="D52" s="5">
        <v>1.02887330023743E-4</v>
      </c>
      <c r="E52" s="5">
        <v>7.9889154770745706E-5</v>
      </c>
      <c r="F52" s="5">
        <v>7.2377926110727794E-5</v>
      </c>
      <c r="G52" s="5">
        <v>7.6342072920934003E-5</v>
      </c>
      <c r="H52" s="5">
        <v>7.4700174217889897E-5</v>
      </c>
      <c r="I52" s="5">
        <v>7.9611574925711104E-5</v>
      </c>
      <c r="J52" s="5">
        <v>3.2316651392961902E-5</v>
      </c>
      <c r="K52" s="5">
        <v>4.9465488027408499E-5</v>
      </c>
      <c r="L52" s="5">
        <v>4.94244400255327E-5</v>
      </c>
      <c r="M52" s="5">
        <v>4.92258478316222E-5</v>
      </c>
      <c r="N52" s="5">
        <v>4.9594869127624897E-5</v>
      </c>
      <c r="O52" s="5">
        <v>4.8408629571896699E-5</v>
      </c>
      <c r="P52" s="5">
        <v>4.7419858344918201E-5</v>
      </c>
    </row>
    <row r="53" spans="1:16" x14ac:dyDescent="0.3">
      <c r="A53" s="6" t="s">
        <v>78</v>
      </c>
      <c r="B53" s="5">
        <v>-3.1023781982428603E-5</v>
      </c>
      <c r="C53" s="5">
        <v>6.17718642000407E-5</v>
      </c>
      <c r="D53" s="5">
        <v>5.6671890064033402E-5</v>
      </c>
      <c r="E53" s="5">
        <v>5.5112921858239101E-5</v>
      </c>
      <c r="F53" s="5">
        <v>5.1721163543712503E-5</v>
      </c>
      <c r="G53" s="5">
        <v>5.3773799160180301E-5</v>
      </c>
      <c r="H53" s="5">
        <v>4.9899124635264699E-5</v>
      </c>
      <c r="I53" s="5">
        <v>6.1813320126409104E-5</v>
      </c>
      <c r="J53" s="5">
        <v>2.3347269061583599E-5</v>
      </c>
      <c r="K53" s="5">
        <v>3.5866160205563603E-5</v>
      </c>
      <c r="L53" s="5">
        <v>3.6014289046292101E-5</v>
      </c>
      <c r="M53" s="5">
        <v>3.5797064557480099E-5</v>
      </c>
      <c r="N53" s="5">
        <v>3.6039727565381801E-5</v>
      </c>
      <c r="O53" s="5">
        <v>3.6070164489265503E-5</v>
      </c>
      <c r="P53" s="5">
        <v>3.4549820903224002E-5</v>
      </c>
    </row>
    <row r="54" spans="1:16" x14ac:dyDescent="0.3">
      <c r="A54" s="6" t="s">
        <v>79</v>
      </c>
      <c r="B54" s="5">
        <v>2.8818443804015499</v>
      </c>
      <c r="C54" s="5">
        <v>2.9325513196449098</v>
      </c>
      <c r="D54" s="5">
        <v>3.0959752322037599</v>
      </c>
      <c r="E54" s="5">
        <v>2.7777777777731898</v>
      </c>
      <c r="F54" s="5">
        <v>2.7777777777748298</v>
      </c>
      <c r="G54" s="5">
        <v>2.7173913043450399</v>
      </c>
      <c r="H54" s="5">
        <v>2.44498777505585</v>
      </c>
      <c r="I54" s="5">
        <v>2.22222222222537</v>
      </c>
      <c r="J54" s="5">
        <v>2.2727272727272698</v>
      </c>
      <c r="K54" s="5">
        <v>2.40963855422113</v>
      </c>
      <c r="L54" s="5"/>
      <c r="M54" s="5"/>
      <c r="N54" s="5"/>
      <c r="O54" s="5"/>
      <c r="P54" s="5"/>
    </row>
    <row r="55" spans="1:16" x14ac:dyDescent="0.3">
      <c r="A55" s="6" t="s">
        <v>80</v>
      </c>
      <c r="B55" s="5">
        <v>2.7403674020215399E-5</v>
      </c>
      <c r="C55" s="5">
        <v>2.98163583384157E-5</v>
      </c>
      <c r="D55" s="5">
        <v>3.3959277645873799E-5</v>
      </c>
      <c r="E55" s="5">
        <v>3.38311741892895E-5</v>
      </c>
      <c r="F55" s="5">
        <v>3.3706672328679897E-5</v>
      </c>
      <c r="G55" s="5">
        <v>3.35415813191315E-5</v>
      </c>
      <c r="H55" s="5">
        <v>2.88581780870234E-5</v>
      </c>
      <c r="I55" s="5">
        <v>3.1885288429791001E-5</v>
      </c>
      <c r="J55" s="5">
        <v>3.7939882697947203E-5</v>
      </c>
      <c r="K55" s="5">
        <v>4.0777566752318198E-5</v>
      </c>
      <c r="L55" s="5">
        <v>4.2074880227124801E-5</v>
      </c>
      <c r="M55" s="5">
        <v>4.1172152064512097E-5</v>
      </c>
      <c r="N55" s="5">
        <v>4.1263211471726402E-5</v>
      </c>
      <c r="O55" s="5">
        <v>4.3540584900676002E-5</v>
      </c>
      <c r="P55" s="5">
        <v>4.3696800402112701E-5</v>
      </c>
    </row>
    <row r="56" spans="1:16" x14ac:dyDescent="0.3">
      <c r="A56" s="6" t="s">
        <v>81</v>
      </c>
      <c r="B56" s="5">
        <v>1.75300889586604E-2</v>
      </c>
      <c r="C56" s="5">
        <v>1.8675882631971299E-2</v>
      </c>
      <c r="D56" s="5">
        <v>1.9555363695229901E-2</v>
      </c>
      <c r="E56" s="5">
        <v>1.8648403333608399E-2</v>
      </c>
      <c r="F56" s="5">
        <v>1.78751526089495E-2</v>
      </c>
      <c r="G56" s="5">
        <v>1.70140311347808E-2</v>
      </c>
      <c r="H56" s="5">
        <v>1.4354271544767601E-2</v>
      </c>
      <c r="I56" s="5">
        <v>1.4603084760152801E-2</v>
      </c>
      <c r="J56" s="5">
        <v>1.6816348973606999E-2</v>
      </c>
      <c r="K56" s="5">
        <v>1.7186161695155099E-2</v>
      </c>
      <c r="L56" s="5"/>
      <c r="M56" s="5"/>
      <c r="N56" s="5"/>
      <c r="O56" s="5"/>
      <c r="P56" s="5"/>
    </row>
    <row r="57" spans="1:16" x14ac:dyDescent="0.3">
      <c r="A57" s="6" t="s">
        <v>82</v>
      </c>
      <c r="B57" s="5">
        <v>1.37706904624198E-5</v>
      </c>
      <c r="C57" s="5">
        <v>2.1684624246120501E-4</v>
      </c>
      <c r="D57" s="5">
        <v>2.8779048852435401E-4</v>
      </c>
      <c r="E57" s="5">
        <v>0</v>
      </c>
      <c r="F57" s="5" t="s">
        <v>85</v>
      </c>
      <c r="G57" s="5" t="s">
        <v>85</v>
      </c>
      <c r="H57" s="5" t="s">
        <v>85</v>
      </c>
      <c r="I57" s="5" t="s">
        <v>85</v>
      </c>
      <c r="J57" s="5" t="s">
        <v>85</v>
      </c>
      <c r="K57" s="5" t="s">
        <v>85</v>
      </c>
      <c r="L57" s="5"/>
      <c r="M57" s="5"/>
      <c r="N57" s="5"/>
      <c r="O57" s="5"/>
      <c r="P57" s="5"/>
    </row>
    <row r="58" spans="1:16" x14ac:dyDescent="0.3">
      <c r="A58" s="6" t="s">
        <v>83</v>
      </c>
      <c r="B58" s="5">
        <v>2.9028615494780901E-2</v>
      </c>
      <c r="C58" s="5">
        <v>2.9694382327031199E-2</v>
      </c>
      <c r="D58" s="5">
        <v>3.2808115691776399E-2</v>
      </c>
      <c r="E58" s="5">
        <v>3.3858679208955599E-2</v>
      </c>
      <c r="F58" s="5">
        <v>3.2645044853760803E-2</v>
      </c>
      <c r="G58" s="5">
        <v>3.3170319541171701E-2</v>
      </c>
      <c r="H58" s="5">
        <v>2.36743942454655E-2</v>
      </c>
      <c r="I58" s="5">
        <v>2.4527144945993101E-2</v>
      </c>
      <c r="J58" s="5">
        <v>2.4743401759530801E-2</v>
      </c>
      <c r="K58" s="5">
        <v>2.60678508918929E-2</v>
      </c>
      <c r="L58" s="5"/>
      <c r="M58" s="5"/>
      <c r="N58" s="5"/>
      <c r="O58" s="5"/>
      <c r="P58" s="5"/>
    </row>
    <row r="59" spans="1:16" x14ac:dyDescent="0.3">
      <c r="A59" s="6" t="s">
        <v>84</v>
      </c>
      <c r="B59" s="5">
        <v>2.5613484260100798E-3</v>
      </c>
      <c r="C59" s="5">
        <v>2.46662600799621E-3</v>
      </c>
      <c r="D59" s="5">
        <v>2.1296496150802202E-3</v>
      </c>
      <c r="E59" s="5">
        <v>2.91553208460544E-3</v>
      </c>
      <c r="F59" s="5">
        <v>3.18488242475715E-3</v>
      </c>
      <c r="G59" s="5">
        <v>3.5077836952068799E-3</v>
      </c>
      <c r="H59" s="5">
        <v>3.9439510052265399E-3</v>
      </c>
      <c r="I59" s="5">
        <v>4.2262157445403497E-3</v>
      </c>
      <c r="J59" s="5">
        <v>4.1055718475073296E-3</v>
      </c>
      <c r="K59" s="5">
        <v>4.93427177596544E-3</v>
      </c>
      <c r="L59" s="5"/>
      <c r="M59" s="5"/>
      <c r="N59" s="5"/>
      <c r="O59" s="5"/>
      <c r="P5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C55D-B434-45A3-9CE9-46CA873F8E5A}">
  <dimension ref="A1:Q94"/>
  <sheetViews>
    <sheetView zoomScale="77" zoomScaleNormal="100" workbookViewId="0">
      <selection activeCell="A23" sqref="A23"/>
    </sheetView>
  </sheetViews>
  <sheetFormatPr defaultRowHeight="14.4" x14ac:dyDescent="0.3"/>
  <cols>
    <col min="1" max="1" width="35.109375" style="54" customWidth="1"/>
    <col min="2" max="15" width="12.5546875" style="54" customWidth="1"/>
    <col min="16" max="16384" width="8.88671875" style="54"/>
  </cols>
  <sheetData>
    <row r="1" spans="1:16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21" x14ac:dyDescent="0.3">
      <c r="A2" s="29" t="s">
        <v>239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16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6" x14ac:dyDescent="0.3">
      <c r="A4" s="46" t="s">
        <v>4</v>
      </c>
      <c r="B4" s="45" t="s">
        <v>6</v>
      </c>
      <c r="C4" s="45" t="s">
        <v>7</v>
      </c>
      <c r="D4" s="45" t="s">
        <v>8</v>
      </c>
      <c r="E4" s="45" t="s">
        <v>9</v>
      </c>
      <c r="F4" s="45" t="s">
        <v>10</v>
      </c>
      <c r="G4" s="45" t="s">
        <v>11</v>
      </c>
      <c r="H4" s="45" t="s">
        <v>12</v>
      </c>
      <c r="I4" s="45" t="s">
        <v>13</v>
      </c>
      <c r="J4" s="45" t="s">
        <v>14</v>
      </c>
      <c r="K4" s="45" t="s">
        <v>161</v>
      </c>
      <c r="L4" s="22" t="s">
        <v>86</v>
      </c>
      <c r="M4" s="22" t="s">
        <v>87</v>
      </c>
      <c r="N4" s="22" t="s">
        <v>88</v>
      </c>
      <c r="O4" s="22" t="s">
        <v>89</v>
      </c>
      <c r="P4" s="22" t="s">
        <v>90</v>
      </c>
    </row>
    <row r="5" spans="1:16" x14ac:dyDescent="0.3">
      <c r="A5" s="44" t="s">
        <v>15</v>
      </c>
      <c r="B5" s="43" t="s">
        <v>17</v>
      </c>
      <c r="C5" s="43" t="s">
        <v>18</v>
      </c>
      <c r="D5" s="43" t="s">
        <v>19</v>
      </c>
      <c r="E5" s="43" t="s">
        <v>20</v>
      </c>
      <c r="F5" s="43" t="s">
        <v>21</v>
      </c>
      <c r="G5" s="43" t="s">
        <v>22</v>
      </c>
      <c r="H5" s="43" t="s">
        <v>23</v>
      </c>
      <c r="I5" s="43" t="s">
        <v>24</v>
      </c>
      <c r="J5" s="43" t="s">
        <v>25</v>
      </c>
      <c r="K5" s="43" t="s">
        <v>162</v>
      </c>
      <c r="L5" s="21" t="s">
        <v>91</v>
      </c>
      <c r="M5" s="21" t="s">
        <v>92</v>
      </c>
      <c r="N5" s="21" t="s">
        <v>93</v>
      </c>
      <c r="O5" s="21" t="s">
        <v>94</v>
      </c>
      <c r="P5" s="21" t="s">
        <v>95</v>
      </c>
    </row>
    <row r="6" spans="1:16" x14ac:dyDescent="0.3">
      <c r="A6" s="42" t="s">
        <v>163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20"/>
      <c r="M6" s="20"/>
      <c r="N6" s="20"/>
      <c r="O6" s="20"/>
      <c r="P6" s="20"/>
    </row>
    <row r="7" spans="1:16" x14ac:dyDescent="0.3">
      <c r="A7" s="41" t="s">
        <v>164</v>
      </c>
      <c r="B7" s="34">
        <v>4046</v>
      </c>
      <c r="C7" s="34">
        <v>2512</v>
      </c>
      <c r="D7" s="34">
        <v>2643</v>
      </c>
      <c r="E7" s="34">
        <v>1556</v>
      </c>
      <c r="F7" s="34">
        <v>2577</v>
      </c>
      <c r="G7" s="34">
        <v>8511</v>
      </c>
      <c r="H7" s="34">
        <v>5911</v>
      </c>
      <c r="I7" s="34">
        <v>2229</v>
      </c>
      <c r="J7" s="34">
        <v>3805</v>
      </c>
      <c r="K7" s="34">
        <v>4762</v>
      </c>
      <c r="L7" s="19"/>
      <c r="M7" s="19"/>
      <c r="N7" s="19"/>
      <c r="O7" s="19"/>
      <c r="P7" s="19"/>
    </row>
    <row r="8" spans="1:16" x14ac:dyDescent="0.3">
      <c r="A8" s="41" t="s">
        <v>165</v>
      </c>
      <c r="B8" s="34">
        <v>1038</v>
      </c>
      <c r="C8" s="34">
        <v>2512</v>
      </c>
      <c r="D8" s="34">
        <v>2643</v>
      </c>
      <c r="E8" s="34">
        <v>1556</v>
      </c>
      <c r="F8" s="34">
        <v>2577</v>
      </c>
      <c r="G8" s="34">
        <v>8511</v>
      </c>
      <c r="H8" s="34">
        <v>5911</v>
      </c>
      <c r="I8" s="34">
        <v>2229</v>
      </c>
      <c r="J8" s="34">
        <v>3805</v>
      </c>
      <c r="K8" s="34">
        <v>4762</v>
      </c>
      <c r="L8" s="19"/>
      <c r="M8" s="19"/>
      <c r="N8" s="19"/>
      <c r="O8" s="19"/>
      <c r="P8" s="19"/>
    </row>
    <row r="9" spans="1:16" x14ac:dyDescent="0.3">
      <c r="A9" s="41" t="s">
        <v>166</v>
      </c>
      <c r="B9" s="34">
        <v>3008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19"/>
      <c r="M9" s="19"/>
      <c r="N9" s="19"/>
      <c r="O9" s="19"/>
      <c r="P9" s="19"/>
    </row>
    <row r="10" spans="1:16" x14ac:dyDescent="0.3">
      <c r="A10" s="41" t="s">
        <v>167</v>
      </c>
      <c r="B10" s="34">
        <v>0</v>
      </c>
      <c r="C10" s="34">
        <v>0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19"/>
      <c r="M10" s="19"/>
      <c r="N10" s="19"/>
      <c r="O10" s="19"/>
      <c r="P10" s="19"/>
    </row>
    <row r="11" spans="1:16" x14ac:dyDescent="0.3">
      <c r="A11" s="41" t="s">
        <v>168</v>
      </c>
      <c r="B11" s="34">
        <v>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20"/>
      <c r="M11" s="20"/>
      <c r="N11" s="20"/>
      <c r="O11" s="20"/>
      <c r="P11" s="20"/>
    </row>
    <row r="12" spans="1:16" x14ac:dyDescent="0.3">
      <c r="A12" s="41" t="s">
        <v>169</v>
      </c>
      <c r="B12" s="34">
        <v>0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19"/>
      <c r="M12" s="19"/>
      <c r="N12" s="19"/>
      <c r="O12" s="19"/>
      <c r="P12" s="19"/>
    </row>
    <row r="13" spans="1:16" x14ac:dyDescent="0.3">
      <c r="A13" s="41" t="s">
        <v>170</v>
      </c>
      <c r="B13" s="34">
        <v>8601</v>
      </c>
      <c r="C13" s="34">
        <v>8309</v>
      </c>
      <c r="D13" s="34">
        <v>8597</v>
      </c>
      <c r="E13" s="34">
        <v>9497</v>
      </c>
      <c r="F13" s="34">
        <v>8992</v>
      </c>
      <c r="G13" s="34">
        <v>10653</v>
      </c>
      <c r="H13" s="34">
        <v>13902</v>
      </c>
      <c r="I13" s="34">
        <v>13499</v>
      </c>
      <c r="J13" s="34">
        <v>11886</v>
      </c>
      <c r="K13" s="34">
        <v>12740</v>
      </c>
      <c r="L13" s="19"/>
      <c r="M13" s="19"/>
      <c r="N13" s="19"/>
      <c r="O13" s="19"/>
      <c r="P13" s="19"/>
    </row>
    <row r="14" spans="1:16" x14ac:dyDescent="0.3">
      <c r="A14" s="41" t="s">
        <v>171</v>
      </c>
      <c r="B14" s="34">
        <v>1483</v>
      </c>
      <c r="C14" s="34">
        <v>1169</v>
      </c>
      <c r="D14" s="34">
        <v>1300</v>
      </c>
      <c r="E14" s="34">
        <v>1466</v>
      </c>
      <c r="F14" s="34">
        <v>1333</v>
      </c>
      <c r="G14" s="34">
        <v>1592</v>
      </c>
      <c r="H14" s="34">
        <v>1760</v>
      </c>
      <c r="I14" s="34">
        <v>2118</v>
      </c>
      <c r="J14" s="34">
        <v>1807</v>
      </c>
      <c r="K14" s="34">
        <v>1952</v>
      </c>
      <c r="L14" s="19"/>
      <c r="M14" s="19"/>
      <c r="N14" s="19"/>
      <c r="O14" s="19"/>
      <c r="P14" s="19"/>
    </row>
    <row r="15" spans="1:16" x14ac:dyDescent="0.3">
      <c r="A15" s="41" t="s">
        <v>172</v>
      </c>
      <c r="B15" s="34" t="s">
        <v>85</v>
      </c>
      <c r="C15" s="34" t="s">
        <v>85</v>
      </c>
      <c r="D15" s="34">
        <v>157</v>
      </c>
      <c r="E15" s="34">
        <v>157</v>
      </c>
      <c r="F15" s="34">
        <v>154</v>
      </c>
      <c r="G15" s="34">
        <v>171</v>
      </c>
      <c r="H15" s="34">
        <v>170</v>
      </c>
      <c r="I15" s="34">
        <v>188</v>
      </c>
      <c r="J15" s="34">
        <v>201</v>
      </c>
      <c r="K15" s="34">
        <v>226</v>
      </c>
      <c r="L15" s="19"/>
      <c r="M15" s="19"/>
      <c r="N15" s="19"/>
      <c r="O15" s="19"/>
      <c r="P15" s="19"/>
    </row>
    <row r="16" spans="1:16" x14ac:dyDescent="0.3">
      <c r="A16" s="41" t="s">
        <v>173</v>
      </c>
      <c r="B16" s="34">
        <v>63</v>
      </c>
      <c r="C16" s="34">
        <v>39</v>
      </c>
      <c r="D16" s="34">
        <v>23</v>
      </c>
      <c r="E16" s="34">
        <v>19</v>
      </c>
      <c r="F16" s="34">
        <v>62</v>
      </c>
      <c r="G16" s="34">
        <v>38</v>
      </c>
      <c r="H16" s="34">
        <v>52</v>
      </c>
      <c r="I16" s="34">
        <v>27</v>
      </c>
      <c r="J16" s="34">
        <v>25</v>
      </c>
      <c r="K16" s="34">
        <v>23</v>
      </c>
      <c r="L16" s="19"/>
      <c r="M16" s="19"/>
      <c r="N16" s="19"/>
      <c r="O16" s="19"/>
      <c r="P16" s="19"/>
    </row>
    <row r="17" spans="1:16" x14ac:dyDescent="0.3">
      <c r="A17" s="41" t="s">
        <v>51</v>
      </c>
      <c r="B17" s="34">
        <v>322</v>
      </c>
      <c r="C17" s="34" t="s">
        <v>85</v>
      </c>
      <c r="D17" s="34" t="s">
        <v>85</v>
      </c>
      <c r="E17" s="34" t="s">
        <v>85</v>
      </c>
      <c r="F17" s="34" t="s">
        <v>85</v>
      </c>
      <c r="G17" s="34" t="s">
        <v>85</v>
      </c>
      <c r="H17" s="34" t="s">
        <v>85</v>
      </c>
      <c r="I17" s="34" t="s">
        <v>85</v>
      </c>
      <c r="J17" s="34" t="s">
        <v>85</v>
      </c>
      <c r="K17" s="34" t="s">
        <v>85</v>
      </c>
      <c r="L17" s="19"/>
      <c r="M17" s="19"/>
      <c r="N17" s="19"/>
      <c r="O17" s="19"/>
      <c r="P17" s="19"/>
    </row>
    <row r="18" spans="1:16" x14ac:dyDescent="0.3">
      <c r="A18" s="41" t="s">
        <v>174</v>
      </c>
      <c r="B18" s="34">
        <v>1098</v>
      </c>
      <c r="C18" s="34">
        <v>1130</v>
      </c>
      <c r="D18" s="34">
        <v>1120</v>
      </c>
      <c r="E18" s="34">
        <v>1290</v>
      </c>
      <c r="F18" s="34">
        <v>1117</v>
      </c>
      <c r="G18" s="34">
        <v>1383</v>
      </c>
      <c r="H18" s="34">
        <v>1538</v>
      </c>
      <c r="I18" s="34">
        <v>1903</v>
      </c>
      <c r="J18" s="34">
        <v>1581</v>
      </c>
      <c r="K18" s="34">
        <v>1703</v>
      </c>
      <c r="L18" s="20"/>
      <c r="M18" s="20"/>
      <c r="N18" s="20"/>
      <c r="O18" s="20"/>
      <c r="P18" s="20"/>
    </row>
    <row r="19" spans="1:16" x14ac:dyDescent="0.3">
      <c r="A19" s="42" t="s">
        <v>175</v>
      </c>
      <c r="B19" s="37">
        <v>14130</v>
      </c>
      <c r="C19" s="37">
        <v>11990</v>
      </c>
      <c r="D19" s="37">
        <v>12540</v>
      </c>
      <c r="E19" s="37">
        <v>12519</v>
      </c>
      <c r="F19" s="37">
        <v>12902</v>
      </c>
      <c r="G19" s="37">
        <v>20756</v>
      </c>
      <c r="H19" s="37">
        <v>21573</v>
      </c>
      <c r="I19" s="37">
        <v>17846</v>
      </c>
      <c r="J19" s="37">
        <v>17498</v>
      </c>
      <c r="K19" s="37">
        <v>19454</v>
      </c>
      <c r="L19" s="19"/>
      <c r="M19" s="19"/>
      <c r="N19" s="19"/>
      <c r="O19" s="19"/>
      <c r="P19" s="19"/>
    </row>
    <row r="20" spans="1:16" x14ac:dyDescent="0.3">
      <c r="A20" s="41" t="s">
        <v>176</v>
      </c>
      <c r="B20" s="34">
        <v>25217</v>
      </c>
      <c r="C20" s="34">
        <v>24658</v>
      </c>
      <c r="D20" s="34">
        <v>26420</v>
      </c>
      <c r="E20" s="34">
        <v>27498</v>
      </c>
      <c r="F20" s="34">
        <v>28519</v>
      </c>
      <c r="G20" s="34">
        <v>29106</v>
      </c>
      <c r="H20" s="34">
        <v>30737</v>
      </c>
      <c r="I20" s="34">
        <v>34169</v>
      </c>
      <c r="J20" s="34">
        <v>36458</v>
      </c>
      <c r="K20" s="34">
        <v>36785</v>
      </c>
      <c r="L20" s="19"/>
      <c r="M20" s="19"/>
      <c r="N20" s="19"/>
      <c r="O20" s="19"/>
      <c r="P20" s="19"/>
    </row>
    <row r="21" spans="1:16" x14ac:dyDescent="0.3">
      <c r="A21" s="41" t="s">
        <v>177</v>
      </c>
      <c r="B21" s="34">
        <v>41463</v>
      </c>
      <c r="C21" s="34">
        <v>42071</v>
      </c>
      <c r="D21" s="34">
        <v>44818</v>
      </c>
      <c r="E21" s="34">
        <v>46185</v>
      </c>
      <c r="F21" s="34">
        <v>48183</v>
      </c>
      <c r="G21" s="34">
        <v>49384</v>
      </c>
      <c r="H21" s="34">
        <v>51874</v>
      </c>
      <c r="I21" s="34">
        <v>56800</v>
      </c>
      <c r="J21" s="34">
        <v>60871</v>
      </c>
      <c r="K21" s="34">
        <v>63062</v>
      </c>
      <c r="L21" s="18"/>
      <c r="M21" s="18"/>
      <c r="N21" s="18"/>
      <c r="O21" s="18"/>
      <c r="P21" s="18"/>
    </row>
    <row r="22" spans="1:16" x14ac:dyDescent="0.3">
      <c r="A22" s="41" t="s">
        <v>178</v>
      </c>
      <c r="B22" s="34">
        <v>16246</v>
      </c>
      <c r="C22" s="34">
        <v>17413</v>
      </c>
      <c r="D22" s="34">
        <v>18398</v>
      </c>
      <c r="E22" s="34">
        <v>18687</v>
      </c>
      <c r="F22" s="34">
        <v>19664</v>
      </c>
      <c r="G22" s="34">
        <v>20278</v>
      </c>
      <c r="H22" s="34">
        <v>21137</v>
      </c>
      <c r="I22" s="34">
        <v>22631</v>
      </c>
      <c r="J22" s="34">
        <v>24413</v>
      </c>
      <c r="K22" s="34">
        <v>26277</v>
      </c>
      <c r="L22" s="18"/>
      <c r="M22" s="18"/>
      <c r="N22" s="18"/>
      <c r="O22" s="18"/>
      <c r="P22" s="18"/>
    </row>
    <row r="23" spans="1:16" x14ac:dyDescent="0.3">
      <c r="A23" s="41" t="s">
        <v>179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19"/>
      <c r="M23" s="19"/>
      <c r="N23" s="19"/>
      <c r="O23" s="19"/>
      <c r="P23" s="19"/>
    </row>
    <row r="24" spans="1:16" x14ac:dyDescent="0.3">
      <c r="A24" s="41" t="s">
        <v>180</v>
      </c>
      <c r="B24" s="34">
        <v>915</v>
      </c>
      <c r="C24" s="34">
        <v>783</v>
      </c>
      <c r="D24" s="34">
        <v>1343</v>
      </c>
      <c r="E24" s="34">
        <v>1273</v>
      </c>
      <c r="F24" s="34">
        <v>1358</v>
      </c>
      <c r="G24" s="34">
        <v>1386</v>
      </c>
      <c r="H24" s="34">
        <v>1501</v>
      </c>
      <c r="I24" s="34">
        <v>1320</v>
      </c>
      <c r="J24" s="34">
        <v>1400</v>
      </c>
      <c r="K24" s="34">
        <v>1530</v>
      </c>
      <c r="L24" s="19"/>
      <c r="M24" s="19"/>
      <c r="N24" s="19"/>
      <c r="O24" s="19"/>
      <c r="P24" s="19"/>
    </row>
    <row r="25" spans="1:16" x14ac:dyDescent="0.3">
      <c r="A25" s="41" t="s">
        <v>181</v>
      </c>
      <c r="B25" s="34">
        <v>278</v>
      </c>
      <c r="C25" s="34">
        <v>259</v>
      </c>
      <c r="D25" s="34">
        <v>709</v>
      </c>
      <c r="E25" s="34">
        <v>699</v>
      </c>
      <c r="F25" s="34">
        <v>686</v>
      </c>
      <c r="G25" s="34">
        <v>668</v>
      </c>
      <c r="H25" s="34">
        <v>656</v>
      </c>
      <c r="I25" s="34">
        <v>645</v>
      </c>
      <c r="J25" s="34">
        <v>639</v>
      </c>
      <c r="K25" s="34">
        <v>631</v>
      </c>
      <c r="L25" s="19"/>
      <c r="M25" s="19"/>
      <c r="N25" s="19"/>
      <c r="O25" s="19"/>
      <c r="P25" s="19"/>
    </row>
    <row r="26" spans="1:16" x14ac:dyDescent="0.3">
      <c r="A26" s="85" t="s">
        <v>182</v>
      </c>
      <c r="B26" s="39">
        <v>133</v>
      </c>
      <c r="C26" s="39">
        <v>133</v>
      </c>
      <c r="D26" s="39">
        <v>630</v>
      </c>
      <c r="E26" s="39">
        <v>633</v>
      </c>
      <c r="F26" s="39">
        <v>633</v>
      </c>
      <c r="G26" s="39">
        <v>631</v>
      </c>
      <c r="H26" s="39">
        <v>631</v>
      </c>
      <c r="I26" s="39">
        <v>631</v>
      </c>
      <c r="J26" s="39">
        <v>631</v>
      </c>
      <c r="K26" s="39">
        <v>631</v>
      </c>
      <c r="L26" s="20"/>
      <c r="M26" s="20"/>
      <c r="N26" s="20"/>
      <c r="O26" s="20"/>
      <c r="P26" s="20"/>
    </row>
    <row r="27" spans="1:16" x14ac:dyDescent="0.3">
      <c r="A27" s="85" t="s">
        <v>183</v>
      </c>
      <c r="B27" s="39">
        <v>145</v>
      </c>
      <c r="C27" s="39">
        <v>126</v>
      </c>
      <c r="D27" s="39">
        <v>79</v>
      </c>
      <c r="E27" s="39">
        <v>66</v>
      </c>
      <c r="F27" s="39">
        <v>53</v>
      </c>
      <c r="G27" s="39">
        <v>37</v>
      </c>
      <c r="H27" s="39">
        <v>25</v>
      </c>
      <c r="I27" s="39">
        <v>14</v>
      </c>
      <c r="J27" s="39">
        <v>8</v>
      </c>
      <c r="K27" s="39">
        <v>0</v>
      </c>
      <c r="L27" s="19"/>
      <c r="M27" s="19"/>
      <c r="N27" s="19"/>
      <c r="O27" s="19"/>
      <c r="P27" s="19"/>
    </row>
    <row r="28" spans="1:16" x14ac:dyDescent="0.3">
      <c r="A28" s="41" t="s">
        <v>173</v>
      </c>
      <c r="B28" s="34">
        <v>39</v>
      </c>
      <c r="C28" s="34">
        <v>4</v>
      </c>
      <c r="D28" s="34">
        <v>0</v>
      </c>
      <c r="E28" s="34">
        <v>10</v>
      </c>
      <c r="F28" s="34">
        <v>137</v>
      </c>
      <c r="G28" s="34">
        <v>188</v>
      </c>
      <c r="H28" s="34">
        <v>135</v>
      </c>
      <c r="I28" s="34">
        <v>7</v>
      </c>
      <c r="J28" s="34">
        <v>0</v>
      </c>
      <c r="K28" s="34">
        <v>0</v>
      </c>
      <c r="L28" s="19"/>
      <c r="M28" s="19"/>
      <c r="N28" s="19"/>
      <c r="O28" s="19"/>
      <c r="P28" s="19"/>
    </row>
    <row r="29" spans="1:16" x14ac:dyDescent="0.3">
      <c r="A29" s="41" t="s">
        <v>184</v>
      </c>
      <c r="B29" s="34">
        <v>66</v>
      </c>
      <c r="C29" s="34" t="s">
        <v>85</v>
      </c>
      <c r="D29" s="34" t="s">
        <v>85</v>
      </c>
      <c r="E29" s="34" t="s">
        <v>85</v>
      </c>
      <c r="F29" s="34" t="s">
        <v>85</v>
      </c>
      <c r="G29" s="34" t="s">
        <v>85</v>
      </c>
      <c r="H29" s="34" t="s">
        <v>85</v>
      </c>
      <c r="I29" s="34" t="s">
        <v>85</v>
      </c>
      <c r="J29" s="34" t="s">
        <v>85</v>
      </c>
      <c r="K29" s="34" t="s">
        <v>85</v>
      </c>
      <c r="L29" s="19"/>
      <c r="M29" s="19"/>
      <c r="N29" s="19"/>
      <c r="O29" s="19"/>
      <c r="P29" s="19"/>
    </row>
    <row r="30" spans="1:16" x14ac:dyDescent="0.3">
      <c r="A30" s="41" t="s">
        <v>51</v>
      </c>
      <c r="B30" s="34">
        <v>75</v>
      </c>
      <c r="C30" s="34" t="s">
        <v>85</v>
      </c>
      <c r="D30" s="34" t="s">
        <v>85</v>
      </c>
      <c r="E30" s="34" t="s">
        <v>85</v>
      </c>
      <c r="F30" s="34" t="s">
        <v>85</v>
      </c>
      <c r="G30" s="34" t="s">
        <v>85</v>
      </c>
      <c r="H30" s="34" t="s">
        <v>85</v>
      </c>
      <c r="I30" s="34" t="s">
        <v>85</v>
      </c>
      <c r="J30" s="34" t="s">
        <v>85</v>
      </c>
      <c r="K30" s="34" t="s">
        <v>85</v>
      </c>
      <c r="L30" s="19"/>
      <c r="M30" s="19"/>
      <c r="N30" s="19"/>
      <c r="O30" s="19"/>
      <c r="P30" s="19"/>
    </row>
    <row r="31" spans="1:16" x14ac:dyDescent="0.3">
      <c r="A31" s="41" t="s">
        <v>185</v>
      </c>
      <c r="B31" s="34">
        <v>457</v>
      </c>
      <c r="C31" s="34">
        <v>520</v>
      </c>
      <c r="D31" s="34">
        <v>634</v>
      </c>
      <c r="E31" s="34">
        <v>564</v>
      </c>
      <c r="F31" s="34">
        <v>535</v>
      </c>
      <c r="G31" s="34">
        <v>530</v>
      </c>
      <c r="H31" s="34">
        <v>710</v>
      </c>
      <c r="I31" s="34">
        <v>668</v>
      </c>
      <c r="J31" s="34">
        <v>761</v>
      </c>
      <c r="K31" s="34">
        <v>899</v>
      </c>
      <c r="L31" s="20"/>
      <c r="M31" s="20"/>
      <c r="N31" s="20"/>
      <c r="O31" s="20"/>
      <c r="P31" s="20"/>
    </row>
    <row r="32" spans="1:16" x14ac:dyDescent="0.3">
      <c r="A32" s="42" t="s">
        <v>186</v>
      </c>
      <c r="B32" s="37">
        <v>26132</v>
      </c>
      <c r="C32" s="37">
        <v>25441</v>
      </c>
      <c r="D32" s="37">
        <v>27763</v>
      </c>
      <c r="E32" s="37">
        <v>28771</v>
      </c>
      <c r="F32" s="37">
        <v>29877</v>
      </c>
      <c r="G32" s="37">
        <v>30492</v>
      </c>
      <c r="H32" s="37">
        <v>32238</v>
      </c>
      <c r="I32" s="37">
        <v>35489</v>
      </c>
      <c r="J32" s="37">
        <v>37858</v>
      </c>
      <c r="K32" s="37">
        <v>38315</v>
      </c>
      <c r="L32" s="19"/>
      <c r="M32" s="19"/>
      <c r="N32" s="19"/>
      <c r="O32" s="19"/>
      <c r="P32" s="19"/>
    </row>
    <row r="33" spans="1:16" x14ac:dyDescent="0.3">
      <c r="A33" s="42" t="s">
        <v>163</v>
      </c>
      <c r="B33" s="37">
        <v>40262</v>
      </c>
      <c r="C33" s="37">
        <v>37431</v>
      </c>
      <c r="D33" s="37">
        <v>40303</v>
      </c>
      <c r="E33" s="37">
        <v>41290</v>
      </c>
      <c r="F33" s="37">
        <v>42779</v>
      </c>
      <c r="G33" s="37">
        <v>51248</v>
      </c>
      <c r="H33" s="37">
        <v>53811</v>
      </c>
      <c r="I33" s="37">
        <v>53335</v>
      </c>
      <c r="J33" s="37">
        <v>55356</v>
      </c>
      <c r="K33" s="37">
        <v>57769</v>
      </c>
      <c r="L33" s="19"/>
      <c r="M33" s="19"/>
      <c r="N33" s="19"/>
      <c r="O33" s="19"/>
      <c r="P33" s="19"/>
    </row>
    <row r="34" spans="1:16" x14ac:dyDescent="0.3">
      <c r="A34" s="42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19"/>
      <c r="M34" s="19"/>
      <c r="N34" s="19"/>
      <c r="O34" s="19"/>
      <c r="P34" s="19"/>
    </row>
    <row r="35" spans="1:16" x14ac:dyDescent="0.3">
      <c r="A35" s="42" t="s">
        <v>187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20"/>
      <c r="M35" s="20"/>
      <c r="N35" s="20"/>
      <c r="O35" s="20"/>
      <c r="P35" s="20"/>
    </row>
    <row r="36" spans="1:16" x14ac:dyDescent="0.3">
      <c r="A36" s="41" t="s">
        <v>188</v>
      </c>
      <c r="B36" s="34">
        <v>11646</v>
      </c>
      <c r="C36" s="34">
        <v>10989</v>
      </c>
      <c r="D36" s="34">
        <v>9080</v>
      </c>
      <c r="E36" s="34">
        <v>10154</v>
      </c>
      <c r="F36" s="34">
        <v>11432</v>
      </c>
      <c r="G36" s="34">
        <v>14955</v>
      </c>
      <c r="H36" s="34">
        <v>17458</v>
      </c>
      <c r="I36" s="34">
        <v>15743</v>
      </c>
      <c r="J36" s="34">
        <v>14212</v>
      </c>
      <c r="K36" s="34">
        <v>15171</v>
      </c>
      <c r="L36" s="19"/>
      <c r="M36" s="19"/>
      <c r="N36" s="19"/>
      <c r="O36" s="19"/>
      <c r="P36" s="19"/>
    </row>
    <row r="37" spans="1:16" x14ac:dyDescent="0.3">
      <c r="A37" s="41" t="s">
        <v>189</v>
      </c>
      <c r="B37" s="34">
        <v>7418</v>
      </c>
      <c r="C37" s="34">
        <v>7252</v>
      </c>
      <c r="D37" s="34">
        <v>8677</v>
      </c>
      <c r="E37" s="34">
        <v>9761</v>
      </c>
      <c r="F37" s="34">
        <v>9920</v>
      </c>
      <c r="G37" s="34">
        <v>12859</v>
      </c>
      <c r="H37" s="34">
        <v>15478</v>
      </c>
      <c r="I37" s="34">
        <v>13487</v>
      </c>
      <c r="J37" s="34">
        <v>12098</v>
      </c>
      <c r="K37" s="34">
        <v>13053</v>
      </c>
      <c r="L37" s="20"/>
      <c r="M37" s="20"/>
      <c r="N37" s="20"/>
      <c r="O37" s="20"/>
      <c r="P37" s="20"/>
    </row>
    <row r="38" spans="1:16" x14ac:dyDescent="0.3">
      <c r="A38" s="41" t="s">
        <v>190</v>
      </c>
      <c r="B38" s="34" t="s">
        <v>85</v>
      </c>
      <c r="C38" s="34" t="s">
        <v>85</v>
      </c>
      <c r="D38" s="34" t="s">
        <v>85</v>
      </c>
      <c r="E38" s="34" t="s">
        <v>85</v>
      </c>
      <c r="F38" s="34" t="s">
        <v>85</v>
      </c>
      <c r="G38" s="34" t="s">
        <v>85</v>
      </c>
      <c r="H38" s="34" t="s">
        <v>85</v>
      </c>
      <c r="I38" s="34" t="s">
        <v>85</v>
      </c>
      <c r="J38" s="34" t="s">
        <v>85</v>
      </c>
      <c r="K38" s="34" t="s">
        <v>85</v>
      </c>
      <c r="L38" s="19"/>
      <c r="M38" s="19"/>
      <c r="N38" s="19"/>
      <c r="O38" s="19"/>
      <c r="P38" s="19"/>
    </row>
    <row r="39" spans="1:16" x14ac:dyDescent="0.3">
      <c r="A39" s="41" t="s">
        <v>191</v>
      </c>
      <c r="B39" s="34" t="s">
        <v>85</v>
      </c>
      <c r="C39" s="34" t="s">
        <v>85</v>
      </c>
      <c r="D39" s="34">
        <v>403</v>
      </c>
      <c r="E39" s="34">
        <v>393</v>
      </c>
      <c r="F39" s="34">
        <v>402</v>
      </c>
      <c r="G39" s="34">
        <v>420</v>
      </c>
      <c r="H39" s="34">
        <v>501</v>
      </c>
      <c r="I39" s="34">
        <v>591</v>
      </c>
      <c r="J39" s="34">
        <v>630</v>
      </c>
      <c r="K39" s="34">
        <v>636</v>
      </c>
      <c r="L39" s="19"/>
      <c r="M39" s="19"/>
      <c r="N39" s="19"/>
      <c r="O39" s="19"/>
      <c r="P39" s="19"/>
    </row>
    <row r="40" spans="1:16" x14ac:dyDescent="0.3">
      <c r="A40" s="41" t="s">
        <v>192</v>
      </c>
      <c r="B40" s="34">
        <v>4228</v>
      </c>
      <c r="C40" s="34">
        <v>3737</v>
      </c>
      <c r="D40" s="34">
        <v>0</v>
      </c>
      <c r="E40" s="34">
        <v>0</v>
      </c>
      <c r="F40" s="34">
        <v>1110</v>
      </c>
      <c r="G40" s="34">
        <v>1676</v>
      </c>
      <c r="H40" s="34">
        <v>1479</v>
      </c>
      <c r="I40" s="34">
        <v>1665</v>
      </c>
      <c r="J40" s="34">
        <v>1484</v>
      </c>
      <c r="K40" s="34">
        <v>1482</v>
      </c>
      <c r="L40" s="20"/>
      <c r="M40" s="20"/>
      <c r="N40" s="20"/>
      <c r="O40" s="20"/>
      <c r="P40" s="20"/>
    </row>
    <row r="41" spans="1:16" x14ac:dyDescent="0.3">
      <c r="A41" s="41" t="s">
        <v>193</v>
      </c>
      <c r="B41" s="34">
        <v>815</v>
      </c>
      <c r="C41" s="34">
        <v>1718</v>
      </c>
      <c r="D41" s="34">
        <v>429</v>
      </c>
      <c r="E41" s="34">
        <v>1218</v>
      </c>
      <c r="F41" s="34">
        <v>361</v>
      </c>
      <c r="G41" s="34">
        <v>1355</v>
      </c>
      <c r="H41" s="34">
        <v>425</v>
      </c>
      <c r="I41" s="34">
        <v>426</v>
      </c>
      <c r="J41" s="34">
        <v>1445</v>
      </c>
      <c r="K41" s="34">
        <v>1989</v>
      </c>
      <c r="L41" s="17"/>
      <c r="M41" s="17"/>
      <c r="N41" s="17"/>
      <c r="O41" s="17"/>
      <c r="P41" s="17"/>
    </row>
    <row r="42" spans="1:16" x14ac:dyDescent="0.3">
      <c r="A42" s="41" t="s">
        <v>194</v>
      </c>
      <c r="B42" s="34">
        <v>0</v>
      </c>
      <c r="C42" s="34">
        <v>0</v>
      </c>
      <c r="D42" s="34">
        <v>0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20"/>
      <c r="M42" s="20"/>
      <c r="N42" s="20"/>
      <c r="O42" s="20"/>
      <c r="P42" s="20"/>
    </row>
    <row r="43" spans="1:16" x14ac:dyDescent="0.3">
      <c r="A43" s="41" t="s">
        <v>195</v>
      </c>
      <c r="B43" s="34" t="s">
        <v>85</v>
      </c>
      <c r="C43" s="34" t="s">
        <v>85</v>
      </c>
      <c r="D43" s="34">
        <v>228</v>
      </c>
      <c r="E43" s="34">
        <v>219</v>
      </c>
      <c r="F43" s="34">
        <v>267</v>
      </c>
      <c r="G43" s="34">
        <v>299</v>
      </c>
      <c r="H43" s="34">
        <v>362</v>
      </c>
      <c r="I43" s="34">
        <v>425</v>
      </c>
      <c r="J43" s="34">
        <v>448</v>
      </c>
      <c r="K43" s="34">
        <v>489</v>
      </c>
      <c r="L43" s="19"/>
      <c r="M43" s="19"/>
      <c r="N43" s="19"/>
      <c r="O43" s="19"/>
      <c r="P43" s="19"/>
    </row>
    <row r="44" spans="1:16" x14ac:dyDescent="0.3">
      <c r="A44" s="85" t="s">
        <v>196</v>
      </c>
      <c r="B44" s="39" t="s">
        <v>85</v>
      </c>
      <c r="C44" s="39" t="s">
        <v>85</v>
      </c>
      <c r="D44" s="39">
        <v>80</v>
      </c>
      <c r="E44" s="39">
        <v>53</v>
      </c>
      <c r="F44" s="39">
        <v>67</v>
      </c>
      <c r="G44" s="39">
        <v>88</v>
      </c>
      <c r="H44" s="39">
        <v>108</v>
      </c>
      <c r="I44" s="39">
        <v>129</v>
      </c>
      <c r="J44" s="39">
        <v>119</v>
      </c>
      <c r="K44" s="39">
        <v>136</v>
      </c>
      <c r="L44" s="19"/>
      <c r="M44" s="19"/>
      <c r="N44" s="19"/>
      <c r="O44" s="19"/>
      <c r="P44" s="19"/>
    </row>
    <row r="45" spans="1:16" x14ac:dyDescent="0.3">
      <c r="A45" s="85" t="s">
        <v>197</v>
      </c>
      <c r="B45" s="39" t="s">
        <v>85</v>
      </c>
      <c r="C45" s="39" t="s">
        <v>85</v>
      </c>
      <c r="D45" s="39">
        <v>148</v>
      </c>
      <c r="E45" s="39">
        <v>166</v>
      </c>
      <c r="F45" s="39">
        <v>200</v>
      </c>
      <c r="G45" s="39">
        <v>211</v>
      </c>
      <c r="H45" s="39">
        <v>254</v>
      </c>
      <c r="I45" s="39">
        <v>296</v>
      </c>
      <c r="J45" s="39">
        <v>329</v>
      </c>
      <c r="K45" s="39">
        <v>353</v>
      </c>
      <c r="L45" s="17"/>
      <c r="M45" s="17"/>
      <c r="N45" s="17"/>
      <c r="O45" s="17"/>
      <c r="P45" s="17"/>
    </row>
    <row r="46" spans="1:16" x14ac:dyDescent="0.3">
      <c r="A46" s="41" t="s">
        <v>198</v>
      </c>
      <c r="B46" s="34">
        <v>815</v>
      </c>
      <c r="C46" s="34">
        <v>1718</v>
      </c>
      <c r="D46" s="34">
        <v>201</v>
      </c>
      <c r="E46" s="34">
        <v>999</v>
      </c>
      <c r="F46" s="34">
        <v>94</v>
      </c>
      <c r="G46" s="34">
        <v>1056</v>
      </c>
      <c r="H46" s="34">
        <v>63</v>
      </c>
      <c r="I46" s="34">
        <v>1</v>
      </c>
      <c r="J46" s="34">
        <v>997</v>
      </c>
      <c r="K46" s="34">
        <v>1500</v>
      </c>
      <c r="L46" s="19"/>
      <c r="M46" s="19"/>
      <c r="N46" s="19"/>
      <c r="O46" s="19"/>
      <c r="P46" s="19"/>
    </row>
    <row r="47" spans="1:16" x14ac:dyDescent="0.3">
      <c r="A47" s="41" t="s">
        <v>199</v>
      </c>
      <c r="B47" s="34">
        <v>161</v>
      </c>
      <c r="C47" s="34">
        <v>0</v>
      </c>
      <c r="D47" s="34">
        <v>3543</v>
      </c>
      <c r="E47" s="34">
        <v>3642</v>
      </c>
      <c r="F47" s="34">
        <v>2694</v>
      </c>
      <c r="G47" s="34">
        <v>3815</v>
      </c>
      <c r="H47" s="34">
        <v>3864</v>
      </c>
      <c r="I47" s="34">
        <v>3331</v>
      </c>
      <c r="J47" s="34">
        <v>3647</v>
      </c>
      <c r="K47" s="34">
        <v>3639</v>
      </c>
      <c r="L47" s="16"/>
      <c r="M47" s="16"/>
      <c r="N47" s="16"/>
      <c r="O47" s="16"/>
      <c r="P47" s="16"/>
    </row>
    <row r="48" spans="1:16" x14ac:dyDescent="0.3">
      <c r="A48" s="41" t="s">
        <v>200</v>
      </c>
      <c r="B48" s="34">
        <v>0</v>
      </c>
      <c r="C48" s="34">
        <v>0</v>
      </c>
      <c r="D48" s="34">
        <v>0</v>
      </c>
      <c r="E48" s="34">
        <v>840</v>
      </c>
      <c r="F48" s="34">
        <v>935</v>
      </c>
      <c r="G48" s="34">
        <v>1035</v>
      </c>
      <c r="H48" s="34">
        <v>1202</v>
      </c>
      <c r="I48" s="34">
        <v>1240</v>
      </c>
      <c r="J48" s="34">
        <v>1162</v>
      </c>
      <c r="K48" s="34">
        <v>1209</v>
      </c>
      <c r="L48" s="16"/>
      <c r="M48" s="16"/>
      <c r="N48" s="16"/>
      <c r="O48" s="16"/>
      <c r="P48" s="16"/>
    </row>
    <row r="49" spans="1:16" x14ac:dyDescent="0.3">
      <c r="A49" s="41" t="s">
        <v>201</v>
      </c>
      <c r="B49" s="34">
        <v>8</v>
      </c>
      <c r="C49" s="34">
        <v>0</v>
      </c>
      <c r="D49" s="34">
        <v>0</v>
      </c>
      <c r="E49" s="34">
        <v>3</v>
      </c>
      <c r="F49" s="34">
        <v>0</v>
      </c>
      <c r="G49" s="34">
        <v>0</v>
      </c>
      <c r="H49" s="34">
        <v>0</v>
      </c>
      <c r="I49" s="34">
        <v>0</v>
      </c>
      <c r="J49" s="34">
        <v>123</v>
      </c>
      <c r="K49" s="34">
        <v>125</v>
      </c>
      <c r="L49" s="16"/>
      <c r="M49" s="16"/>
      <c r="N49" s="16"/>
      <c r="O49" s="16"/>
      <c r="P49" s="16"/>
    </row>
    <row r="50" spans="1:16" x14ac:dyDescent="0.3">
      <c r="A50" s="41" t="s">
        <v>51</v>
      </c>
      <c r="B50" s="34">
        <v>153</v>
      </c>
      <c r="C50" s="34" t="s">
        <v>85</v>
      </c>
      <c r="D50" s="34" t="s">
        <v>85</v>
      </c>
      <c r="E50" s="34" t="s">
        <v>85</v>
      </c>
      <c r="F50" s="34" t="s">
        <v>85</v>
      </c>
      <c r="G50" s="34" t="s">
        <v>85</v>
      </c>
      <c r="H50" s="34" t="s">
        <v>85</v>
      </c>
      <c r="I50" s="34" t="s">
        <v>85</v>
      </c>
      <c r="J50" s="34" t="s">
        <v>85</v>
      </c>
      <c r="K50" s="34" t="s">
        <v>85</v>
      </c>
      <c r="L50" s="17"/>
      <c r="M50" s="17"/>
      <c r="N50" s="17"/>
      <c r="O50" s="17"/>
      <c r="P50" s="17"/>
    </row>
    <row r="51" spans="1:16" x14ac:dyDescent="0.3">
      <c r="A51" s="41" t="s">
        <v>202</v>
      </c>
      <c r="B51" s="34">
        <v>0</v>
      </c>
      <c r="C51" s="34">
        <v>0</v>
      </c>
      <c r="D51" s="34">
        <v>3543</v>
      </c>
      <c r="E51" s="34">
        <v>2799</v>
      </c>
      <c r="F51" s="34">
        <v>1759</v>
      </c>
      <c r="G51" s="34">
        <v>2780</v>
      </c>
      <c r="H51" s="34">
        <v>2662</v>
      </c>
      <c r="I51" s="34">
        <v>2091</v>
      </c>
      <c r="J51" s="34">
        <v>2362</v>
      </c>
      <c r="K51" s="34">
        <v>2305</v>
      </c>
      <c r="L51" s="19"/>
      <c r="M51" s="19"/>
      <c r="N51" s="19"/>
      <c r="O51" s="19"/>
      <c r="P51" s="19"/>
    </row>
    <row r="52" spans="1:16" x14ac:dyDescent="0.3">
      <c r="A52" s="42" t="s">
        <v>203</v>
      </c>
      <c r="B52" s="37">
        <v>12622</v>
      </c>
      <c r="C52" s="37">
        <v>12707</v>
      </c>
      <c r="D52" s="37">
        <v>13052</v>
      </c>
      <c r="E52" s="37">
        <v>15014</v>
      </c>
      <c r="F52" s="37">
        <v>14487</v>
      </c>
      <c r="G52" s="37">
        <v>20125</v>
      </c>
      <c r="H52" s="37">
        <v>21747</v>
      </c>
      <c r="I52" s="37">
        <v>19500</v>
      </c>
      <c r="J52" s="37">
        <v>19304</v>
      </c>
      <c r="K52" s="37">
        <v>20799</v>
      </c>
      <c r="L52" s="16"/>
      <c r="M52" s="16"/>
      <c r="N52" s="16"/>
      <c r="O52" s="16"/>
      <c r="P52" s="16"/>
    </row>
    <row r="53" spans="1:16" x14ac:dyDescent="0.3">
      <c r="A53" s="41" t="s">
        <v>204</v>
      </c>
      <c r="B53" s="34">
        <v>11945</v>
      </c>
      <c r="C53" s="34">
        <v>11031</v>
      </c>
      <c r="D53" s="34">
        <v>13041</v>
      </c>
      <c r="E53" s="34">
        <v>12227</v>
      </c>
      <c r="F53" s="34">
        <v>13613</v>
      </c>
      <c r="G53" s="34">
        <v>13754</v>
      </c>
      <c r="H53" s="34">
        <v>16042</v>
      </c>
      <c r="I53" s="34">
        <v>18647</v>
      </c>
      <c r="J53" s="34">
        <v>18201</v>
      </c>
      <c r="K53" s="34">
        <v>17886</v>
      </c>
      <c r="L53" s="16"/>
      <c r="M53" s="16"/>
      <c r="N53" s="16"/>
      <c r="O53" s="16"/>
      <c r="P53" s="16"/>
    </row>
    <row r="54" spans="1:16" x14ac:dyDescent="0.3">
      <c r="A54" s="41" t="s">
        <v>205</v>
      </c>
      <c r="B54" s="34">
        <v>11086</v>
      </c>
      <c r="C54" s="34">
        <v>10006</v>
      </c>
      <c r="D54" s="34">
        <v>10232</v>
      </c>
      <c r="E54" s="34">
        <v>9255</v>
      </c>
      <c r="F54" s="34">
        <v>10035</v>
      </c>
      <c r="G54" s="34">
        <v>9770</v>
      </c>
      <c r="H54" s="34">
        <v>11582</v>
      </c>
      <c r="I54" s="34">
        <v>14066</v>
      </c>
      <c r="J54" s="34">
        <v>13028</v>
      </c>
      <c r="K54" s="34">
        <v>12279</v>
      </c>
      <c r="L54" s="16"/>
      <c r="M54" s="16"/>
      <c r="N54" s="16"/>
      <c r="O54" s="16"/>
      <c r="P54" s="16"/>
    </row>
    <row r="55" spans="1:16" x14ac:dyDescent="0.3">
      <c r="A55" s="41" t="s">
        <v>206</v>
      </c>
      <c r="B55" s="34">
        <v>859</v>
      </c>
      <c r="C55" s="34">
        <v>1025</v>
      </c>
      <c r="D55" s="34">
        <v>2809</v>
      </c>
      <c r="E55" s="34">
        <v>2972</v>
      </c>
      <c r="F55" s="34">
        <v>3578</v>
      </c>
      <c r="G55" s="34">
        <v>3984</v>
      </c>
      <c r="H55" s="34">
        <v>4460</v>
      </c>
      <c r="I55" s="34">
        <v>4581</v>
      </c>
      <c r="J55" s="34">
        <v>5173</v>
      </c>
      <c r="K55" s="34">
        <v>5607</v>
      </c>
      <c r="L55" s="17"/>
      <c r="M55" s="17"/>
      <c r="N55" s="17"/>
      <c r="O55" s="17"/>
      <c r="P55" s="17"/>
    </row>
    <row r="56" spans="1:16" x14ac:dyDescent="0.3">
      <c r="A56" s="85" t="s">
        <v>207</v>
      </c>
      <c r="B56" s="39">
        <v>859</v>
      </c>
      <c r="C56" s="39">
        <v>1025</v>
      </c>
      <c r="D56" s="39">
        <v>885</v>
      </c>
      <c r="E56" s="39">
        <v>968</v>
      </c>
      <c r="F56" s="39">
        <v>1303</v>
      </c>
      <c r="G56" s="39">
        <v>1766</v>
      </c>
      <c r="H56" s="39">
        <v>1967</v>
      </c>
      <c r="I56" s="39">
        <v>1943</v>
      </c>
      <c r="J56" s="39">
        <v>1894</v>
      </c>
      <c r="K56" s="39">
        <v>2025</v>
      </c>
      <c r="L56" s="17"/>
      <c r="M56" s="17"/>
      <c r="N56" s="17"/>
      <c r="O56" s="17"/>
      <c r="P56" s="17"/>
    </row>
    <row r="57" spans="1:16" x14ac:dyDescent="0.3">
      <c r="A57" s="85" t="s">
        <v>208</v>
      </c>
      <c r="B57" s="39" t="s">
        <v>85</v>
      </c>
      <c r="C57" s="39" t="s">
        <v>85</v>
      </c>
      <c r="D57" s="39">
        <v>1924</v>
      </c>
      <c r="E57" s="39">
        <v>2004</v>
      </c>
      <c r="F57" s="39">
        <v>2275</v>
      </c>
      <c r="G57" s="39">
        <v>2218</v>
      </c>
      <c r="H57" s="39">
        <v>2493</v>
      </c>
      <c r="I57" s="39">
        <v>2638</v>
      </c>
      <c r="J57" s="39">
        <v>3279</v>
      </c>
      <c r="K57" s="39">
        <v>3582</v>
      </c>
      <c r="L57" s="15"/>
      <c r="M57" s="15"/>
      <c r="N57" s="15"/>
      <c r="O57" s="15"/>
      <c r="P57" s="15"/>
    </row>
    <row r="58" spans="1:16" x14ac:dyDescent="0.3">
      <c r="A58" s="41" t="s">
        <v>209</v>
      </c>
      <c r="B58" s="34">
        <v>2738</v>
      </c>
      <c r="C58" s="34">
        <v>2740</v>
      </c>
      <c r="D58" s="34">
        <v>2559</v>
      </c>
      <c r="E58" s="34">
        <v>2752</v>
      </c>
      <c r="F58" s="34">
        <v>2846</v>
      </c>
      <c r="G58" s="34">
        <v>2929</v>
      </c>
      <c r="H58" s="34">
        <v>3195</v>
      </c>
      <c r="I58" s="34">
        <v>3956</v>
      </c>
      <c r="J58" s="34">
        <v>4419</v>
      </c>
      <c r="K58" s="34">
        <v>4418</v>
      </c>
      <c r="L58" s="19"/>
      <c r="M58" s="19"/>
      <c r="N58" s="19"/>
      <c r="O58" s="19"/>
      <c r="P58" s="19"/>
    </row>
    <row r="59" spans="1:16" x14ac:dyDescent="0.3">
      <c r="A59" s="41" t="s">
        <v>210</v>
      </c>
      <c r="B59" s="34">
        <v>0</v>
      </c>
      <c r="C59" s="34">
        <v>0</v>
      </c>
      <c r="D59" s="34">
        <v>0</v>
      </c>
      <c r="E59" s="34">
        <v>0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14"/>
      <c r="M59" s="14"/>
      <c r="N59" s="14"/>
      <c r="O59" s="14"/>
      <c r="P59" s="14"/>
    </row>
    <row r="60" spans="1:16" x14ac:dyDescent="0.3">
      <c r="A60" s="41" t="s">
        <v>211</v>
      </c>
      <c r="B60" s="34">
        <v>49</v>
      </c>
      <c r="C60" s="34">
        <v>25</v>
      </c>
      <c r="D60" s="34">
        <v>41</v>
      </c>
      <c r="E60" s="34">
        <v>40</v>
      </c>
      <c r="F60" s="34">
        <v>107</v>
      </c>
      <c r="G60" s="34">
        <v>57</v>
      </c>
      <c r="H60" s="34">
        <v>45</v>
      </c>
      <c r="I60" s="34">
        <v>37</v>
      </c>
      <c r="J60" s="34">
        <v>33</v>
      </c>
      <c r="K60" s="34">
        <v>31</v>
      </c>
      <c r="L60" s="19"/>
      <c r="M60" s="19"/>
      <c r="N60" s="19"/>
      <c r="O60" s="19"/>
      <c r="P60" s="19"/>
    </row>
    <row r="61" spans="1:16" x14ac:dyDescent="0.3">
      <c r="A61" s="41" t="s">
        <v>200</v>
      </c>
      <c r="B61" s="34">
        <v>0</v>
      </c>
      <c r="C61" s="34">
        <v>630</v>
      </c>
      <c r="D61" s="34">
        <v>600</v>
      </c>
      <c r="E61" s="34">
        <v>570</v>
      </c>
      <c r="F61" s="34">
        <v>539</v>
      </c>
      <c r="G61" s="34">
        <v>509</v>
      </c>
      <c r="H61" s="34">
        <v>479</v>
      </c>
      <c r="I61" s="34">
        <v>449</v>
      </c>
      <c r="J61" s="34">
        <v>419</v>
      </c>
      <c r="K61" s="34">
        <v>388</v>
      </c>
      <c r="L61" s="19"/>
      <c r="M61" s="19"/>
      <c r="N61" s="19"/>
      <c r="O61" s="19"/>
      <c r="P61" s="19"/>
    </row>
    <row r="62" spans="1:16" x14ac:dyDescent="0.3">
      <c r="A62" s="41" t="s">
        <v>212</v>
      </c>
      <c r="B62" s="34">
        <v>823</v>
      </c>
      <c r="C62" s="34">
        <v>861</v>
      </c>
      <c r="D62" s="34">
        <v>693</v>
      </c>
      <c r="E62" s="34">
        <v>972</v>
      </c>
      <c r="F62" s="34">
        <v>1122</v>
      </c>
      <c r="G62" s="34">
        <v>990</v>
      </c>
      <c r="H62" s="34">
        <v>1566</v>
      </c>
      <c r="I62" s="34">
        <v>2196</v>
      </c>
      <c r="J62" s="34">
        <v>2480</v>
      </c>
      <c r="K62" s="34">
        <v>2303</v>
      </c>
      <c r="L62" s="14"/>
      <c r="M62" s="14"/>
      <c r="N62" s="14"/>
      <c r="O62" s="14"/>
      <c r="P62" s="14"/>
    </row>
    <row r="63" spans="1:16" x14ac:dyDescent="0.3">
      <c r="A63" s="41" t="s">
        <v>201</v>
      </c>
      <c r="B63" s="34">
        <v>0</v>
      </c>
      <c r="C63" s="34">
        <v>0</v>
      </c>
      <c r="D63" s="34">
        <v>6</v>
      </c>
      <c r="E63" s="34">
        <v>0</v>
      </c>
      <c r="F63" s="34">
        <v>0</v>
      </c>
      <c r="G63" s="34">
        <v>0</v>
      </c>
      <c r="H63" s="34">
        <v>0</v>
      </c>
      <c r="I63" s="34">
        <v>81</v>
      </c>
      <c r="J63" s="34">
        <v>3</v>
      </c>
      <c r="K63" s="34">
        <v>0</v>
      </c>
      <c r="L63" s="14"/>
      <c r="M63" s="14"/>
      <c r="N63" s="14"/>
      <c r="O63" s="14"/>
      <c r="P63" s="14"/>
    </row>
    <row r="64" spans="1:16" x14ac:dyDescent="0.3">
      <c r="A64" s="41" t="s">
        <v>51</v>
      </c>
      <c r="B64" s="34">
        <v>18</v>
      </c>
      <c r="C64" s="34" t="s">
        <v>85</v>
      </c>
      <c r="D64" s="34" t="s">
        <v>85</v>
      </c>
      <c r="E64" s="34" t="s">
        <v>85</v>
      </c>
      <c r="F64" s="34" t="s">
        <v>85</v>
      </c>
      <c r="G64" s="34" t="s">
        <v>85</v>
      </c>
      <c r="H64" s="34" t="s">
        <v>85</v>
      </c>
      <c r="I64" s="34" t="s">
        <v>85</v>
      </c>
      <c r="J64" s="34" t="s">
        <v>85</v>
      </c>
      <c r="K64" s="34" t="s">
        <v>85</v>
      </c>
      <c r="L64" s="14"/>
      <c r="M64" s="14"/>
      <c r="N64" s="14"/>
      <c r="O64" s="14"/>
      <c r="P64" s="14"/>
    </row>
    <row r="65" spans="1:17" x14ac:dyDescent="0.3">
      <c r="A65" s="41" t="s">
        <v>213</v>
      </c>
      <c r="B65" s="34">
        <v>1848</v>
      </c>
      <c r="C65" s="34">
        <v>1224</v>
      </c>
      <c r="D65" s="34">
        <v>1219</v>
      </c>
      <c r="E65" s="34">
        <v>1170</v>
      </c>
      <c r="F65" s="34">
        <v>1078</v>
      </c>
      <c r="G65" s="34">
        <v>1373</v>
      </c>
      <c r="H65" s="34">
        <v>1105</v>
      </c>
      <c r="I65" s="34">
        <v>1193</v>
      </c>
      <c r="J65" s="34">
        <v>1484</v>
      </c>
      <c r="K65" s="34">
        <v>1696</v>
      </c>
      <c r="L65" s="14"/>
      <c r="M65" s="14"/>
      <c r="N65" s="14"/>
      <c r="O65" s="14"/>
      <c r="P65" s="14"/>
    </row>
    <row r="66" spans="1:17" x14ac:dyDescent="0.3">
      <c r="A66" s="42" t="s">
        <v>214</v>
      </c>
      <c r="B66" s="37">
        <v>14683</v>
      </c>
      <c r="C66" s="37">
        <v>13771</v>
      </c>
      <c r="D66" s="37">
        <v>15600</v>
      </c>
      <c r="E66" s="37">
        <v>14979</v>
      </c>
      <c r="F66" s="37">
        <v>16459</v>
      </c>
      <c r="G66" s="37">
        <v>16683</v>
      </c>
      <c r="H66" s="37">
        <v>19237</v>
      </c>
      <c r="I66" s="37">
        <v>22603</v>
      </c>
      <c r="J66" s="37">
        <v>22620</v>
      </c>
      <c r="K66" s="37">
        <v>22304</v>
      </c>
      <c r="L66" s="14"/>
      <c r="M66" s="14"/>
      <c r="N66" s="14"/>
      <c r="O66" s="14"/>
      <c r="P66" s="14"/>
    </row>
    <row r="67" spans="1:17" x14ac:dyDescent="0.3">
      <c r="A67" s="42" t="s">
        <v>215</v>
      </c>
      <c r="B67" s="37">
        <v>27305</v>
      </c>
      <c r="C67" s="37">
        <v>26478</v>
      </c>
      <c r="D67" s="37">
        <v>28652</v>
      </c>
      <c r="E67" s="37">
        <v>29993</v>
      </c>
      <c r="F67" s="37">
        <v>30946</v>
      </c>
      <c r="G67" s="37">
        <v>36808</v>
      </c>
      <c r="H67" s="37">
        <v>40984</v>
      </c>
      <c r="I67" s="37">
        <v>42103</v>
      </c>
      <c r="J67" s="37">
        <v>41924</v>
      </c>
      <c r="K67" s="37">
        <v>43103</v>
      </c>
      <c r="L67" s="19"/>
      <c r="M67" s="19"/>
      <c r="N67" s="19"/>
      <c r="O67" s="19"/>
      <c r="P67" s="19"/>
    </row>
    <row r="68" spans="1:17" x14ac:dyDescent="0.3">
      <c r="A68" s="41" t="s">
        <v>216</v>
      </c>
      <c r="B68" s="34">
        <v>0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19"/>
      <c r="M68" s="19"/>
      <c r="N68" s="19"/>
      <c r="O68" s="19"/>
      <c r="P68" s="19"/>
    </row>
    <row r="69" spans="1:17" x14ac:dyDescent="0.3">
      <c r="A69" s="41" t="s">
        <v>217</v>
      </c>
      <c r="B69" s="34">
        <v>5398</v>
      </c>
      <c r="C69" s="34">
        <v>5707</v>
      </c>
      <c r="D69" s="34">
        <v>5903</v>
      </c>
      <c r="E69" s="34">
        <v>6085</v>
      </c>
      <c r="F69" s="34">
        <v>6268</v>
      </c>
      <c r="G69" s="34">
        <v>6371</v>
      </c>
      <c r="H69" s="34">
        <v>6460</v>
      </c>
      <c r="I69" s="34">
        <v>6646</v>
      </c>
      <c r="J69" s="34">
        <v>6799</v>
      </c>
      <c r="K69" s="34">
        <v>7034</v>
      </c>
      <c r="L69" s="19"/>
      <c r="M69" s="19"/>
      <c r="N69" s="19"/>
      <c r="O69" s="19"/>
      <c r="P69" s="19"/>
    </row>
    <row r="70" spans="1:17" x14ac:dyDescent="0.3">
      <c r="A70" s="41" t="s">
        <v>218</v>
      </c>
      <c r="B70" s="34">
        <v>50</v>
      </c>
      <c r="C70" s="34">
        <v>46</v>
      </c>
      <c r="D70" s="34">
        <v>45</v>
      </c>
      <c r="E70" s="34">
        <v>43</v>
      </c>
      <c r="F70" s="34">
        <v>42</v>
      </c>
      <c r="G70" s="34">
        <v>42</v>
      </c>
      <c r="H70" s="34">
        <v>39</v>
      </c>
      <c r="I70" s="34">
        <v>38</v>
      </c>
      <c r="J70" s="34">
        <v>38</v>
      </c>
      <c r="K70" s="34">
        <v>38</v>
      </c>
      <c r="L70" s="19"/>
      <c r="M70" s="19"/>
      <c r="N70" s="19"/>
      <c r="O70" s="19"/>
      <c r="P70" s="19"/>
    </row>
    <row r="71" spans="1:17" x14ac:dyDescent="0.3">
      <c r="A71" s="41" t="s">
        <v>219</v>
      </c>
      <c r="B71" s="34">
        <v>5348</v>
      </c>
      <c r="C71" s="34">
        <v>5661</v>
      </c>
      <c r="D71" s="34">
        <v>5858</v>
      </c>
      <c r="E71" s="34">
        <v>6042</v>
      </c>
      <c r="F71" s="34">
        <v>6226</v>
      </c>
      <c r="G71" s="34">
        <v>6329</v>
      </c>
      <c r="H71" s="34">
        <v>6421</v>
      </c>
      <c r="I71" s="34">
        <v>6608</v>
      </c>
      <c r="J71" s="34">
        <v>6761</v>
      </c>
      <c r="K71" s="34">
        <v>6996</v>
      </c>
      <c r="L71" s="20"/>
      <c r="M71" s="20"/>
      <c r="N71" s="20"/>
      <c r="O71" s="20"/>
      <c r="P71" s="20"/>
      <c r="Q71" s="20"/>
    </row>
    <row r="72" spans="1:17" x14ac:dyDescent="0.3">
      <c r="A72" s="41" t="s">
        <v>220</v>
      </c>
      <c r="B72" s="34">
        <v>0</v>
      </c>
      <c r="C72" s="34">
        <v>0</v>
      </c>
      <c r="D72" s="34">
        <v>0</v>
      </c>
      <c r="E72" s="34">
        <v>0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19"/>
      <c r="M72" s="19"/>
      <c r="N72" s="19"/>
      <c r="O72" s="19"/>
      <c r="P72" s="19"/>
      <c r="Q72" s="19"/>
    </row>
    <row r="73" spans="1:17" x14ac:dyDescent="0.3">
      <c r="A73" s="41" t="s">
        <v>221</v>
      </c>
      <c r="B73" s="34">
        <v>8188</v>
      </c>
      <c r="C73" s="34">
        <v>5884</v>
      </c>
      <c r="D73" s="34">
        <v>6495</v>
      </c>
      <c r="E73" s="34">
        <v>6017</v>
      </c>
      <c r="F73" s="34">
        <v>6433</v>
      </c>
      <c r="G73" s="34">
        <v>8825</v>
      </c>
      <c r="H73" s="34">
        <v>6920</v>
      </c>
      <c r="I73" s="34">
        <v>5005</v>
      </c>
      <c r="J73" s="34">
        <v>7093</v>
      </c>
      <c r="K73" s="34">
        <v>8090</v>
      </c>
      <c r="L73" s="19"/>
      <c r="M73" s="19"/>
      <c r="N73" s="19"/>
      <c r="O73" s="19"/>
      <c r="P73" s="19"/>
      <c r="Q73" s="19"/>
    </row>
    <row r="74" spans="1:17" x14ac:dyDescent="0.3">
      <c r="A74" s="41" t="s">
        <v>222</v>
      </c>
      <c r="B74" s="34">
        <v>-629</v>
      </c>
      <c r="C74" s="34">
        <v>-638</v>
      </c>
      <c r="D74" s="34">
        <v>-747</v>
      </c>
      <c r="E74" s="34">
        <v>-805</v>
      </c>
      <c r="F74" s="34">
        <v>-868</v>
      </c>
      <c r="G74" s="34">
        <v>-756</v>
      </c>
      <c r="H74" s="34">
        <v>-553</v>
      </c>
      <c r="I74" s="34">
        <v>-419</v>
      </c>
      <c r="J74" s="34">
        <v>-460</v>
      </c>
      <c r="K74" s="34">
        <v>-458</v>
      </c>
      <c r="L74" s="19"/>
      <c r="M74" s="19"/>
      <c r="N74" s="19"/>
      <c r="O74" s="19"/>
      <c r="P74" s="19"/>
      <c r="Q74" s="19"/>
    </row>
    <row r="75" spans="1:17" x14ac:dyDescent="0.3">
      <c r="A75" s="42" t="s">
        <v>223</v>
      </c>
      <c r="B75" s="37">
        <v>12957</v>
      </c>
      <c r="C75" s="37">
        <v>10953</v>
      </c>
      <c r="D75" s="37">
        <v>11651</v>
      </c>
      <c r="E75" s="37">
        <v>11297</v>
      </c>
      <c r="F75" s="37">
        <v>11833</v>
      </c>
      <c r="G75" s="37">
        <v>14440</v>
      </c>
      <c r="H75" s="37">
        <v>12827</v>
      </c>
      <c r="I75" s="37">
        <v>11232</v>
      </c>
      <c r="J75" s="37">
        <v>13432</v>
      </c>
      <c r="K75" s="37">
        <v>14666</v>
      </c>
      <c r="L75" s="19"/>
      <c r="M75" s="19"/>
      <c r="N75" s="19"/>
      <c r="O75" s="19"/>
      <c r="P75" s="19"/>
      <c r="Q75" s="19"/>
    </row>
    <row r="76" spans="1:17" x14ac:dyDescent="0.3">
      <c r="A76" s="41" t="s">
        <v>224</v>
      </c>
      <c r="B76" s="34">
        <v>0</v>
      </c>
      <c r="C76" s="34">
        <v>0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20"/>
      <c r="M76" s="20"/>
      <c r="N76" s="20"/>
      <c r="O76" s="20"/>
      <c r="P76" s="20"/>
      <c r="Q76" s="20"/>
    </row>
    <row r="77" spans="1:17" x14ac:dyDescent="0.3">
      <c r="A77" s="42" t="s">
        <v>225</v>
      </c>
      <c r="B77" s="37">
        <v>12957</v>
      </c>
      <c r="C77" s="37">
        <v>10953</v>
      </c>
      <c r="D77" s="37">
        <v>11651</v>
      </c>
      <c r="E77" s="37">
        <v>11297</v>
      </c>
      <c r="F77" s="37">
        <v>11833</v>
      </c>
      <c r="G77" s="37">
        <v>14440</v>
      </c>
      <c r="H77" s="37">
        <v>12827</v>
      </c>
      <c r="I77" s="37">
        <v>11232</v>
      </c>
      <c r="J77" s="37">
        <v>13432</v>
      </c>
      <c r="K77" s="37">
        <v>14666</v>
      </c>
      <c r="L77" s="19"/>
      <c r="M77" s="19"/>
      <c r="N77" s="19"/>
      <c r="O77" s="19"/>
      <c r="P77" s="19"/>
      <c r="Q77" s="19"/>
    </row>
    <row r="78" spans="1:17" x14ac:dyDescent="0.3">
      <c r="A78" s="42" t="s">
        <v>226</v>
      </c>
      <c r="B78" s="37">
        <v>40262</v>
      </c>
      <c r="C78" s="37">
        <v>37431</v>
      </c>
      <c r="D78" s="37">
        <v>40303</v>
      </c>
      <c r="E78" s="37">
        <v>41290</v>
      </c>
      <c r="F78" s="37">
        <v>42779</v>
      </c>
      <c r="G78" s="37">
        <v>51248</v>
      </c>
      <c r="H78" s="37">
        <v>53811</v>
      </c>
      <c r="I78" s="37">
        <v>53335</v>
      </c>
      <c r="J78" s="37">
        <v>55356</v>
      </c>
      <c r="K78" s="37">
        <v>57769</v>
      </c>
      <c r="L78" s="19"/>
      <c r="M78" s="19"/>
      <c r="N78" s="19"/>
      <c r="O78" s="19"/>
      <c r="P78" s="19"/>
      <c r="Q78" s="19"/>
    </row>
    <row r="79" spans="1:17" x14ac:dyDescent="0.3">
      <c r="A79" s="42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19"/>
      <c r="M79" s="19"/>
      <c r="N79" s="19"/>
      <c r="O79" s="19"/>
      <c r="P79" s="19"/>
      <c r="Q79" s="19"/>
    </row>
    <row r="80" spans="1:17" x14ac:dyDescent="0.3">
      <c r="A80" s="42" t="s">
        <v>2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19"/>
      <c r="M80" s="19"/>
      <c r="N80" s="19"/>
      <c r="O80" s="19"/>
      <c r="P80" s="19"/>
      <c r="Q80" s="19"/>
    </row>
    <row r="81" spans="1:17" x14ac:dyDescent="0.3">
      <c r="A81" s="41" t="s">
        <v>70</v>
      </c>
      <c r="B81" s="33" t="s">
        <v>71</v>
      </c>
      <c r="C81" s="33" t="s">
        <v>71</v>
      </c>
      <c r="D81" s="33" t="s">
        <v>71</v>
      </c>
      <c r="E81" s="33" t="s">
        <v>71</v>
      </c>
      <c r="F81" s="33" t="s">
        <v>71</v>
      </c>
      <c r="G81" s="33" t="s">
        <v>71</v>
      </c>
      <c r="H81" s="33" t="s">
        <v>71</v>
      </c>
      <c r="I81" s="33" t="s">
        <v>71</v>
      </c>
      <c r="J81" s="33" t="s">
        <v>71</v>
      </c>
      <c r="K81" s="33" t="s">
        <v>71</v>
      </c>
      <c r="L81" s="19"/>
      <c r="M81" s="19"/>
      <c r="N81" s="19"/>
      <c r="O81" s="19"/>
      <c r="P81" s="19"/>
      <c r="Q81" s="19"/>
    </row>
    <row r="82" spans="1:17" x14ac:dyDescent="0.3">
      <c r="A82" s="41" t="s">
        <v>227</v>
      </c>
      <c r="B82" s="34">
        <v>602.22649999999999</v>
      </c>
      <c r="C82" s="34">
        <v>556.15620000000001</v>
      </c>
      <c r="D82" s="34">
        <v>541.68169999999998</v>
      </c>
      <c r="E82" s="34">
        <v>517.76160000000004</v>
      </c>
      <c r="F82" s="34">
        <v>504.19900000000001</v>
      </c>
      <c r="G82" s="34">
        <v>500.87709999999998</v>
      </c>
      <c r="H82" s="34">
        <v>471.27409999999998</v>
      </c>
      <c r="I82" s="34">
        <v>460.34690000000001</v>
      </c>
      <c r="J82" s="34">
        <v>461.67540000000002</v>
      </c>
      <c r="K82" s="34">
        <v>455.56700000000001</v>
      </c>
      <c r="L82" s="19"/>
      <c r="M82" s="19"/>
      <c r="N82" s="19"/>
      <c r="O82" s="19"/>
      <c r="P82" s="19"/>
      <c r="Q82" s="19"/>
    </row>
    <row r="83" spans="1:17" x14ac:dyDescent="0.3">
      <c r="A83" s="41" t="s">
        <v>228</v>
      </c>
      <c r="B83" s="34">
        <v>0</v>
      </c>
      <c r="C83" s="34">
        <v>0</v>
      </c>
      <c r="D83" s="34">
        <v>0</v>
      </c>
      <c r="E83" s="34">
        <v>0</v>
      </c>
      <c r="F83" s="34">
        <v>0</v>
      </c>
      <c r="G83" s="34">
        <v>0</v>
      </c>
      <c r="H83" s="34">
        <v>0</v>
      </c>
      <c r="I83" s="34">
        <v>0</v>
      </c>
      <c r="J83" s="34">
        <v>0</v>
      </c>
      <c r="K83" s="34">
        <v>0</v>
      </c>
      <c r="L83" s="20"/>
      <c r="M83" s="20"/>
      <c r="N83" s="20"/>
      <c r="O83" s="20"/>
      <c r="P83" s="20"/>
      <c r="Q83" s="20"/>
    </row>
    <row r="84" spans="1:17" x14ac:dyDescent="0.3">
      <c r="A84" s="41" t="s">
        <v>229</v>
      </c>
      <c r="B84" s="34">
        <v>49</v>
      </c>
      <c r="C84" s="34">
        <v>25</v>
      </c>
      <c r="D84" s="34">
        <v>41</v>
      </c>
      <c r="E84" s="34">
        <v>40</v>
      </c>
      <c r="F84" s="34">
        <v>107</v>
      </c>
      <c r="G84" s="34">
        <v>57</v>
      </c>
      <c r="H84" s="34">
        <v>45</v>
      </c>
      <c r="I84" s="34">
        <v>37</v>
      </c>
      <c r="J84" s="34">
        <v>33</v>
      </c>
      <c r="K84" s="34">
        <v>31</v>
      </c>
      <c r="L84" s="19"/>
      <c r="M84" s="19"/>
      <c r="N84" s="19"/>
      <c r="O84" s="19"/>
      <c r="P84" s="19"/>
      <c r="Q84" s="19"/>
    </row>
    <row r="85" spans="1:17" x14ac:dyDescent="0.3">
      <c r="A85" s="41" t="s">
        <v>230</v>
      </c>
      <c r="B85" s="34">
        <v>3335</v>
      </c>
      <c r="C85" s="34">
        <v>3488</v>
      </c>
      <c r="D85" s="34">
        <v>3726</v>
      </c>
      <c r="E85" s="34">
        <v>2904</v>
      </c>
      <c r="F85" s="34">
        <v>3205</v>
      </c>
      <c r="G85" s="34">
        <v>3081</v>
      </c>
      <c r="H85" s="34">
        <v>3403</v>
      </c>
      <c r="I85" s="34">
        <v>3629</v>
      </c>
      <c r="J85" s="34">
        <v>4756</v>
      </c>
      <c r="K85" s="34">
        <v>5213</v>
      </c>
      <c r="L85" s="19"/>
      <c r="M85" s="19"/>
      <c r="N85" s="19"/>
      <c r="O85" s="19"/>
      <c r="P85" s="19"/>
      <c r="Q85" s="19"/>
    </row>
    <row r="86" spans="1:17" x14ac:dyDescent="0.3">
      <c r="A86" s="41" t="s">
        <v>231</v>
      </c>
      <c r="B86" s="34">
        <v>859</v>
      </c>
      <c r="C86" s="34">
        <v>1025</v>
      </c>
      <c r="D86" s="34">
        <v>965</v>
      </c>
      <c r="E86" s="34">
        <v>1021</v>
      </c>
      <c r="F86" s="34">
        <v>1370</v>
      </c>
      <c r="G86" s="34">
        <v>1854</v>
      </c>
      <c r="H86" s="34">
        <v>2075</v>
      </c>
      <c r="I86" s="34">
        <v>2072</v>
      </c>
      <c r="J86" s="34">
        <v>2013</v>
      </c>
      <c r="K86" s="34">
        <v>2161</v>
      </c>
      <c r="L86" s="18"/>
      <c r="M86" s="18"/>
      <c r="N86" s="18"/>
      <c r="O86" s="18"/>
      <c r="P86" s="18"/>
      <c r="Q86" s="18"/>
    </row>
    <row r="87" spans="1:17" x14ac:dyDescent="0.3">
      <c r="A87" s="41" t="s">
        <v>232</v>
      </c>
      <c r="B87" s="34">
        <v>0</v>
      </c>
      <c r="C87" s="34">
        <v>0</v>
      </c>
      <c r="D87" s="34">
        <v>2.1059999999999999</v>
      </c>
      <c r="E87" s="34">
        <v>0</v>
      </c>
      <c r="F87" s="34">
        <v>0</v>
      </c>
      <c r="G87" s="34">
        <v>0</v>
      </c>
      <c r="H87" s="34">
        <v>0</v>
      </c>
      <c r="I87" s="34" t="s">
        <v>85</v>
      </c>
      <c r="J87" s="34" t="s">
        <v>85</v>
      </c>
      <c r="K87" s="34" t="s">
        <v>85</v>
      </c>
      <c r="L87" s="18"/>
      <c r="M87" s="18"/>
      <c r="N87" s="18"/>
      <c r="O87" s="18"/>
      <c r="P87" s="18"/>
      <c r="Q87" s="18"/>
    </row>
    <row r="88" spans="1:17" x14ac:dyDescent="0.3">
      <c r="A88" s="41" t="s">
        <v>233</v>
      </c>
      <c r="B88" s="34">
        <v>10.5</v>
      </c>
      <c r="C88" s="34">
        <v>6.21</v>
      </c>
      <c r="D88" s="34">
        <v>5.9379999999999997</v>
      </c>
      <c r="E88" s="34">
        <v>3.99</v>
      </c>
      <c r="F88" s="34">
        <v>2.4780000000000002</v>
      </c>
      <c r="G88" s="34">
        <v>0.46700000000000003</v>
      </c>
      <c r="H88" s="34">
        <v>0.21</v>
      </c>
      <c r="I88" s="34">
        <v>0.122</v>
      </c>
      <c r="J88" s="34">
        <v>5.5E-2</v>
      </c>
      <c r="K88" s="34" t="s">
        <v>85</v>
      </c>
      <c r="L88" s="19"/>
      <c r="M88" s="19"/>
      <c r="N88" s="19"/>
      <c r="O88" s="19"/>
      <c r="P88" s="19"/>
      <c r="Q88" s="19"/>
    </row>
    <row r="89" spans="1:17" x14ac:dyDescent="0.3">
      <c r="A89" s="41" t="s">
        <v>234</v>
      </c>
      <c r="B89" s="34">
        <v>8714</v>
      </c>
      <c r="C89" s="34">
        <v>10237</v>
      </c>
      <c r="D89" s="34">
        <v>10827</v>
      </c>
      <c r="E89" s="34">
        <v>11889</v>
      </c>
      <c r="F89" s="34">
        <v>11397</v>
      </c>
      <c r="G89" s="34">
        <v>6598</v>
      </c>
      <c r="H89" s="34">
        <v>10556</v>
      </c>
      <c r="I89" s="34">
        <v>16844</v>
      </c>
      <c r="J89" s="34">
        <v>15841</v>
      </c>
      <c r="K89" s="34">
        <v>15113</v>
      </c>
      <c r="L89" s="19"/>
      <c r="M89" s="19"/>
      <c r="N89" s="19"/>
      <c r="O89" s="19"/>
      <c r="P89" s="19"/>
      <c r="Q89" s="19"/>
    </row>
    <row r="90" spans="1:17" x14ac:dyDescent="0.3">
      <c r="A90" s="41" t="s">
        <v>235</v>
      </c>
      <c r="B90" s="35">
        <v>67.253200000000007</v>
      </c>
      <c r="C90" s="35">
        <v>93.462999999999994</v>
      </c>
      <c r="D90" s="35">
        <v>92.927599999999998</v>
      </c>
      <c r="E90" s="35">
        <v>105.2403</v>
      </c>
      <c r="F90" s="35">
        <v>96.315399999999997</v>
      </c>
      <c r="G90" s="35">
        <v>45.692500000000003</v>
      </c>
      <c r="H90" s="35">
        <v>82.295199999999994</v>
      </c>
      <c r="I90" s="35">
        <v>149.96440000000001</v>
      </c>
      <c r="J90" s="35">
        <v>117.9348</v>
      </c>
      <c r="K90" s="35">
        <v>103.0479</v>
      </c>
      <c r="L90" s="19"/>
      <c r="M90" s="19"/>
      <c r="N90" s="19"/>
      <c r="O90" s="19"/>
      <c r="P90" s="19"/>
      <c r="Q90" s="19"/>
    </row>
    <row r="91" spans="1:17" x14ac:dyDescent="0.3">
      <c r="A91" s="41" t="s">
        <v>236</v>
      </c>
      <c r="B91" s="35">
        <v>31.7102</v>
      </c>
      <c r="C91" s="35">
        <v>28.768999999999998</v>
      </c>
      <c r="D91" s="35">
        <v>27.6355</v>
      </c>
      <c r="E91" s="35">
        <v>26.109200000000001</v>
      </c>
      <c r="F91" s="35">
        <v>26.4818</v>
      </c>
      <c r="G91" s="35">
        <v>27.228200000000001</v>
      </c>
      <c r="H91" s="35">
        <v>22.897200000000002</v>
      </c>
      <c r="I91" s="35">
        <v>20.093</v>
      </c>
      <c r="J91" s="35">
        <v>23.380299999999998</v>
      </c>
      <c r="K91" s="35">
        <v>24.563300000000002</v>
      </c>
      <c r="L91" s="20"/>
      <c r="M91" s="20"/>
      <c r="N91" s="20"/>
      <c r="O91" s="20"/>
      <c r="P91" s="20"/>
      <c r="Q91" s="20"/>
    </row>
    <row r="92" spans="1:17" x14ac:dyDescent="0.3">
      <c r="A92" s="41" t="s">
        <v>138</v>
      </c>
      <c r="B92" s="35">
        <v>1.1194999999999999</v>
      </c>
      <c r="C92" s="35">
        <v>0.94359999999999999</v>
      </c>
      <c r="D92" s="35">
        <v>0.96079999999999999</v>
      </c>
      <c r="E92" s="35">
        <v>0.83379999999999999</v>
      </c>
      <c r="F92" s="35">
        <v>0.89059999999999995</v>
      </c>
      <c r="G92" s="35">
        <v>1.0314000000000001</v>
      </c>
      <c r="H92" s="35">
        <v>0.99199999999999999</v>
      </c>
      <c r="I92" s="35">
        <v>0.91520000000000001</v>
      </c>
      <c r="J92" s="35">
        <v>0.90639999999999998</v>
      </c>
      <c r="K92" s="35">
        <v>0.93530000000000002</v>
      </c>
      <c r="L92" s="19"/>
      <c r="M92" s="19"/>
      <c r="N92" s="19"/>
      <c r="O92" s="19"/>
      <c r="P92" s="19"/>
      <c r="Q92" s="19"/>
    </row>
    <row r="93" spans="1:17" x14ac:dyDescent="0.3">
      <c r="A93" s="41" t="s">
        <v>237</v>
      </c>
      <c r="B93" s="35" t="s">
        <v>85</v>
      </c>
      <c r="C93" s="35" t="s">
        <v>85</v>
      </c>
      <c r="D93" s="35" t="s">
        <v>85</v>
      </c>
      <c r="E93" s="35" t="s">
        <v>85</v>
      </c>
      <c r="F93" s="35" t="s">
        <v>85</v>
      </c>
      <c r="G93" s="35" t="s">
        <v>85</v>
      </c>
      <c r="H93" s="35" t="s">
        <v>85</v>
      </c>
      <c r="I93" s="35" t="s">
        <v>85</v>
      </c>
      <c r="J93" s="35" t="s">
        <v>85</v>
      </c>
      <c r="K93" s="35" t="s">
        <v>85</v>
      </c>
      <c r="L93" s="19"/>
      <c r="M93" s="19"/>
      <c r="N93" s="19"/>
      <c r="O93" s="19"/>
      <c r="P93" s="19"/>
      <c r="Q93" s="19"/>
    </row>
    <row r="94" spans="1:17" x14ac:dyDescent="0.3">
      <c r="A94" s="41" t="s">
        <v>238</v>
      </c>
      <c r="B94" s="35">
        <v>341000</v>
      </c>
      <c r="C94" s="35">
        <v>323000</v>
      </c>
      <c r="D94" s="35">
        <v>360000</v>
      </c>
      <c r="E94" s="35">
        <v>360000</v>
      </c>
      <c r="F94" s="35">
        <v>368000</v>
      </c>
      <c r="G94" s="35">
        <v>409000</v>
      </c>
      <c r="H94" s="35">
        <v>450000</v>
      </c>
      <c r="I94" s="35">
        <v>440000</v>
      </c>
      <c r="J94" s="35">
        <v>415000</v>
      </c>
      <c r="K94" s="35">
        <v>440000</v>
      </c>
      <c r="L94" s="19"/>
      <c r="M94" s="19"/>
      <c r="N94" s="19"/>
      <c r="O94" s="19"/>
      <c r="P94" s="19"/>
      <c r="Q94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44C6-8119-456D-B775-657736117302}">
  <dimension ref="A1:L46"/>
  <sheetViews>
    <sheetView zoomScale="80" zoomScaleNormal="80" workbookViewId="0">
      <selection activeCell="H23" sqref="H23"/>
    </sheetView>
  </sheetViews>
  <sheetFormatPr defaultRowHeight="14.4" x14ac:dyDescent="0.3"/>
  <cols>
    <col min="1" max="1" width="35.109375" customWidth="1"/>
    <col min="2" max="2" width="0" hidden="1" customWidth="1"/>
    <col min="3" max="12" width="11.88671875" customWidth="1"/>
  </cols>
  <sheetData>
    <row r="1" spans="1:12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21" x14ac:dyDescent="0.3">
      <c r="A2" s="29" t="s">
        <v>132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x14ac:dyDescent="0.3">
      <c r="A4" s="46" t="s">
        <v>4</v>
      </c>
      <c r="B4" s="46"/>
      <c r="C4" s="45" t="s">
        <v>5</v>
      </c>
      <c r="D4" s="45" t="s">
        <v>6</v>
      </c>
      <c r="E4" s="45" t="s">
        <v>7</v>
      </c>
      <c r="F4" s="45" t="s">
        <v>8</v>
      </c>
      <c r="G4" s="45" t="s">
        <v>9</v>
      </c>
      <c r="H4" s="45" t="s">
        <v>10</v>
      </c>
      <c r="I4" s="45" t="s">
        <v>11</v>
      </c>
      <c r="J4" s="45" t="s">
        <v>12</v>
      </c>
      <c r="K4" s="45" t="s">
        <v>13</v>
      </c>
      <c r="L4" s="45" t="s">
        <v>14</v>
      </c>
    </row>
    <row r="5" spans="1:12" x14ac:dyDescent="0.3">
      <c r="A5" s="44" t="s">
        <v>15</v>
      </c>
      <c r="B5" s="44"/>
      <c r="C5" s="43" t="s">
        <v>16</v>
      </c>
      <c r="D5" s="43" t="s">
        <v>17</v>
      </c>
      <c r="E5" s="43" t="s">
        <v>18</v>
      </c>
      <c r="F5" s="43" t="s">
        <v>19</v>
      </c>
      <c r="G5" s="43" t="s">
        <v>20</v>
      </c>
      <c r="H5" s="43" t="s">
        <v>21</v>
      </c>
      <c r="I5" s="43" t="s">
        <v>22</v>
      </c>
      <c r="J5" s="43" t="s">
        <v>23</v>
      </c>
      <c r="K5" s="43" t="s">
        <v>24</v>
      </c>
      <c r="L5" s="43" t="s">
        <v>25</v>
      </c>
    </row>
    <row r="6" spans="1:12" x14ac:dyDescent="0.3">
      <c r="A6" s="42" t="s">
        <v>131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1:12" x14ac:dyDescent="0.3">
      <c r="A7" s="41" t="s">
        <v>130</v>
      </c>
      <c r="B7" s="41" t="s">
        <v>125</v>
      </c>
      <c r="C7" s="35">
        <v>-10.824400000000001</v>
      </c>
      <c r="D7" s="35">
        <v>24.953600000000002</v>
      </c>
      <c r="E7" s="35">
        <v>22.894200000000001</v>
      </c>
      <c r="F7" s="35">
        <v>25.783000000000001</v>
      </c>
      <c r="G7" s="35">
        <v>25.597000000000001</v>
      </c>
      <c r="H7" s="35">
        <v>28.370100000000001</v>
      </c>
      <c r="I7" s="35">
        <v>33.250900000000001</v>
      </c>
      <c r="J7" s="35">
        <v>50.948</v>
      </c>
      <c r="K7" s="35">
        <v>23.1099</v>
      </c>
      <c r="L7" s="35">
        <v>33.555</v>
      </c>
    </row>
    <row r="8" spans="1:12" x14ac:dyDescent="0.3">
      <c r="A8" s="41" t="s">
        <v>129</v>
      </c>
      <c r="B8" s="41" t="s">
        <v>123</v>
      </c>
      <c r="C8" s="35">
        <v>-3.8169</v>
      </c>
      <c r="D8" s="35">
        <v>8.2593999999999994</v>
      </c>
      <c r="E8" s="35">
        <v>7.0457000000000001</v>
      </c>
      <c r="F8" s="35">
        <v>7.4973999999999998</v>
      </c>
      <c r="G8" s="35">
        <v>7.1990999999999996</v>
      </c>
      <c r="H8" s="35">
        <v>7.8055000000000003</v>
      </c>
      <c r="I8" s="35">
        <v>9.2909000000000006</v>
      </c>
      <c r="J8" s="35">
        <v>13.223000000000001</v>
      </c>
      <c r="K8" s="35">
        <v>5.1891999999999996</v>
      </c>
      <c r="L8" s="35">
        <v>7.6142000000000003</v>
      </c>
    </row>
    <row r="9" spans="1:12" x14ac:dyDescent="0.3">
      <c r="A9" s="41" t="s">
        <v>128</v>
      </c>
      <c r="B9" s="41" t="s">
        <v>121</v>
      </c>
      <c r="C9" s="35">
        <v>-3.7629999999999999</v>
      </c>
      <c r="D9" s="35">
        <v>14.3881</v>
      </c>
      <c r="E9" s="35">
        <v>13.8118</v>
      </c>
      <c r="F9" s="35">
        <v>14.0799</v>
      </c>
      <c r="G9" s="35">
        <v>13.254099999999999</v>
      </c>
      <c r="H9" s="35">
        <v>14.453900000000001</v>
      </c>
      <c r="I9" s="35">
        <v>18.561599999999999</v>
      </c>
      <c r="J9" s="35">
        <v>24.724499999999999</v>
      </c>
      <c r="K9" s="35">
        <v>10.633699999999999</v>
      </c>
      <c r="L9" s="35">
        <v>14.294600000000001</v>
      </c>
    </row>
    <row r="10" spans="1:12" x14ac:dyDescent="0.3">
      <c r="A10" s="41" t="s">
        <v>127</v>
      </c>
      <c r="B10" s="41" t="s">
        <v>119</v>
      </c>
      <c r="C10" s="35">
        <v>10.801</v>
      </c>
      <c r="D10" s="35">
        <v>14.1096</v>
      </c>
      <c r="E10" s="35">
        <v>13.192600000000001</v>
      </c>
      <c r="F10" s="35">
        <v>13.62</v>
      </c>
      <c r="G10" s="35">
        <v>13.039400000000001</v>
      </c>
      <c r="H10" s="35">
        <v>13.8866</v>
      </c>
      <c r="I10" s="35">
        <v>17.907699999999998</v>
      </c>
      <c r="J10" s="35">
        <v>22.639600000000002</v>
      </c>
      <c r="K10" s="35">
        <v>9.7355999999999998</v>
      </c>
      <c r="L10" s="35">
        <v>12.836499999999999</v>
      </c>
    </row>
    <row r="11" spans="1:12" x14ac:dyDescent="0.3">
      <c r="A11" s="41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</row>
    <row r="12" spans="1:12" x14ac:dyDescent="0.3">
      <c r="A12" s="42" t="s">
        <v>118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</row>
    <row r="13" spans="1:12" x14ac:dyDescent="0.3">
      <c r="A13" s="52" t="s">
        <v>76</v>
      </c>
      <c r="B13" s="41" t="s">
        <v>117</v>
      </c>
      <c r="C13" s="35">
        <v>29.386700000000001</v>
      </c>
      <c r="D13" s="35">
        <v>29.1983</v>
      </c>
      <c r="E13" s="35">
        <v>29.282699999999998</v>
      </c>
      <c r="F13" s="35">
        <v>29.690300000000001</v>
      </c>
      <c r="G13" s="35">
        <v>29.270399999999999</v>
      </c>
      <c r="H13" s="35">
        <v>29.7624</v>
      </c>
      <c r="I13" s="35">
        <v>29.268599999999999</v>
      </c>
      <c r="J13" s="35">
        <v>29.2835</v>
      </c>
      <c r="K13" s="35">
        <v>24.6435</v>
      </c>
      <c r="L13" s="35">
        <v>27.6282</v>
      </c>
    </row>
    <row r="14" spans="1:12" x14ac:dyDescent="0.3">
      <c r="A14" s="41" t="s">
        <v>116</v>
      </c>
      <c r="B14" s="41" t="s">
        <v>115</v>
      </c>
      <c r="C14" s="35">
        <v>9.1768000000000001</v>
      </c>
      <c r="D14" s="35">
        <v>10.494</v>
      </c>
      <c r="E14" s="35">
        <v>10.456899999999999</v>
      </c>
      <c r="F14" s="35">
        <v>9.5056999999999992</v>
      </c>
      <c r="G14" s="35">
        <v>9.0556999999999999</v>
      </c>
      <c r="H14" s="35">
        <v>9.6477000000000004</v>
      </c>
      <c r="I14" s="35">
        <v>10.039400000000001</v>
      </c>
      <c r="J14" s="35">
        <v>11.354200000000001</v>
      </c>
      <c r="K14" s="35">
        <v>6.4112999999999998</v>
      </c>
      <c r="L14" s="35">
        <v>8.4143000000000008</v>
      </c>
    </row>
    <row r="15" spans="1:12" x14ac:dyDescent="0.3">
      <c r="A15" s="52" t="s">
        <v>77</v>
      </c>
      <c r="B15" s="41" t="s">
        <v>114</v>
      </c>
      <c r="C15" s="35">
        <v>6.2450000000000001</v>
      </c>
      <c r="D15" s="35">
        <v>7.4946999999999999</v>
      </c>
      <c r="E15" s="35">
        <v>7.1501999999999999</v>
      </c>
      <c r="F15" s="35">
        <v>5.8090999999999999</v>
      </c>
      <c r="G15" s="35">
        <v>5.4541000000000004</v>
      </c>
      <c r="H15" s="35">
        <v>5.9631999999999996</v>
      </c>
      <c r="I15" s="35">
        <v>6.9889999999999999</v>
      </c>
      <c r="J15" s="35">
        <v>8.4391999999999996</v>
      </c>
      <c r="K15" s="35">
        <v>3.5264000000000002</v>
      </c>
      <c r="L15" s="35">
        <v>5.3132000000000001</v>
      </c>
    </row>
    <row r="16" spans="1:12" x14ac:dyDescent="0.3">
      <c r="A16" s="41" t="s">
        <v>113</v>
      </c>
      <c r="B16" s="41" t="s">
        <v>112</v>
      </c>
      <c r="C16" s="35" t="s">
        <v>85</v>
      </c>
      <c r="D16" s="35">
        <v>85.261399999999995</v>
      </c>
      <c r="E16" s="35">
        <v>-13.0769</v>
      </c>
      <c r="F16" s="35" t="s">
        <v>85</v>
      </c>
      <c r="G16" s="35" t="s">
        <v>85</v>
      </c>
      <c r="H16" s="35">
        <v>19.883900000000001</v>
      </c>
      <c r="I16" s="35">
        <v>12.1755</v>
      </c>
      <c r="J16" s="35">
        <v>19.342700000000001</v>
      </c>
      <c r="K16" s="35" t="s">
        <v>85</v>
      </c>
      <c r="L16" s="35" t="s">
        <v>85</v>
      </c>
    </row>
    <row r="17" spans="1:12" x14ac:dyDescent="0.3">
      <c r="A17" s="41" t="s">
        <v>111</v>
      </c>
      <c r="B17" s="41" t="s">
        <v>110</v>
      </c>
      <c r="C17" s="35">
        <v>5.0304000000000002</v>
      </c>
      <c r="D17" s="35">
        <v>6.6721000000000004</v>
      </c>
      <c r="E17" s="35">
        <v>5.7054</v>
      </c>
      <c r="F17" s="35">
        <v>4.9922000000000004</v>
      </c>
      <c r="G17" s="35">
        <v>4.8781999999999996</v>
      </c>
      <c r="H17" s="35">
        <v>5.3640999999999996</v>
      </c>
      <c r="I17" s="35">
        <v>5.9276999999999997</v>
      </c>
      <c r="J17" s="35">
        <v>8.4024000000000001</v>
      </c>
      <c r="K17" s="35">
        <v>3.1322999999999999</v>
      </c>
      <c r="L17" s="35">
        <v>4.9314999999999998</v>
      </c>
    </row>
    <row r="18" spans="1:12" x14ac:dyDescent="0.3">
      <c r="A18" s="41" t="s">
        <v>109</v>
      </c>
      <c r="B18" s="41" t="s">
        <v>108</v>
      </c>
      <c r="C18" s="35">
        <v>3.3723999999999998</v>
      </c>
      <c r="D18" s="35">
        <v>4.5008999999999997</v>
      </c>
      <c r="E18" s="35">
        <v>3.8405999999999998</v>
      </c>
      <c r="F18" s="35">
        <v>3.9992000000000001</v>
      </c>
      <c r="G18" s="35">
        <v>3.8881999999999999</v>
      </c>
      <c r="H18" s="35">
        <v>4.1849999999999996</v>
      </c>
      <c r="I18" s="35">
        <v>4.6685999999999996</v>
      </c>
      <c r="J18" s="35">
        <v>6.5525000000000002</v>
      </c>
      <c r="K18" s="35">
        <v>2.5476999999999999</v>
      </c>
      <c r="L18" s="35">
        <v>3.8525</v>
      </c>
    </row>
    <row r="19" spans="1:12" x14ac:dyDescent="0.3">
      <c r="A19" s="52" t="s">
        <v>107</v>
      </c>
      <c r="B19" s="41" t="s">
        <v>106</v>
      </c>
      <c r="C19" s="35">
        <v>-2.2528999999999999</v>
      </c>
      <c r="D19" s="35">
        <v>4.5578000000000003</v>
      </c>
      <c r="E19" s="35">
        <v>3.9384000000000001</v>
      </c>
      <c r="F19" s="35">
        <v>4.0075000000000003</v>
      </c>
      <c r="G19" s="35">
        <v>3.8975</v>
      </c>
      <c r="H19" s="35">
        <v>4.2004000000000001</v>
      </c>
      <c r="I19" s="35">
        <v>4.6685999999999996</v>
      </c>
      <c r="J19" s="35">
        <v>6.5525000000000002</v>
      </c>
      <c r="K19" s="35">
        <v>2.5476999999999999</v>
      </c>
      <c r="L19" s="35">
        <v>3.8525</v>
      </c>
    </row>
    <row r="20" spans="1:12" x14ac:dyDescent="0.3">
      <c r="A20" s="41" t="s">
        <v>105</v>
      </c>
      <c r="B20" s="41" t="s">
        <v>104</v>
      </c>
      <c r="C20" s="35">
        <v>-2.2528999999999999</v>
      </c>
      <c r="D20" s="35">
        <v>4.5578000000000003</v>
      </c>
      <c r="E20" s="35">
        <v>3.9384000000000001</v>
      </c>
      <c r="F20" s="35">
        <v>4.0075000000000003</v>
      </c>
      <c r="G20" s="35">
        <v>3.8975</v>
      </c>
      <c r="H20" s="35">
        <v>4.2004000000000001</v>
      </c>
      <c r="I20" s="35">
        <v>4.6685999999999996</v>
      </c>
      <c r="J20" s="35">
        <v>6.5525000000000002</v>
      </c>
      <c r="K20" s="35">
        <v>2.5476999999999999</v>
      </c>
      <c r="L20" s="35">
        <v>3.8525</v>
      </c>
    </row>
    <row r="21" spans="1:12" x14ac:dyDescent="0.3">
      <c r="A21" s="41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</row>
    <row r="22" spans="1:12" x14ac:dyDescent="0.3">
      <c r="A22" s="42" t="s">
        <v>103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</row>
    <row r="23" spans="1:12" x14ac:dyDescent="0.3">
      <c r="A23" s="41" t="s">
        <v>102</v>
      </c>
      <c r="B23" s="41" t="s">
        <v>101</v>
      </c>
      <c r="C23" s="35">
        <v>32.959200000000003</v>
      </c>
      <c r="D23" s="35">
        <v>32.5411</v>
      </c>
      <c r="E23" s="35">
        <v>32.686</v>
      </c>
      <c r="F23" s="35">
        <v>19.889800000000001</v>
      </c>
      <c r="G23" s="35">
        <v>20.293800000000001</v>
      </c>
      <c r="H23" s="35">
        <v>21.980899999999998</v>
      </c>
      <c r="I23" s="35">
        <v>21.240500000000001</v>
      </c>
      <c r="J23" s="35">
        <v>22.016400000000001</v>
      </c>
      <c r="K23" s="35">
        <v>18.665900000000001</v>
      </c>
      <c r="L23" s="35">
        <v>21.880299999999998</v>
      </c>
    </row>
    <row r="24" spans="1:12" x14ac:dyDescent="0.3">
      <c r="A24" s="41" t="s">
        <v>100</v>
      </c>
      <c r="B24" s="41" t="s">
        <v>99</v>
      </c>
      <c r="C24" s="35">
        <v>51.980400000000003</v>
      </c>
      <c r="D24" s="35">
        <v>41.493499999999997</v>
      </c>
      <c r="E24" s="35">
        <v>50.917900000000003</v>
      </c>
      <c r="F24" s="35">
        <v>46.63</v>
      </c>
      <c r="G24" s="35">
        <v>45.972700000000003</v>
      </c>
      <c r="H24" s="35">
        <v>40.654600000000002</v>
      </c>
      <c r="I24" s="35">
        <v>30.746300000000002</v>
      </c>
      <c r="J24" s="35">
        <v>22.286200000000001</v>
      </c>
      <c r="K24" s="35">
        <v>66.007199999999997</v>
      </c>
      <c r="L24" s="35">
        <v>44.610900000000001</v>
      </c>
    </row>
    <row r="25" spans="1:12" x14ac:dyDescent="0.3">
      <c r="A25" s="41" t="s">
        <v>98</v>
      </c>
      <c r="B25" s="41" t="s">
        <v>97</v>
      </c>
      <c r="C25" s="35">
        <v>-5.1978</v>
      </c>
      <c r="D25" s="35">
        <v>14.599500000000001</v>
      </c>
      <c r="E25" s="35">
        <v>11.2369</v>
      </c>
      <c r="F25" s="35">
        <v>13.760400000000001</v>
      </c>
      <c r="G25" s="35">
        <v>13.8294</v>
      </c>
      <c r="H25" s="35">
        <v>16.836300000000001</v>
      </c>
      <c r="I25" s="35">
        <v>23.0274</v>
      </c>
      <c r="J25" s="35">
        <v>39.593600000000002</v>
      </c>
      <c r="K25" s="35">
        <v>7.8556999999999997</v>
      </c>
      <c r="L25" s="35">
        <v>18.585799999999999</v>
      </c>
    </row>
    <row r="27" spans="1:12" x14ac:dyDescent="0.3">
      <c r="A27" s="46" t="s">
        <v>4</v>
      </c>
      <c r="B27" s="46"/>
      <c r="C27" s="45" t="s">
        <v>5</v>
      </c>
      <c r="D27" s="45" t="s">
        <v>6</v>
      </c>
      <c r="E27" s="45" t="s">
        <v>7</v>
      </c>
      <c r="F27" s="45" t="s">
        <v>8</v>
      </c>
      <c r="G27" s="45" t="s">
        <v>9</v>
      </c>
      <c r="H27" s="45" t="s">
        <v>10</v>
      </c>
      <c r="I27" s="45" t="s">
        <v>11</v>
      </c>
      <c r="J27" s="45" t="s">
        <v>12</v>
      </c>
      <c r="K27" s="45" t="s">
        <v>13</v>
      </c>
      <c r="L27" s="45" t="s">
        <v>14</v>
      </c>
    </row>
    <row r="28" spans="1:12" x14ac:dyDescent="0.3">
      <c r="A28" s="44" t="s">
        <v>15</v>
      </c>
      <c r="B28" s="44"/>
      <c r="C28" s="43" t="s">
        <v>16</v>
      </c>
      <c r="D28" s="43" t="s">
        <v>17</v>
      </c>
      <c r="E28" s="43" t="s">
        <v>18</v>
      </c>
      <c r="F28" s="43" t="s">
        <v>19</v>
      </c>
      <c r="G28" s="43" t="s">
        <v>20</v>
      </c>
      <c r="H28" s="43" t="s">
        <v>21</v>
      </c>
      <c r="I28" s="43" t="s">
        <v>22</v>
      </c>
      <c r="J28" s="43" t="s">
        <v>23</v>
      </c>
      <c r="K28" s="43" t="s">
        <v>24</v>
      </c>
      <c r="L28" s="43" t="s">
        <v>25</v>
      </c>
    </row>
    <row r="29" spans="1:12" x14ac:dyDescent="0.3">
      <c r="A29" s="42" t="s">
        <v>126</v>
      </c>
      <c r="B29" s="36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spans="1:12" x14ac:dyDescent="0.3">
      <c r="A30" s="41" t="s">
        <v>124</v>
      </c>
      <c r="B30" s="41" t="s">
        <v>123</v>
      </c>
      <c r="C30" s="48">
        <v>0</v>
      </c>
      <c r="D30" s="48">
        <v>10.49</v>
      </c>
      <c r="E30" s="48">
        <v>10.93</v>
      </c>
      <c r="F30" s="48">
        <v>11.73</v>
      </c>
      <c r="G30" s="48">
        <v>11.43</v>
      </c>
      <c r="H30" s="48">
        <v>15.47</v>
      </c>
      <c r="I30" s="48">
        <v>19.02</v>
      </c>
      <c r="J30" s="48">
        <v>14.42</v>
      </c>
      <c r="K30" s="48">
        <v>27.05</v>
      </c>
      <c r="L30" s="48">
        <v>15.11</v>
      </c>
    </row>
    <row r="31" spans="1:12" x14ac:dyDescent="0.3">
      <c r="A31" s="41" t="s">
        <v>122</v>
      </c>
      <c r="B31" s="41" t="s">
        <v>121</v>
      </c>
      <c r="C31" s="48">
        <v>2.54</v>
      </c>
      <c r="D31" s="48">
        <v>2.61</v>
      </c>
      <c r="E31" s="48">
        <v>2.62</v>
      </c>
      <c r="F31" s="48">
        <v>2.92</v>
      </c>
      <c r="G31" s="48">
        <v>2.89</v>
      </c>
      <c r="H31" s="48">
        <v>4.2</v>
      </c>
      <c r="I31" s="48">
        <v>5.71</v>
      </c>
      <c r="J31" s="48">
        <v>7.46</v>
      </c>
      <c r="K31" s="48">
        <v>6.63</v>
      </c>
      <c r="L31" s="48">
        <v>4.6399999999999997</v>
      </c>
    </row>
    <row r="32" spans="1:12" x14ac:dyDescent="0.3">
      <c r="A32" s="41" t="s">
        <v>120</v>
      </c>
      <c r="B32" s="41" t="s">
        <v>119</v>
      </c>
      <c r="C32" s="48">
        <v>2.59</v>
      </c>
      <c r="D32" s="48">
        <v>3.11</v>
      </c>
      <c r="E32" s="48">
        <v>3.6</v>
      </c>
      <c r="F32" s="48">
        <v>3.33</v>
      </c>
      <c r="G32" s="48">
        <v>3.42</v>
      </c>
      <c r="H32" s="48">
        <v>2.2000000000000002</v>
      </c>
      <c r="I32" s="48">
        <v>1.41</v>
      </c>
      <c r="J32" s="48">
        <v>1.62</v>
      </c>
      <c r="K32" s="48">
        <v>2.4</v>
      </c>
      <c r="L32" s="48">
        <v>2.89</v>
      </c>
    </row>
    <row r="33" spans="1:12" x14ac:dyDescent="0.3">
      <c r="A33" s="41" t="s">
        <v>133</v>
      </c>
      <c r="B33" s="33"/>
      <c r="C33" s="53">
        <f>'Income Statement'!B18/'Income Statement'!B6</f>
        <v>6.2450081247073727E-2</v>
      </c>
      <c r="D33" s="53">
        <f>'Income Statement'!C18/'Income Statement'!C6</f>
        <v>7.4947482550653921E-2</v>
      </c>
      <c r="E33" s="53">
        <f>'Income Statement'!D18/'Income Statement'!D6</f>
        <v>7.1501546873875818E-2</v>
      </c>
      <c r="F33" s="53">
        <f>'Income Statement'!E18/'Income Statement'!E6</f>
        <v>5.8090601534780101E-2</v>
      </c>
      <c r="G33" s="53">
        <f>'Income Statement'!F18/'Income Statement'!F6</f>
        <v>5.4541111523966242E-2</v>
      </c>
      <c r="H33" s="53">
        <f>'Income Statement'!G18/'Income Statement'!G6</f>
        <v>5.9632322818516999E-2</v>
      </c>
      <c r="I33" s="53">
        <f>'Income Statement'!H18/'Income Statement'!H6</f>
        <v>6.989023204112825E-2</v>
      </c>
      <c r="J33" s="53">
        <f>'Income Statement'!I18/'Income Statement'!I6</f>
        <v>8.4392245648790151E-2</v>
      </c>
      <c r="K33" s="53">
        <f>'Income Statement'!J18/'Income Statement'!J6</f>
        <v>3.5263929618768328E-2</v>
      </c>
      <c r="L33" s="53">
        <f>'Income Statement'!K18/'Income Statement'!K6</f>
        <v>5.3131866085725989E-2</v>
      </c>
    </row>
    <row r="34" spans="1:12" x14ac:dyDescent="0.3">
      <c r="A34" s="42" t="s">
        <v>143</v>
      </c>
      <c r="B34" s="36"/>
      <c r="C34" s="47"/>
      <c r="D34" s="51">
        <f t="shared" ref="D34:K34" si="0">(D32-C32)/C32</f>
        <v>0.20077220077220079</v>
      </c>
      <c r="E34" s="51">
        <f t="shared" si="0"/>
        <v>0.15755627009646309</v>
      </c>
      <c r="F34" s="51">
        <f t="shared" si="0"/>
        <v>-7.4999999999999997E-2</v>
      </c>
      <c r="G34" s="51">
        <f t="shared" si="0"/>
        <v>2.7027027027026983E-2</v>
      </c>
      <c r="H34" s="51">
        <f t="shared" si="0"/>
        <v>-0.35672514619883033</v>
      </c>
      <c r="I34" s="51">
        <f t="shared" si="0"/>
        <v>-0.35909090909090918</v>
      </c>
      <c r="J34" s="51">
        <f t="shared" si="0"/>
        <v>0.14893617021276609</v>
      </c>
      <c r="K34" s="51">
        <f t="shared" si="0"/>
        <v>0.48148148148148134</v>
      </c>
      <c r="L34" s="51">
        <f>(L32-K32)/K32</f>
        <v>0.20416666666666677</v>
      </c>
    </row>
    <row r="35" spans="1:12" x14ac:dyDescent="0.3">
      <c r="A35" s="41" t="s">
        <v>134</v>
      </c>
      <c r="B35" s="41" t="s">
        <v>117</v>
      </c>
      <c r="C35" s="48">
        <v>1.76</v>
      </c>
      <c r="D35" s="48">
        <v>1.83</v>
      </c>
      <c r="E35" s="48">
        <v>1.87</v>
      </c>
      <c r="F35" s="48">
        <v>1.8</v>
      </c>
      <c r="G35" s="48">
        <v>1.82</v>
      </c>
      <c r="H35" s="48">
        <v>1.82</v>
      </c>
      <c r="I35" s="48">
        <v>1.82</v>
      </c>
      <c r="J35" s="48">
        <v>1.97</v>
      </c>
      <c r="K35" s="48">
        <v>2.04</v>
      </c>
      <c r="L35" s="48">
        <v>1.94</v>
      </c>
    </row>
    <row r="36" spans="1:12" x14ac:dyDescent="0.3">
      <c r="A36" s="41" t="s">
        <v>135</v>
      </c>
      <c r="B36" s="41" t="s">
        <v>115</v>
      </c>
      <c r="C36" s="48">
        <v>6.1909999999999998</v>
      </c>
      <c r="D36" s="48">
        <v>6.07</v>
      </c>
      <c r="E36" s="48">
        <v>5.91</v>
      </c>
      <c r="F36" s="48">
        <v>5.95</v>
      </c>
      <c r="G36" s="48">
        <v>5.6</v>
      </c>
      <c r="H36" s="48">
        <v>6.1</v>
      </c>
      <c r="I36" s="48">
        <v>6.21</v>
      </c>
      <c r="J36" s="48">
        <v>5.39</v>
      </c>
      <c r="K36" s="48">
        <v>6.09</v>
      </c>
      <c r="L36" s="48">
        <v>6.54</v>
      </c>
    </row>
    <row r="37" spans="1:12" x14ac:dyDescent="0.3">
      <c r="A37" s="41" t="s">
        <v>136</v>
      </c>
      <c r="B37" s="41" t="s">
        <v>112</v>
      </c>
      <c r="C37" s="48">
        <v>0.9</v>
      </c>
      <c r="D37" s="48">
        <v>0.98</v>
      </c>
      <c r="E37" s="48">
        <v>1.1599999999999999</v>
      </c>
      <c r="F37" s="48">
        <v>0.97</v>
      </c>
      <c r="G37" s="48">
        <v>0.99</v>
      </c>
      <c r="H37" s="48">
        <v>0.97</v>
      </c>
      <c r="I37" s="48">
        <v>0.87</v>
      </c>
      <c r="J37" s="48">
        <v>1.06</v>
      </c>
      <c r="K37" s="48">
        <v>1.43</v>
      </c>
      <c r="L37" s="48">
        <v>1.19</v>
      </c>
    </row>
    <row r="38" spans="1:12" x14ac:dyDescent="0.3">
      <c r="A38" s="41" t="s">
        <v>137</v>
      </c>
      <c r="B38" s="41" t="s">
        <v>110</v>
      </c>
      <c r="C38" s="48">
        <f>'Income Statement'!B61/'Income Statement'!B21</f>
        <v>5.14172335600907</v>
      </c>
      <c r="D38" s="48">
        <f>'Income Statement'!C61/'Income Statement'!C21</f>
        <v>9.1103789126853378</v>
      </c>
      <c r="E38" s="48">
        <f>'Income Statement'!D61/'Income Statement'!D21</f>
        <v>4.9492031872509958</v>
      </c>
      <c r="F38" s="48">
        <f>'Income Statement'!E61/'Income Statement'!E21</f>
        <v>6.4686064318529866</v>
      </c>
      <c r="G38" s="48">
        <f>'Income Statement'!F61/'Income Statement'!F21</f>
        <v>8.9154013015184379</v>
      </c>
      <c r="H38" s="48">
        <f>'Income Statement'!G61/'Income Statement'!G21</f>
        <v>9.765199161425576</v>
      </c>
      <c r="I38" s="48">
        <f>'Income Statement'!H61/'Income Statement'!H21</f>
        <v>6.6929375639713404</v>
      </c>
      <c r="J38" s="48">
        <f>'Income Statement'!I61/'Income Statement'!I21</f>
        <v>21.24940617577197</v>
      </c>
      <c r="K38" s="48">
        <f>'Income Statement'!J61/'Income Statement'!J21</f>
        <v>8.05020920502092</v>
      </c>
      <c r="L38" s="48">
        <f>'Income Statement'!K61/'Income Statement'!K21</f>
        <v>11.368525896414342</v>
      </c>
    </row>
    <row r="39" spans="1:12" x14ac:dyDescent="0.3">
      <c r="A39" s="41" t="s">
        <v>138</v>
      </c>
      <c r="B39" s="41" t="s">
        <v>108</v>
      </c>
      <c r="C39" s="48">
        <v>1.1599999999999999</v>
      </c>
      <c r="D39" s="48">
        <v>1.1200000000000001</v>
      </c>
      <c r="E39" s="48">
        <v>0.94</v>
      </c>
      <c r="F39" s="48">
        <v>0.96</v>
      </c>
      <c r="G39" s="48">
        <v>0.83</v>
      </c>
      <c r="H39" s="48">
        <v>0.89</v>
      </c>
      <c r="I39" s="48">
        <v>1.03</v>
      </c>
      <c r="J39" s="48">
        <v>0.99</v>
      </c>
      <c r="K39" s="48">
        <v>0.92</v>
      </c>
      <c r="L39" s="48">
        <v>0.91</v>
      </c>
    </row>
    <row r="40" spans="1:12" x14ac:dyDescent="0.3">
      <c r="A40" s="41" t="s">
        <v>139</v>
      </c>
      <c r="B40" s="41" t="s">
        <v>106</v>
      </c>
      <c r="C40" s="48">
        <v>0.46</v>
      </c>
      <c r="D40" s="48">
        <v>0.44</v>
      </c>
      <c r="E40" s="48">
        <v>0.28999999999999998</v>
      </c>
      <c r="F40" s="48">
        <v>0.3</v>
      </c>
      <c r="G40" s="48">
        <v>0.2</v>
      </c>
      <c r="H40" s="48">
        <v>0.27</v>
      </c>
      <c r="I40" s="48">
        <v>0.5</v>
      </c>
      <c r="J40" s="48">
        <v>0.35</v>
      </c>
      <c r="K40" s="48">
        <v>0.22</v>
      </c>
      <c r="L40" s="48">
        <v>0.28999999999999998</v>
      </c>
    </row>
    <row r="41" spans="1:12" x14ac:dyDescent="0.3">
      <c r="A41" s="41" t="s">
        <v>140</v>
      </c>
      <c r="B41" s="41" t="s">
        <v>104</v>
      </c>
      <c r="C41" s="48"/>
      <c r="D41" s="53">
        <f>('Income Statement'!C6-'Income Statement'!B6)/'Income Statement'!B6</f>
        <v>1.6070395769643891E-2</v>
      </c>
      <c r="E41" s="53">
        <f>('Income Statement'!D6-'Income Statement'!C6)/'Income Statement'!C6</f>
        <v>-5.8141898759910549E-2</v>
      </c>
      <c r="F41" s="53">
        <f>('Income Statement'!E6-'Income Statement'!D6)/'Income Statement'!D6</f>
        <v>4.6319879127994817E-2</v>
      </c>
      <c r="G41" s="53">
        <f>('Income Statement'!F6-'Income Statement'!E6)/'Income Statement'!E6</f>
        <v>3.6334130978903652E-2</v>
      </c>
      <c r="H41" s="53">
        <f>('Income Statement'!G6-'Income Statement'!F6)/'Income Statement'!F6</f>
        <v>3.6573066510961302E-2</v>
      </c>
      <c r="I41" s="53">
        <f>('Income Statement'!H6-'Income Statement'!G6)/'Income Statement'!G6</f>
        <v>0.19778011061040557</v>
      </c>
      <c r="J41" s="53">
        <f>('Income Statement'!I6-'Income Statement'!H6)/'Income Statement'!H6</f>
        <v>0.13300413633885913</v>
      </c>
      <c r="K41" s="53">
        <f>('Income Statement'!J6-'Income Statement'!I6)/'Income Statement'!I6</f>
        <v>2.9385406348757134E-2</v>
      </c>
      <c r="L41" s="53">
        <f>('Income Statement'!K6-'Income Statement'!J6)/'Income Statement'!J6</f>
        <v>-1.56524926686217E-2</v>
      </c>
    </row>
    <row r="42" spans="1:12" x14ac:dyDescent="0.3">
      <c r="A42" s="41" t="s">
        <v>141</v>
      </c>
      <c r="B42" s="33"/>
      <c r="C42" s="49"/>
      <c r="D42" s="53">
        <f>('Income Statement'!C37-'Income Statement'!B37)/'Income Statement'!B37</f>
        <v>-3.0556234718826407</v>
      </c>
      <c r="E42" s="53">
        <f>('Income Statement'!D37-'Income Statement'!C37)/'Income Statement'!C37</f>
        <v>-0.18614332441272674</v>
      </c>
      <c r="F42" s="53">
        <f>('Income Statement'!E37-'Income Statement'!D37)/'Income Statement'!D37</f>
        <v>6.4669345999269268E-2</v>
      </c>
      <c r="G42" s="53">
        <f>('Income Statement'!F37-'Income Statement'!E37)/'Income Statement'!E37</f>
        <v>7.8929306794783809E-3</v>
      </c>
      <c r="H42" s="53">
        <f>('Income Statement'!G37-'Income Statement'!F37)/'Income Statement'!F37</f>
        <v>0.11712631937351038</v>
      </c>
      <c r="I42" s="53">
        <f>('Income Statement'!H37-'Income Statement'!G37)/'Income Statement'!G37</f>
        <v>0.33130143249009447</v>
      </c>
      <c r="J42" s="53">
        <f>('Income Statement'!I37-'Income Statement'!H37)/'Income Statement'!H37</f>
        <v>0.59020146520146521</v>
      </c>
      <c r="K42" s="53">
        <f>('Income Statement'!J37-'Income Statement'!I37)/'Income Statement'!I37</f>
        <v>-0.59976965159804208</v>
      </c>
      <c r="L42" s="53">
        <f>('Income Statement'!K37-'Income Statement'!J37)/'Income Statement'!J37</f>
        <v>0.48848920863309353</v>
      </c>
    </row>
    <row r="43" spans="1:12" x14ac:dyDescent="0.3">
      <c r="A43" s="42" t="s">
        <v>142</v>
      </c>
      <c r="B43" s="36"/>
      <c r="C43" s="50">
        <v>4.1900000000000004</v>
      </c>
      <c r="D43" s="50">
        <v>7.14</v>
      </c>
      <c r="E43" s="50">
        <v>6.69</v>
      </c>
      <c r="F43" s="50">
        <v>8</v>
      </c>
      <c r="G43" s="50">
        <v>4.6100000000000003</v>
      </c>
      <c r="H43" s="50">
        <v>7.93</v>
      </c>
      <c r="I43" s="50">
        <v>15.58</v>
      </c>
      <c r="J43" s="50">
        <v>10.31</v>
      </c>
      <c r="K43" s="50">
        <v>-3.25</v>
      </c>
      <c r="L43" s="50">
        <v>8.24</v>
      </c>
    </row>
    <row r="44" spans="1:12" x14ac:dyDescent="0.3">
      <c r="A44" s="41" t="s">
        <v>144</v>
      </c>
      <c r="B44" s="41" t="s">
        <v>101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</row>
    <row r="45" spans="1:12" x14ac:dyDescent="0.3">
      <c r="A45" s="41"/>
      <c r="B45" s="41" t="s">
        <v>99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</row>
    <row r="46" spans="1:12" x14ac:dyDescent="0.3">
      <c r="A46" s="40"/>
      <c r="B46" s="40" t="s">
        <v>97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38DF-AD20-4805-BEA0-44AB091F6C98}">
  <dimension ref="A1:X65"/>
  <sheetViews>
    <sheetView topLeftCell="A46" zoomScale="90" zoomScaleNormal="100" workbookViewId="0">
      <selection activeCell="Q52" sqref="Q52"/>
    </sheetView>
  </sheetViews>
  <sheetFormatPr defaultRowHeight="14.4" x14ac:dyDescent="0.3"/>
  <cols>
    <col min="1" max="1" width="35.109375" style="54" customWidth="1"/>
    <col min="2" max="4" width="12" style="54" customWidth="1"/>
    <col min="5" max="5" width="17.109375" style="54" customWidth="1"/>
    <col min="6" max="8" width="12" style="54" customWidth="1"/>
    <col min="9" max="9" width="14.44140625" style="54" customWidth="1"/>
    <col min="10" max="16" width="12" style="54" customWidth="1"/>
    <col min="17" max="16384" width="8.88671875" style="54"/>
  </cols>
  <sheetData>
    <row r="1" spans="1:16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21" x14ac:dyDescent="0.3">
      <c r="A2" s="11" t="s">
        <v>160</v>
      </c>
      <c r="B2" s="11"/>
      <c r="C2" s="11"/>
      <c r="D2" s="11"/>
      <c r="E2" s="11"/>
      <c r="F2" s="11"/>
      <c r="G2" s="11"/>
      <c r="H2" s="11"/>
      <c r="I2" s="11"/>
      <c r="J2" s="11"/>
      <c r="K2" s="99"/>
      <c r="L2" s="11"/>
      <c r="M2" s="11"/>
      <c r="N2" s="11"/>
      <c r="O2" s="11"/>
      <c r="P2" s="11"/>
    </row>
    <row r="3" spans="1:16" x14ac:dyDescent="0.3">
      <c r="A3" s="54" t="s">
        <v>281</v>
      </c>
      <c r="B3" s="157" t="s">
        <v>292</v>
      </c>
      <c r="K3" s="160"/>
    </row>
    <row r="4" spans="1:16" x14ac:dyDescent="0.3">
      <c r="A4" s="54" t="s">
        <v>268</v>
      </c>
      <c r="B4" s="158">
        <v>45752</v>
      </c>
      <c r="K4" s="161"/>
    </row>
    <row r="5" spans="1:16" x14ac:dyDescent="0.3">
      <c r="A5" s="54" t="s">
        <v>328</v>
      </c>
      <c r="B5" s="158">
        <v>45688</v>
      </c>
      <c r="K5" s="161"/>
    </row>
    <row r="7" spans="1:16" x14ac:dyDescent="0.3">
      <c r="A7" s="74" t="s">
        <v>329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</row>
    <row r="9" spans="1:16" x14ac:dyDescent="0.3">
      <c r="A9" s="54" t="s">
        <v>248</v>
      </c>
      <c r="B9" s="164">
        <f>WACC!F22</f>
        <v>8.4725599823605252E-2</v>
      </c>
      <c r="K9" s="162"/>
    </row>
    <row r="10" spans="1:16" x14ac:dyDescent="0.3">
      <c r="A10" s="54" t="s">
        <v>249</v>
      </c>
      <c r="B10" s="159">
        <v>2.5000000000000001E-2</v>
      </c>
      <c r="K10" s="163"/>
    </row>
    <row r="11" spans="1:16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3">
      <c r="A12" s="9" t="s">
        <v>4</v>
      </c>
      <c r="B12" s="22" t="s">
        <v>5</v>
      </c>
      <c r="C12" s="22" t="s">
        <v>6</v>
      </c>
      <c r="D12" s="22" t="s">
        <v>7</v>
      </c>
      <c r="E12" s="22" t="s">
        <v>8</v>
      </c>
      <c r="F12" s="22" t="s">
        <v>9</v>
      </c>
      <c r="G12" s="22" t="s">
        <v>10</v>
      </c>
      <c r="H12" s="22" t="s">
        <v>11</v>
      </c>
      <c r="I12" s="22" t="s">
        <v>12</v>
      </c>
      <c r="J12" s="22" t="s">
        <v>13</v>
      </c>
      <c r="K12" s="22" t="s">
        <v>14</v>
      </c>
      <c r="L12" s="22" t="s">
        <v>86</v>
      </c>
      <c r="M12" s="22" t="s">
        <v>87</v>
      </c>
      <c r="N12" s="22" t="s">
        <v>88</v>
      </c>
      <c r="O12" s="22" t="s">
        <v>89</v>
      </c>
      <c r="P12" s="22" t="s">
        <v>90</v>
      </c>
    </row>
    <row r="13" spans="1:16" x14ac:dyDescent="0.3">
      <c r="A13" s="8" t="s">
        <v>15</v>
      </c>
      <c r="B13" s="21" t="s">
        <v>16</v>
      </c>
      <c r="C13" s="21" t="s">
        <v>17</v>
      </c>
      <c r="D13" s="21" t="s">
        <v>18</v>
      </c>
      <c r="E13" s="21" t="s">
        <v>19</v>
      </c>
      <c r="F13" s="21" t="s">
        <v>20</v>
      </c>
      <c r="G13" s="21" t="s">
        <v>21</v>
      </c>
      <c r="H13" s="21" t="s">
        <v>22</v>
      </c>
      <c r="I13" s="21" t="s">
        <v>23</v>
      </c>
      <c r="J13" s="21" t="s">
        <v>24</v>
      </c>
      <c r="K13" s="21" t="s">
        <v>25</v>
      </c>
      <c r="L13" s="21" t="s">
        <v>91</v>
      </c>
      <c r="M13" s="21" t="s">
        <v>92</v>
      </c>
      <c r="N13" s="21" t="s">
        <v>93</v>
      </c>
      <c r="O13" s="21" t="s">
        <v>94</v>
      </c>
      <c r="P13" s="21" t="s">
        <v>95</v>
      </c>
    </row>
    <row r="15" spans="1:16" x14ac:dyDescent="0.3">
      <c r="A15" s="54" t="s">
        <v>0</v>
      </c>
      <c r="B15" s="57">
        <f>'Income Statement'!B6</f>
        <v>72618</v>
      </c>
      <c r="C15" s="57">
        <f>'Income Statement'!C6</f>
        <v>73785</v>
      </c>
      <c r="D15" s="57">
        <f>'Income Statement'!D6</f>
        <v>69495</v>
      </c>
      <c r="E15" s="57">
        <f>'Income Statement'!E6</f>
        <v>72714</v>
      </c>
      <c r="F15" s="57">
        <f>'Income Statement'!F6</f>
        <v>75356</v>
      </c>
      <c r="G15" s="57">
        <f>'Income Statement'!G6</f>
        <v>78112</v>
      </c>
      <c r="H15" s="57">
        <f>'Income Statement'!H6</f>
        <v>93561</v>
      </c>
      <c r="I15" s="57">
        <f>'Income Statement'!I6</f>
        <v>106005</v>
      </c>
      <c r="J15" s="57">
        <f>'Income Statement'!J6</f>
        <v>109120</v>
      </c>
      <c r="K15" s="57">
        <f>'Income Statement'!K6</f>
        <v>107412</v>
      </c>
      <c r="L15" s="57">
        <f>'Income Statement'!L6</f>
        <v>105668.75</v>
      </c>
      <c r="M15" s="57">
        <f>'Income Statement'!M6</f>
        <v>108349.935</v>
      </c>
      <c r="N15" s="57">
        <f>'Income Statement'!N6</f>
        <v>111988.375</v>
      </c>
      <c r="O15" s="57">
        <f>'Income Statement'!O6</f>
        <v>115455.5</v>
      </c>
      <c r="P15" s="57">
        <f>'Income Statement'!P6</f>
        <v>121359</v>
      </c>
    </row>
    <row r="16" spans="1:16" x14ac:dyDescent="0.3">
      <c r="A16" s="56" t="s">
        <v>145</v>
      </c>
      <c r="B16" s="75"/>
      <c r="C16" s="75">
        <f>C15/B15-1</f>
        <v>1.6070395769643975E-2</v>
      </c>
      <c r="D16" s="75">
        <f t="shared" ref="D16:P16" si="0">D15/C15-1</f>
        <v>-5.8141898759910604E-2</v>
      </c>
      <c r="E16" s="75">
        <f t="shared" si="0"/>
        <v>4.6319879127994845E-2</v>
      </c>
      <c r="F16" s="75">
        <f t="shared" si="0"/>
        <v>3.6334130978903589E-2</v>
      </c>
      <c r="G16" s="75">
        <f t="shared" si="0"/>
        <v>3.6573066510961372E-2</v>
      </c>
      <c r="H16" s="75">
        <f t="shared" si="0"/>
        <v>0.19778011061040557</v>
      </c>
      <c r="I16" s="75">
        <f t="shared" si="0"/>
        <v>0.13300413633885921</v>
      </c>
      <c r="J16" s="75">
        <f t="shared" si="0"/>
        <v>2.9385406348757082E-2</v>
      </c>
      <c r="K16" s="75">
        <f t="shared" si="0"/>
        <v>-1.5652492668621676E-2</v>
      </c>
      <c r="L16" s="75">
        <f>L15/K15-1</f>
        <v>-1.6229564666890073E-2</v>
      </c>
      <c r="M16" s="75">
        <f t="shared" si="0"/>
        <v>2.5373490270302224E-2</v>
      </c>
      <c r="N16" s="75">
        <f t="shared" si="0"/>
        <v>3.3580453924591636E-2</v>
      </c>
      <c r="O16" s="75">
        <f t="shared" si="0"/>
        <v>3.0959686663905917E-2</v>
      </c>
      <c r="P16" s="75">
        <f t="shared" si="0"/>
        <v>5.1132254418368994E-2</v>
      </c>
    </row>
    <row r="18" spans="1:16" x14ac:dyDescent="0.3">
      <c r="A18" s="54" t="s">
        <v>75</v>
      </c>
      <c r="B18" s="57">
        <f>'Income Statement'!B18</f>
        <v>4535</v>
      </c>
      <c r="C18" s="57">
        <f>'Income Statement'!C18</f>
        <v>5530</v>
      </c>
      <c r="D18" s="57">
        <f>'Income Statement'!D18</f>
        <v>4969</v>
      </c>
      <c r="E18" s="57">
        <f>'Income Statement'!E18</f>
        <v>4224</v>
      </c>
      <c r="F18" s="57">
        <f>'Income Statement'!F18</f>
        <v>4110</v>
      </c>
      <c r="G18" s="57">
        <f>'Income Statement'!G18</f>
        <v>4658</v>
      </c>
      <c r="H18" s="57">
        <f>'Income Statement'!H18</f>
        <v>6539</v>
      </c>
      <c r="I18" s="57">
        <f>'Income Statement'!I18</f>
        <v>8946</v>
      </c>
      <c r="J18" s="57">
        <f>'Income Statement'!J18</f>
        <v>3848</v>
      </c>
      <c r="K18" s="57">
        <f>'Income Statement'!K18</f>
        <v>5707</v>
      </c>
      <c r="L18" s="57">
        <f>'Income Statement'!L18</f>
        <v>5518.6760000000004</v>
      </c>
      <c r="M18" s="57">
        <f>'Income Statement'!M18</f>
        <v>5778.9709999999995</v>
      </c>
      <c r="N18" s="57">
        <f>'Income Statement'!N18</f>
        <v>6219.8890000000001</v>
      </c>
      <c r="O18" s="57">
        <f>'Income Statement'!O18</f>
        <v>6452.857</v>
      </c>
      <c r="P18" s="57">
        <f>'Income Statement'!P18</f>
        <v>6984</v>
      </c>
    </row>
    <row r="19" spans="1:16" x14ac:dyDescent="0.3">
      <c r="A19" s="56" t="s">
        <v>146</v>
      </c>
      <c r="B19" s="75">
        <f t="shared" ref="B19:P19" si="1">B18/B15</f>
        <v>6.2450081247073727E-2</v>
      </c>
      <c r="C19" s="75">
        <f t="shared" si="1"/>
        <v>7.4947482550653921E-2</v>
      </c>
      <c r="D19" s="75">
        <f t="shared" si="1"/>
        <v>7.1501546873875818E-2</v>
      </c>
      <c r="E19" s="75">
        <f t="shared" si="1"/>
        <v>5.8090601534780101E-2</v>
      </c>
      <c r="F19" s="75">
        <f t="shared" si="1"/>
        <v>5.4541111523966242E-2</v>
      </c>
      <c r="G19" s="75">
        <f t="shared" si="1"/>
        <v>5.9632322818516999E-2</v>
      </c>
      <c r="H19" s="75">
        <f t="shared" si="1"/>
        <v>6.989023204112825E-2</v>
      </c>
      <c r="I19" s="75">
        <f t="shared" si="1"/>
        <v>8.4392245648790151E-2</v>
      </c>
      <c r="J19" s="75">
        <f t="shared" si="1"/>
        <v>3.5263929618768328E-2</v>
      </c>
      <c r="K19" s="75">
        <f t="shared" si="1"/>
        <v>5.3131866085725989E-2</v>
      </c>
      <c r="L19" s="75">
        <f t="shared" si="1"/>
        <v>5.2226187969480101E-2</v>
      </c>
      <c r="M19" s="75">
        <f t="shared" si="1"/>
        <v>5.3336174128761585E-2</v>
      </c>
      <c r="N19" s="75">
        <f t="shared" si="1"/>
        <v>5.5540488019403804E-2</v>
      </c>
      <c r="O19" s="75">
        <f t="shared" si="1"/>
        <v>5.5890425315381249E-2</v>
      </c>
      <c r="P19" s="75">
        <f t="shared" si="1"/>
        <v>5.7548265888809236E-2</v>
      </c>
    </row>
    <row r="21" spans="1:16" x14ac:dyDescent="0.3">
      <c r="A21" s="54" t="s">
        <v>147</v>
      </c>
      <c r="B21" s="57">
        <f>'Income Statement'!B27</f>
        <v>1204</v>
      </c>
      <c r="C21" s="57">
        <f>'Income Statement'!C27</f>
        <v>1602</v>
      </c>
      <c r="D21" s="57">
        <f>'Income Statement'!D27</f>
        <v>1296</v>
      </c>
      <c r="E21" s="57">
        <f>'Income Statement'!E27</f>
        <v>722</v>
      </c>
      <c r="F21" s="57">
        <f>'Income Statement'!F27</f>
        <v>746</v>
      </c>
      <c r="G21" s="57">
        <f>'Income Statement'!G27</f>
        <v>921</v>
      </c>
      <c r="H21" s="57">
        <f>'Income Statement'!H27</f>
        <v>1178</v>
      </c>
      <c r="I21" s="57">
        <f>'Income Statement'!I27</f>
        <v>1961</v>
      </c>
      <c r="J21" s="57">
        <f>'Income Statement'!J27</f>
        <v>638</v>
      </c>
      <c r="K21" s="57">
        <f>'Income Statement'!K27</f>
        <v>1159</v>
      </c>
      <c r="L21" s="57">
        <f>L22*'Income Statement'!L26</f>
        <v>1097.6356000938672</v>
      </c>
      <c r="M21" s="57">
        <f>M22*'Income Statement'!M26</f>
        <v>1135.8425674782252</v>
      </c>
      <c r="N21" s="57">
        <f>N22*'Income Statement'!N26</f>
        <v>1228.3727990954885</v>
      </c>
      <c r="O21" s="57">
        <f>O22*'Income Statement'!O26</f>
        <v>1254.4549662040204</v>
      </c>
      <c r="P21" s="57">
        <f>P22*'Income Statement'!P26</f>
        <v>1384.8026234412093</v>
      </c>
    </row>
    <row r="22" spans="1:16" x14ac:dyDescent="0.3">
      <c r="A22" s="56" t="s">
        <v>148</v>
      </c>
      <c r="B22" s="75">
        <f>B21/'Income Statement'!B26</f>
        <v>0.32959211606898442</v>
      </c>
      <c r="C22" s="75">
        <f>C21/'Income Statement'!C26</f>
        <v>0.32541133455210236</v>
      </c>
      <c r="D22" s="75">
        <f>D21/'Income Statement'!D26</f>
        <v>0.32686002522068097</v>
      </c>
      <c r="E22" s="75">
        <f>E21/'Income Statement'!E26</f>
        <v>0.19889807162534434</v>
      </c>
      <c r="F22" s="75">
        <f>F21/'Income Statement'!F26</f>
        <v>0.2029379760609358</v>
      </c>
      <c r="G22" s="75">
        <f>G21/'Income Statement'!G26</f>
        <v>0.2198090692124105</v>
      </c>
      <c r="H22" s="75">
        <f>H21/'Income Statement'!H26</f>
        <v>0.2124053371799495</v>
      </c>
      <c r="I22" s="75">
        <f>I21/'Income Statement'!I26</f>
        <v>0.22016391602110699</v>
      </c>
      <c r="J22" s="75">
        <f>J21/'Income Statement'!J26</f>
        <v>0.18665886483323582</v>
      </c>
      <c r="K22" s="75">
        <f>K21/'Income Statement'!K26</f>
        <v>0.21880309609212761</v>
      </c>
      <c r="L22" s="75">
        <f>AVERAGE(G22:K22)</f>
        <v>0.21156805666776607</v>
      </c>
      <c r="M22" s="75">
        <f>AVERAGE(I22:L22)</f>
        <v>0.20929848340355911</v>
      </c>
      <c r="N22" s="75">
        <f t="shared" ref="N22:P22" si="2">AVERAGE(I22:M22)</f>
        <v>0.20929848340355911</v>
      </c>
      <c r="O22" s="75">
        <f t="shared" si="2"/>
        <v>0.20712539688004958</v>
      </c>
      <c r="P22" s="75">
        <f t="shared" si="2"/>
        <v>0.21121870328941231</v>
      </c>
    </row>
    <row r="24" spans="1:16" x14ac:dyDescent="0.3">
      <c r="A24" s="60" t="s">
        <v>149</v>
      </c>
      <c r="B24" s="171">
        <f t="shared" ref="B24:P24" si="3">B18-B21</f>
        <v>3331</v>
      </c>
      <c r="C24" s="171">
        <f t="shared" si="3"/>
        <v>3928</v>
      </c>
      <c r="D24" s="171">
        <f t="shared" si="3"/>
        <v>3673</v>
      </c>
      <c r="E24" s="171">
        <f t="shared" si="3"/>
        <v>3502</v>
      </c>
      <c r="F24" s="171">
        <f t="shared" si="3"/>
        <v>3364</v>
      </c>
      <c r="G24" s="171">
        <f t="shared" si="3"/>
        <v>3737</v>
      </c>
      <c r="H24" s="171">
        <f t="shared" si="3"/>
        <v>5361</v>
      </c>
      <c r="I24" s="171">
        <f t="shared" si="3"/>
        <v>6985</v>
      </c>
      <c r="J24" s="171">
        <f t="shared" si="3"/>
        <v>3210</v>
      </c>
      <c r="K24" s="171">
        <f t="shared" si="3"/>
        <v>4548</v>
      </c>
      <c r="L24" s="59">
        <f t="shared" si="3"/>
        <v>4421.0403999061327</v>
      </c>
      <c r="M24" s="59">
        <f t="shared" si="3"/>
        <v>4643.1284325217748</v>
      </c>
      <c r="N24" s="59">
        <f t="shared" si="3"/>
        <v>4991.5162009045116</v>
      </c>
      <c r="O24" s="59">
        <f t="shared" si="3"/>
        <v>5198.4020337959792</v>
      </c>
      <c r="P24" s="66">
        <f t="shared" si="3"/>
        <v>5599.1973765587909</v>
      </c>
    </row>
    <row r="26" spans="1:16" x14ac:dyDescent="0.3">
      <c r="A26" s="54" t="s">
        <v>150</v>
      </c>
      <c r="B26" s="57">
        <f>'Income Statement'!B16</f>
        <v>2129</v>
      </c>
      <c r="C26" s="57">
        <f>'Income Statement'!C16</f>
        <v>1969</v>
      </c>
      <c r="D26" s="57">
        <f>'Income Statement'!D16</f>
        <v>2025</v>
      </c>
      <c r="E26" s="57">
        <f>'Income Statement'!E16</f>
        <v>2225</v>
      </c>
      <c r="F26" s="57">
        <f>'Income Statement'!F16</f>
        <v>2224</v>
      </c>
      <c r="G26" s="57">
        <f>'Income Statement'!G16</f>
        <v>2357</v>
      </c>
      <c r="H26" s="57">
        <f>'Income Statement'!H16</f>
        <v>2230</v>
      </c>
      <c r="I26" s="57">
        <f>'Income Statement'!I16</f>
        <v>2344</v>
      </c>
      <c r="J26" s="57">
        <f>'Income Statement'!J16</f>
        <v>2385</v>
      </c>
      <c r="K26" s="57">
        <f>'Income Statement'!K16</f>
        <v>2415</v>
      </c>
      <c r="L26" s="69">
        <f>L15*$K$27</f>
        <v>2375.8056013294604</v>
      </c>
      <c r="M26" s="69">
        <f>M15*$K$27</f>
        <v>2436.0880816389231</v>
      </c>
      <c r="N26" s="69">
        <f>N15*$K$27</f>
        <v>2517.893025220646</v>
      </c>
      <c r="O26" s="69">
        <f>O15*$K$27</f>
        <v>2595.8462043347113</v>
      </c>
      <c r="P26" s="69">
        <f>P15*$K$27</f>
        <v>2728.5776728857113</v>
      </c>
    </row>
    <row r="27" spans="1:16" x14ac:dyDescent="0.3">
      <c r="A27" s="56" t="s">
        <v>146</v>
      </c>
      <c r="B27" s="75">
        <f t="shared" ref="B27:P27" si="4">B26/B15</f>
        <v>2.9317799994491724E-2</v>
      </c>
      <c r="C27" s="75">
        <f t="shared" si="4"/>
        <v>2.6685640712882021E-2</v>
      </c>
      <c r="D27" s="75">
        <f t="shared" si="4"/>
        <v>2.9138786963090871E-2</v>
      </c>
      <c r="E27" s="75">
        <f t="shared" si="4"/>
        <v>3.0599334378524079E-2</v>
      </c>
      <c r="F27" s="75">
        <f t="shared" si="4"/>
        <v>2.9513243802749615E-2</v>
      </c>
      <c r="G27" s="75">
        <f t="shared" si="4"/>
        <v>3.0174621056943875E-2</v>
      </c>
      <c r="H27" s="75">
        <f t="shared" si="4"/>
        <v>2.38347174570601E-2</v>
      </c>
      <c r="I27" s="75">
        <f t="shared" si="4"/>
        <v>2.2112164520541485E-2</v>
      </c>
      <c r="J27" s="75">
        <f t="shared" si="4"/>
        <v>2.1856671554252201E-2</v>
      </c>
      <c r="K27" s="75">
        <f t="shared" si="4"/>
        <v>2.2483521394257626E-2</v>
      </c>
      <c r="L27" s="75">
        <f t="shared" si="4"/>
        <v>2.2483521394257626E-2</v>
      </c>
      <c r="M27" s="75">
        <f t="shared" si="4"/>
        <v>2.2483521394257626E-2</v>
      </c>
      <c r="N27" s="75">
        <f t="shared" si="4"/>
        <v>2.2483521394257626E-2</v>
      </c>
      <c r="O27" s="75">
        <f t="shared" si="4"/>
        <v>2.2483521394257626E-2</v>
      </c>
      <c r="P27" s="75">
        <f t="shared" si="4"/>
        <v>2.2483521394257626E-2</v>
      </c>
    </row>
    <row r="29" spans="1:16" x14ac:dyDescent="0.3">
      <c r="A29" s="54" t="s">
        <v>240</v>
      </c>
      <c r="B29" s="78">
        <v>25952</v>
      </c>
      <c r="C29" s="78">
        <v>25217</v>
      </c>
      <c r="D29" s="78">
        <v>24658</v>
      </c>
      <c r="E29" s="78">
        <v>24536</v>
      </c>
      <c r="F29" s="78">
        <v>25533</v>
      </c>
      <c r="G29" s="78">
        <v>26283</v>
      </c>
      <c r="H29" s="78">
        <v>26879</v>
      </c>
      <c r="I29" s="78">
        <v>28181</v>
      </c>
      <c r="J29" s="78">
        <v>31512</v>
      </c>
      <c r="K29" s="78">
        <v>33096</v>
      </c>
      <c r="L29" s="78">
        <v>33022</v>
      </c>
    </row>
    <row r="30" spans="1:16" x14ac:dyDescent="0.3">
      <c r="A30" s="54" t="s">
        <v>151</v>
      </c>
      <c r="B30" s="78"/>
      <c r="C30" s="77">
        <f>(C29-B29) + ('Income Statement'!B60 -'Income Statement'!B61)</f>
        <v>-714</v>
      </c>
      <c r="D30" s="77">
        <f>(D29-C29) + ('Income Statement'!C60 -'Income Statement'!C61)</f>
        <v>-537</v>
      </c>
      <c r="E30" s="77">
        <f>(E29-D29) + ('Income Statement'!D60 -'Income Statement'!D61)</f>
        <v>-104</v>
      </c>
      <c r="F30" s="77">
        <f>(F29-E29) + ('Income Statement'!E60 -'Income Statement'!E61)</f>
        <v>1223</v>
      </c>
      <c r="G30" s="77">
        <f>(G29-F29) + ('Income Statement'!F60 -'Income Statement'!F61)</f>
        <v>1004</v>
      </c>
      <c r="H30" s="77">
        <f>(H29-G29) + ('Income Statement'!G60 -'Income Statement'!G61)</f>
        <v>883</v>
      </c>
      <c r="I30" s="77">
        <f>(I29-H29) + ('Income Statement'!H60 -'Income Statement'!H61)</f>
        <v>1941</v>
      </c>
      <c r="J30" s="77">
        <f>(J29-I29) + ('Income Statement'!I60 -'Income Statement'!I61)</f>
        <v>3821</v>
      </c>
      <c r="K30" s="77">
        <f>(K29-J29) + ('Income Statement'!J60 -'Income Statement'!J61)</f>
        <v>2032</v>
      </c>
      <c r="L30" s="77">
        <f>(L29-K29) + ('Income Statement'!K60 -'Income Statement'!K61)</f>
        <v>457</v>
      </c>
      <c r="M30" s="69">
        <f>M15*L31</f>
        <v>468.59568505352814</v>
      </c>
      <c r="N30" s="69">
        <f>N15*M31</f>
        <v>484.33134086473058</v>
      </c>
      <c r="O30" s="69">
        <f>O15*N31</f>
        <v>499.32608741941209</v>
      </c>
      <c r="P30" s="69">
        <f>P15*O31</f>
        <v>524.85775595907023</v>
      </c>
    </row>
    <row r="31" spans="1:16" x14ac:dyDescent="0.3">
      <c r="A31" s="56" t="s">
        <v>146</v>
      </c>
      <c r="B31" s="75"/>
      <c r="C31" s="75">
        <f t="shared" ref="C31:P31" si="5">C30/C15</f>
        <v>-9.6767635698312669E-3</v>
      </c>
      <c r="D31" s="75">
        <f t="shared" si="5"/>
        <v>-7.7271746168789124E-3</v>
      </c>
      <c r="E31" s="75">
        <f t="shared" si="5"/>
        <v>-1.4302610226366312E-3</v>
      </c>
      <c r="F31" s="75">
        <f t="shared" si="5"/>
        <v>1.622963002282499E-2</v>
      </c>
      <c r="G31" s="75">
        <f t="shared" si="5"/>
        <v>1.2853338795575583E-2</v>
      </c>
      <c r="H31" s="75">
        <f t="shared" si="5"/>
        <v>9.4376930558672956E-3</v>
      </c>
      <c r="I31" s="75">
        <f t="shared" si="5"/>
        <v>1.831045705391255E-2</v>
      </c>
      <c r="J31" s="75">
        <f t="shared" si="5"/>
        <v>3.5016495601173023E-2</v>
      </c>
      <c r="K31" s="75">
        <f t="shared" si="5"/>
        <v>1.8917811790116562E-2</v>
      </c>
      <c r="L31" s="75">
        <f t="shared" si="5"/>
        <v>4.3248358668007336E-3</v>
      </c>
      <c r="M31" s="75">
        <f t="shared" si="5"/>
        <v>4.3248358668007336E-3</v>
      </c>
      <c r="N31" s="75">
        <f t="shared" si="5"/>
        <v>4.3248358668007336E-3</v>
      </c>
      <c r="O31" s="75">
        <f t="shared" si="5"/>
        <v>4.3248358668007336E-3</v>
      </c>
      <c r="P31" s="75">
        <f t="shared" si="5"/>
        <v>4.3248358668007336E-3</v>
      </c>
    </row>
    <row r="32" spans="1:16" x14ac:dyDescent="0.3">
      <c r="A32" s="56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</row>
    <row r="33" spans="1:24" x14ac:dyDescent="0.3">
      <c r="A33" s="54" t="s">
        <v>330</v>
      </c>
      <c r="K33" s="57">
        <f>'Balance Sheet'!K33-'Balance Sheet'!K67</f>
        <v>14666</v>
      </c>
      <c r="L33" s="78">
        <f>L15*K35</f>
        <v>14427.977204595389</v>
      </c>
      <c r="M33" s="78">
        <f t="shared" ref="M33:P33" si="6">M15*L35</f>
        <v>14794.065343816332</v>
      </c>
      <c r="N33" s="78">
        <f t="shared" si="6"/>
        <v>15290.856773451755</v>
      </c>
      <c r="O33" s="78">
        <f t="shared" si="6"/>
        <v>15764.256907980485</v>
      </c>
      <c r="P33" s="78">
        <f t="shared" si="6"/>
        <v>16570.318902915875</v>
      </c>
    </row>
    <row r="34" spans="1:24" x14ac:dyDescent="0.3">
      <c r="A34" s="54" t="s">
        <v>152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78">
        <f>L33-K33</f>
        <v>-238.02279540461132</v>
      </c>
      <c r="M34" s="78">
        <f t="shared" ref="M34:P34" si="7">M33-L33</f>
        <v>366.08813922094305</v>
      </c>
      <c r="N34" s="78">
        <f t="shared" si="7"/>
        <v>496.7914296354229</v>
      </c>
      <c r="O34" s="78">
        <f t="shared" si="7"/>
        <v>473.40013452873063</v>
      </c>
      <c r="P34" s="78">
        <f t="shared" si="7"/>
        <v>806.06199493538952</v>
      </c>
    </row>
    <row r="35" spans="1:24" x14ac:dyDescent="0.3">
      <c r="A35" s="56" t="s">
        <v>146</v>
      </c>
      <c r="B35" s="75"/>
      <c r="C35" s="75"/>
      <c r="D35" s="75"/>
      <c r="E35" s="75"/>
      <c r="F35" s="75"/>
      <c r="G35" s="75"/>
      <c r="H35" s="75"/>
      <c r="I35" s="75"/>
      <c r="J35" s="75"/>
      <c r="K35" s="75">
        <f>K33/K15</f>
        <v>0.13653967899303615</v>
      </c>
      <c r="L35" s="75">
        <f t="shared" ref="L35:P35" si="8">L33/L15</f>
        <v>0.13653967899303615</v>
      </c>
      <c r="M35" s="75">
        <f t="shared" si="8"/>
        <v>0.13653967899303615</v>
      </c>
      <c r="N35" s="75">
        <f t="shared" si="8"/>
        <v>0.13653967899303615</v>
      </c>
      <c r="O35" s="75">
        <f t="shared" si="8"/>
        <v>0.13653967899303615</v>
      </c>
      <c r="P35" s="75">
        <f t="shared" si="8"/>
        <v>0.13653967899303615</v>
      </c>
    </row>
    <row r="37" spans="1:24" x14ac:dyDescent="0.3">
      <c r="A37" s="62" t="s">
        <v>153</v>
      </c>
      <c r="B37" s="76"/>
      <c r="C37" s="76"/>
      <c r="D37" s="76"/>
      <c r="E37" s="76"/>
      <c r="F37" s="76"/>
      <c r="G37" s="76"/>
      <c r="H37" s="76"/>
      <c r="I37" s="76"/>
      <c r="J37" s="76"/>
      <c r="K37" s="76">
        <f>K24+K26-K30-K34</f>
        <v>4931</v>
      </c>
      <c r="L37" s="167">
        <f>L24+L26-L30-L34</f>
        <v>6577.8687966402049</v>
      </c>
      <c r="M37" s="167">
        <f>M24+M26-M30-M34</f>
        <v>6244.5326898862268</v>
      </c>
      <c r="N37" s="167">
        <f>N24+N26-N30-N34</f>
        <v>6528.2864556250033</v>
      </c>
      <c r="O37" s="167">
        <f>O24+O26-O30-O34</f>
        <v>6821.5220161825482</v>
      </c>
      <c r="P37" s="168">
        <f t="shared" ref="P37" si="9">P24+P26-P30-P34</f>
        <v>6996.8552985500428</v>
      </c>
    </row>
    <row r="38" spans="1:24" x14ac:dyDescent="0.3">
      <c r="A38" s="63" t="s">
        <v>154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169">
        <f>L37/(1+$B$9)^L41</f>
        <v>6626.3414028481084</v>
      </c>
      <c r="M38" s="169">
        <f>M37/(1+$B$9)^M41</f>
        <v>5841.9422036181895</v>
      </c>
      <c r="N38" s="169">
        <f t="shared" ref="N38:P38" si="10">N37/(1+$B$9)^N41</f>
        <v>5630.3659808509919</v>
      </c>
      <c r="O38" s="169">
        <f t="shared" si="10"/>
        <v>5423.7394480259809</v>
      </c>
      <c r="P38" s="170">
        <f t="shared" si="10"/>
        <v>5128.6201662561225</v>
      </c>
    </row>
    <row r="40" spans="1:24" x14ac:dyDescent="0.3">
      <c r="A40" s="54" t="s">
        <v>155</v>
      </c>
      <c r="L40" s="165">
        <f>-YEARFRAC(B4,B5)</f>
        <v>-0.18055555555555555</v>
      </c>
    </row>
    <row r="41" spans="1:24" x14ac:dyDescent="0.3">
      <c r="A41" s="54" t="s">
        <v>156</v>
      </c>
      <c r="L41" s="165">
        <f>L40/2</f>
        <v>-9.0277777777777776E-2</v>
      </c>
      <c r="M41" s="166">
        <f>L40+1</f>
        <v>0.81944444444444442</v>
      </c>
      <c r="N41" s="166">
        <f>M41+1</f>
        <v>1.8194444444444444</v>
      </c>
      <c r="O41" s="166">
        <f>N41+1</f>
        <v>2.8194444444444446</v>
      </c>
      <c r="P41" s="166">
        <f>O41+1</f>
        <v>3.8194444444444446</v>
      </c>
      <c r="R41" s="179" t="s">
        <v>247</v>
      </c>
      <c r="S41" s="180"/>
      <c r="T41" s="180"/>
      <c r="U41" s="180"/>
      <c r="V41" s="180"/>
      <c r="W41" s="180"/>
      <c r="X41" s="181"/>
    </row>
    <row r="42" spans="1:24" x14ac:dyDescent="0.3">
      <c r="R42" s="173"/>
      <c r="S42" s="174"/>
      <c r="T42" s="182"/>
      <c r="U42" s="182"/>
      <c r="V42" s="182"/>
      <c r="W42" s="182"/>
      <c r="X42" s="183"/>
    </row>
    <row r="43" spans="1:24" x14ac:dyDescent="0.3">
      <c r="A43" s="54" t="s">
        <v>157</v>
      </c>
      <c r="P43" s="77">
        <f>B61</f>
        <v>113926.79556292188</v>
      </c>
      <c r="R43" s="81"/>
      <c r="S43" s="80"/>
      <c r="T43" s="80" t="s">
        <v>248</v>
      </c>
      <c r="U43" s="80"/>
      <c r="V43" s="80"/>
      <c r="W43" s="80"/>
      <c r="X43" s="84"/>
    </row>
    <row r="44" spans="1:24" x14ac:dyDescent="0.3">
      <c r="A44" s="54" t="s">
        <v>158</v>
      </c>
      <c r="P44" s="77">
        <f>B62</f>
        <v>83507.12373914913</v>
      </c>
      <c r="R44" s="83"/>
      <c r="S44" s="184">
        <f>P52</f>
        <v>107.67973920121401</v>
      </c>
      <c r="T44" s="185">
        <f>U44+0.25%</f>
        <v>8.9700000000000002E-2</v>
      </c>
      <c r="U44" s="185">
        <f>V44+0.25%</f>
        <v>8.72E-2</v>
      </c>
      <c r="V44" s="185">
        <v>8.4699999999999998E-2</v>
      </c>
      <c r="W44" s="185">
        <f>V44-0.25%</f>
        <v>8.2199999999999995E-2</v>
      </c>
      <c r="X44" s="73">
        <f>W44-0.25%</f>
        <v>7.9699999999999993E-2</v>
      </c>
    </row>
    <row r="45" spans="1:24" x14ac:dyDescent="0.3">
      <c r="R45" s="83"/>
      <c r="S45" s="72">
        <f>S46-0.25%</f>
        <v>2.0000000000000004E-2</v>
      </c>
      <c r="T45" s="182">
        <f t="dataTable" ref="T45:X49" dt2D="1" dtr="1" r1="B9" r2="B10"/>
        <v>94.782270757841999</v>
      </c>
      <c r="U45" s="182">
        <v>98.000447998241071</v>
      </c>
      <c r="V45" s="182">
        <v>101.45761762921045</v>
      </c>
      <c r="W45" s="182">
        <v>105.1824272025351</v>
      </c>
      <c r="X45" s="183">
        <v>109.20831966459257</v>
      </c>
    </row>
    <row r="46" spans="1:24" x14ac:dyDescent="0.3">
      <c r="A46" s="64" t="s">
        <v>159</v>
      </c>
      <c r="P46" s="58">
        <f>SUM(L38:P38,P44)</f>
        <v>112158.13294074853</v>
      </c>
      <c r="R46" s="83"/>
      <c r="S46" s="72">
        <f>S47-0.25%</f>
        <v>2.2500000000000003E-2</v>
      </c>
      <c r="T46" s="182">
        <v>97.332005800951961</v>
      </c>
      <c r="U46" s="182">
        <v>100.76507131388928</v>
      </c>
      <c r="V46" s="182">
        <v>104.463927517537</v>
      </c>
      <c r="W46" s="182">
        <v>108.46178716376211</v>
      </c>
      <c r="X46" s="183">
        <v>112.79766608298603</v>
      </c>
    </row>
    <row r="47" spans="1:24" x14ac:dyDescent="0.3">
      <c r="A47" s="54" t="s">
        <v>241</v>
      </c>
      <c r="P47" s="54">
        <f>'Balance Sheet'!K7</f>
        <v>4762</v>
      </c>
      <c r="R47" s="79" t="s">
        <v>249</v>
      </c>
      <c r="S47" s="72">
        <v>2.5000000000000001E-2</v>
      </c>
      <c r="T47" s="182">
        <v>100.07878373765624</v>
      </c>
      <c r="U47" s="182">
        <v>103.75193123047386</v>
      </c>
      <c r="V47" s="182">
        <v>107.7220221536296</v>
      </c>
      <c r="W47" s="182">
        <v>112.02780446425722</v>
      </c>
      <c r="X47" s="183">
        <v>116.71510632390178</v>
      </c>
    </row>
    <row r="48" spans="1:24" x14ac:dyDescent="0.3">
      <c r="A48" s="54" t="s">
        <v>242</v>
      </c>
      <c r="P48" s="90">
        <f>WACC!F15</f>
        <v>17886</v>
      </c>
      <c r="R48" s="83"/>
      <c r="S48" s="72">
        <f>S47+0.25%</f>
        <v>2.75E-2</v>
      </c>
      <c r="T48" s="182">
        <v>103.04636375930458</v>
      </c>
      <c r="U48" s="182">
        <v>106.9889469189667</v>
      </c>
      <c r="V48" s="182">
        <v>111.26491527189815</v>
      </c>
      <c r="W48" s="182">
        <v>115.919783126772</v>
      </c>
      <c r="X48" s="183">
        <v>121.00778030436886</v>
      </c>
    </row>
    <row r="49" spans="1:24" x14ac:dyDescent="0.3">
      <c r="A49" s="54" t="s">
        <v>243</v>
      </c>
      <c r="P49" s="58">
        <f>P46+P47-P48</f>
        <v>99034.132940748532</v>
      </c>
      <c r="R49" s="71"/>
      <c r="S49" s="68">
        <f>S48+0.25%</f>
        <v>0.03</v>
      </c>
      <c r="T49" s="65">
        <v>106.26248482129198</v>
      </c>
      <c r="U49" s="65">
        <v>110.50891852428582</v>
      </c>
      <c r="V49" s="65">
        <v>115.13165602437769</v>
      </c>
      <c r="W49" s="65">
        <v>120.18455668033226</v>
      </c>
      <c r="X49" s="186">
        <v>125.73231283417866</v>
      </c>
    </row>
    <row r="51" spans="1:24" x14ac:dyDescent="0.3">
      <c r="A51" s="54" t="s">
        <v>244</v>
      </c>
      <c r="P51" s="172">
        <f>Shares!D14</f>
        <v>919.71</v>
      </c>
    </row>
    <row r="52" spans="1:24" x14ac:dyDescent="0.3">
      <c r="A52" s="54" t="s">
        <v>246</v>
      </c>
      <c r="P52" s="54">
        <f>P49/P51</f>
        <v>107.67973920121401</v>
      </c>
    </row>
    <row r="55" spans="1:24" x14ac:dyDescent="0.3">
      <c r="A55" s="179" t="s">
        <v>157</v>
      </c>
      <c r="B55" s="180"/>
      <c r="C55" s="180"/>
      <c r="D55" s="180"/>
      <c r="E55" s="180"/>
      <c r="F55" s="180"/>
      <c r="G55" s="180"/>
      <c r="H55" s="180"/>
      <c r="I55" s="180"/>
      <c r="J55" s="181"/>
    </row>
    <row r="56" spans="1:24" x14ac:dyDescent="0.3">
      <c r="A56" s="187"/>
      <c r="B56" s="188"/>
      <c r="C56" s="188"/>
      <c r="D56" s="188"/>
      <c r="E56" s="188"/>
      <c r="F56" s="188"/>
      <c r="G56" s="188"/>
      <c r="H56" s="188"/>
      <c r="I56" s="188"/>
      <c r="J56" s="189"/>
    </row>
    <row r="57" spans="1:24" x14ac:dyDescent="0.3">
      <c r="A57" s="190" t="s">
        <v>159</v>
      </c>
      <c r="B57" s="191"/>
      <c r="C57" s="188"/>
      <c r="D57" s="191" t="s">
        <v>331</v>
      </c>
      <c r="E57" s="191"/>
      <c r="F57" s="191"/>
      <c r="G57" s="188"/>
      <c r="H57" s="191" t="s">
        <v>332</v>
      </c>
      <c r="I57" s="191"/>
      <c r="J57" s="192"/>
    </row>
    <row r="58" spans="1:24" x14ac:dyDescent="0.3">
      <c r="A58" s="187" t="s">
        <v>333</v>
      </c>
      <c r="B58" s="175">
        <v>0.8</v>
      </c>
      <c r="C58" s="188"/>
      <c r="D58" s="188" t="s">
        <v>334</v>
      </c>
      <c r="E58" s="188"/>
      <c r="F58" s="193">
        <f>B10</f>
        <v>2.5000000000000001E-2</v>
      </c>
      <c r="G58" s="188"/>
      <c r="H58" s="188" t="s">
        <v>335</v>
      </c>
      <c r="I58" s="188"/>
      <c r="J58" s="194">
        <f>J18+J26</f>
        <v>6233</v>
      </c>
    </row>
    <row r="59" spans="1:24" x14ac:dyDescent="0.3">
      <c r="A59" s="187" t="s">
        <v>336</v>
      </c>
      <c r="B59" s="176">
        <f>1-B58</f>
        <v>0.19999999999999996</v>
      </c>
      <c r="C59" s="188"/>
      <c r="D59" s="188" t="s">
        <v>157</v>
      </c>
      <c r="E59" s="188"/>
      <c r="F59" s="195">
        <f>(P37*(1+F58))/(B9-F58)</f>
        <v>120078.77195365235</v>
      </c>
      <c r="G59" s="188"/>
      <c r="H59" s="188" t="s">
        <v>337</v>
      </c>
      <c r="I59" s="188"/>
      <c r="J59" s="196">
        <f>Comps!W18</f>
        <v>14.33</v>
      </c>
    </row>
    <row r="60" spans="1:24" x14ac:dyDescent="0.3">
      <c r="A60" s="187"/>
      <c r="B60" s="188"/>
      <c r="C60" s="188"/>
      <c r="D60" s="128" t="s">
        <v>158</v>
      </c>
      <c r="E60" s="128"/>
      <c r="F60" s="177">
        <f>F59/(1+B9)^P41</f>
        <v>88016.456694251145</v>
      </c>
      <c r="G60" s="188"/>
      <c r="H60" s="188" t="s">
        <v>157</v>
      </c>
      <c r="I60" s="188"/>
      <c r="J60" s="194">
        <f>J58*J59</f>
        <v>89318.89</v>
      </c>
    </row>
    <row r="61" spans="1:24" x14ac:dyDescent="0.3">
      <c r="A61" s="187" t="s">
        <v>338</v>
      </c>
      <c r="B61" s="195">
        <f>B58*F59+B59*J60</f>
        <v>113926.79556292188</v>
      </c>
      <c r="C61" s="188"/>
      <c r="D61" s="197" t="s">
        <v>339</v>
      </c>
      <c r="E61" s="197"/>
      <c r="F61" s="198">
        <f>P46</f>
        <v>112158.13294074853</v>
      </c>
      <c r="G61" s="188"/>
      <c r="H61" s="128" t="s">
        <v>158</v>
      </c>
      <c r="I61" s="128"/>
      <c r="J61" s="199">
        <f>J60/(1+B9)^P41</f>
        <v>65469.791918741081</v>
      </c>
    </row>
    <row r="62" spans="1:24" x14ac:dyDescent="0.3">
      <c r="A62" s="187" t="s">
        <v>158</v>
      </c>
      <c r="B62" s="195">
        <f>B58*F60+B59*J61</f>
        <v>83507.12373914913</v>
      </c>
      <c r="C62" s="188"/>
      <c r="D62" s="188"/>
      <c r="E62" s="188"/>
      <c r="F62" s="188"/>
      <c r="G62" s="188"/>
      <c r="H62" s="197" t="s">
        <v>339</v>
      </c>
      <c r="I62" s="197"/>
      <c r="J62" s="200">
        <f>SUM(L38:P38)+J61</f>
        <v>94120.801120340475</v>
      </c>
    </row>
    <row r="63" spans="1:24" x14ac:dyDescent="0.3">
      <c r="A63" s="187"/>
      <c r="B63" s="188"/>
      <c r="C63" s="188"/>
      <c r="D63" s="188"/>
      <c r="E63" s="188"/>
      <c r="F63" s="188"/>
      <c r="G63" s="188"/>
      <c r="H63" s="188"/>
      <c r="I63" s="188"/>
      <c r="J63" s="189"/>
    </row>
    <row r="64" spans="1:24" x14ac:dyDescent="0.3">
      <c r="A64" s="187"/>
      <c r="B64" s="188"/>
      <c r="C64" s="188"/>
      <c r="D64" s="188" t="s">
        <v>340</v>
      </c>
      <c r="E64" s="188"/>
      <c r="F64" s="201">
        <f>F60/F61</f>
        <v>0.78475322641781964</v>
      </c>
      <c r="G64" s="188"/>
      <c r="H64" s="188" t="s">
        <v>340</v>
      </c>
      <c r="I64" s="188"/>
      <c r="J64" s="202">
        <f>J61/J62</f>
        <v>0.695593228483394</v>
      </c>
    </row>
    <row r="65" spans="1:10" x14ac:dyDescent="0.3">
      <c r="A65" s="203"/>
      <c r="B65" s="128"/>
      <c r="C65" s="128"/>
      <c r="D65" s="128" t="s">
        <v>341</v>
      </c>
      <c r="E65" s="128"/>
      <c r="F65" s="204">
        <f>F61/(J18+J26)</f>
        <v>17.994245618602363</v>
      </c>
      <c r="G65" s="128"/>
      <c r="H65" s="128" t="s">
        <v>342</v>
      </c>
      <c r="I65" s="128"/>
      <c r="J65" s="205">
        <f>((B9-(P37/J60))/((1+(P37/J60))))</f>
        <v>5.9257313589740311E-3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E8A2-5093-455A-820A-CB9BEB3E8572}">
  <dimension ref="A1:P36"/>
  <sheetViews>
    <sheetView zoomScale="82" workbookViewId="0">
      <selection activeCell="I21" sqref="I21"/>
    </sheetView>
  </sheetViews>
  <sheetFormatPr defaultRowHeight="14.4" x14ac:dyDescent="0.3"/>
  <cols>
    <col min="4" max="4" width="15.21875" customWidth="1"/>
    <col min="5" max="5" width="13.6640625" customWidth="1"/>
  </cols>
  <sheetData>
    <row r="1" spans="1:16" x14ac:dyDescent="0.3">
      <c r="A1" s="13"/>
      <c r="B1" s="13"/>
      <c r="C1" s="13"/>
      <c r="D1" s="13"/>
      <c r="E1" s="13"/>
      <c r="F1" s="13"/>
      <c r="G1" s="13"/>
      <c r="H1" s="13"/>
      <c r="I1" s="13"/>
      <c r="J1" s="97"/>
      <c r="K1" s="97"/>
      <c r="L1" s="97"/>
      <c r="M1" s="97"/>
      <c r="N1" s="97"/>
      <c r="O1" s="97"/>
      <c r="P1" s="97"/>
    </row>
    <row r="2" spans="1:16" ht="21" x14ac:dyDescent="0.3">
      <c r="A2" s="99" t="s">
        <v>250</v>
      </c>
      <c r="B2" s="99"/>
      <c r="C2" s="99"/>
      <c r="D2" s="99"/>
      <c r="E2" s="99"/>
      <c r="F2" s="99"/>
      <c r="G2" s="99"/>
      <c r="H2" s="99"/>
      <c r="I2" s="99"/>
      <c r="J2" s="98"/>
      <c r="K2" s="98"/>
      <c r="L2" s="98"/>
      <c r="M2" s="98"/>
      <c r="N2" s="98"/>
      <c r="O2" s="98"/>
      <c r="P2" s="98"/>
    </row>
    <row r="3" spans="1:16" x14ac:dyDescent="0.3">
      <c r="A3" s="54"/>
      <c r="B3" s="54"/>
      <c r="C3" s="54"/>
      <c r="D3" s="54"/>
      <c r="E3" s="54"/>
      <c r="F3" s="54"/>
      <c r="G3" s="54"/>
      <c r="H3" s="54"/>
      <c r="I3" s="54"/>
    </row>
    <row r="4" spans="1:16" x14ac:dyDescent="0.3">
      <c r="A4" s="54"/>
      <c r="B4" s="54" t="s">
        <v>251</v>
      </c>
      <c r="C4" s="54"/>
      <c r="D4" s="54"/>
      <c r="E4" s="54"/>
      <c r="F4" s="54"/>
      <c r="G4" s="54"/>
      <c r="H4" s="54"/>
      <c r="I4" s="54"/>
    </row>
    <row r="5" spans="1:16" x14ac:dyDescent="0.3">
      <c r="A5" s="54"/>
      <c r="B5" s="54" t="s">
        <v>252</v>
      </c>
      <c r="C5" s="54"/>
      <c r="D5" s="54"/>
      <c r="E5" s="54"/>
      <c r="F5" s="54"/>
      <c r="G5" s="54"/>
      <c r="H5" s="54"/>
      <c r="I5" s="54"/>
    </row>
    <row r="6" spans="1:16" x14ac:dyDescent="0.3">
      <c r="A6" s="54"/>
      <c r="B6" s="54"/>
      <c r="C6" s="54"/>
      <c r="D6" s="54"/>
      <c r="E6" s="54"/>
      <c r="F6" s="54"/>
      <c r="G6" s="54"/>
      <c r="H6" s="54"/>
      <c r="I6" s="54"/>
    </row>
    <row r="7" spans="1:16" x14ac:dyDescent="0.3">
      <c r="A7" s="54" t="s">
        <v>245</v>
      </c>
      <c r="B7" s="207" t="s">
        <v>248</v>
      </c>
      <c r="C7" s="230"/>
      <c r="D7" s="230"/>
      <c r="E7" s="230"/>
      <c r="F7" s="231"/>
      <c r="G7" s="54"/>
      <c r="H7" s="54"/>
      <c r="I7" s="54"/>
    </row>
    <row r="8" spans="1:16" x14ac:dyDescent="0.3">
      <c r="A8" s="54"/>
      <c r="B8" s="210" t="s">
        <v>253</v>
      </c>
      <c r="C8" s="182"/>
      <c r="D8" s="182"/>
      <c r="E8" s="182"/>
      <c r="F8" s="232">
        <v>43608</v>
      </c>
      <c r="G8" s="54"/>
      <c r="H8" s="54"/>
      <c r="I8" s="54"/>
    </row>
    <row r="9" spans="1:16" x14ac:dyDescent="0.3">
      <c r="A9" s="54"/>
      <c r="B9" s="210" t="s">
        <v>254</v>
      </c>
      <c r="C9" s="182"/>
      <c r="D9" s="182"/>
      <c r="E9" s="182"/>
      <c r="F9" s="233">
        <f>F8/$F$20</f>
        <v>0.70914235535174164</v>
      </c>
      <c r="G9" s="54"/>
      <c r="H9" s="54"/>
      <c r="I9" s="54"/>
    </row>
    <row r="10" spans="1:16" x14ac:dyDescent="0.3">
      <c r="A10" s="54"/>
      <c r="B10" s="210" t="s">
        <v>255</v>
      </c>
      <c r="C10" s="182"/>
      <c r="D10" s="182"/>
      <c r="E10" s="182"/>
      <c r="F10" s="233">
        <f>F11+F12*F13</f>
        <v>0.1104</v>
      </c>
      <c r="G10" s="54"/>
      <c r="H10" s="54"/>
      <c r="I10" s="54"/>
    </row>
    <row r="11" spans="1:16" x14ac:dyDescent="0.3">
      <c r="A11" s="54"/>
      <c r="B11" s="210" t="s">
        <v>256</v>
      </c>
      <c r="C11" s="182"/>
      <c r="D11" s="182"/>
      <c r="E11" s="182"/>
      <c r="F11" s="233">
        <v>0.04</v>
      </c>
      <c r="G11" s="54"/>
      <c r="H11" s="54"/>
      <c r="I11" s="54"/>
    </row>
    <row r="12" spans="1:16" x14ac:dyDescent="0.3">
      <c r="A12" s="54"/>
      <c r="B12" s="210" t="s">
        <v>257</v>
      </c>
      <c r="C12" s="182"/>
      <c r="D12" s="182"/>
      <c r="E12" s="182"/>
      <c r="F12" s="234">
        <v>1.28</v>
      </c>
      <c r="G12" s="54"/>
      <c r="H12" s="54"/>
      <c r="I12" s="54"/>
    </row>
    <row r="13" spans="1:16" x14ac:dyDescent="0.3">
      <c r="A13" s="54"/>
      <c r="B13" s="210" t="s">
        <v>258</v>
      </c>
      <c r="C13" s="182"/>
      <c r="D13" s="182"/>
      <c r="E13" s="182"/>
      <c r="F13" s="233">
        <v>5.5E-2</v>
      </c>
      <c r="G13" s="54"/>
      <c r="H13" s="70"/>
      <c r="I13" s="54"/>
    </row>
    <row r="14" spans="1:16" x14ac:dyDescent="0.3">
      <c r="A14" s="54"/>
      <c r="B14" s="210"/>
      <c r="C14" s="182"/>
      <c r="D14" s="182"/>
      <c r="E14" s="182"/>
      <c r="F14" s="183"/>
      <c r="G14" s="54"/>
      <c r="H14" s="54"/>
      <c r="I14" s="54"/>
    </row>
    <row r="15" spans="1:16" x14ac:dyDescent="0.3">
      <c r="A15" s="54"/>
      <c r="B15" s="210" t="s">
        <v>259</v>
      </c>
      <c r="C15" s="182"/>
      <c r="D15" s="182"/>
      <c r="E15" s="182"/>
      <c r="F15" s="235">
        <f>'Balance Sheet'!K53</f>
        <v>17886</v>
      </c>
      <c r="G15" s="54"/>
      <c r="H15" s="54"/>
      <c r="I15" s="54"/>
    </row>
    <row r="16" spans="1:16" x14ac:dyDescent="0.3">
      <c r="A16" s="54"/>
      <c r="B16" s="210" t="s">
        <v>260</v>
      </c>
      <c r="C16" s="182"/>
      <c r="D16" s="182"/>
      <c r="E16" s="182"/>
      <c r="F16" s="236">
        <f>F15/$F$20</f>
        <v>0.29085764464825836</v>
      </c>
      <c r="G16" s="54"/>
      <c r="H16" s="54"/>
      <c r="I16" s="54"/>
    </row>
    <row r="17" spans="1:11" x14ac:dyDescent="0.3">
      <c r="A17" s="54"/>
      <c r="B17" s="210" t="s">
        <v>261</v>
      </c>
      <c r="C17" s="182"/>
      <c r="D17" s="182"/>
      <c r="E17" s="182"/>
      <c r="F17" s="233">
        <f>'Income Statement'!K21/WACC!F15</f>
        <v>2.8066644302806663E-2</v>
      </c>
      <c r="G17" s="86"/>
      <c r="H17" s="54"/>
      <c r="I17" s="54"/>
    </row>
    <row r="18" spans="1:11" x14ac:dyDescent="0.3">
      <c r="A18" s="54"/>
      <c r="B18" s="210" t="s">
        <v>262</v>
      </c>
      <c r="C18" s="182"/>
      <c r="D18" s="182"/>
      <c r="E18" s="182"/>
      <c r="F18" s="233">
        <f>DCF!L22</f>
        <v>0.21156805666776607</v>
      </c>
      <c r="G18" s="54"/>
      <c r="H18" s="54"/>
      <c r="I18" s="54"/>
    </row>
    <row r="19" spans="1:11" x14ac:dyDescent="0.3">
      <c r="A19" s="54"/>
      <c r="B19" s="210"/>
      <c r="C19" s="182"/>
      <c r="D19" s="182"/>
      <c r="E19" s="182"/>
      <c r="F19" s="183"/>
      <c r="G19" s="54"/>
      <c r="H19" s="54"/>
      <c r="I19" s="54"/>
    </row>
    <row r="20" spans="1:11" x14ac:dyDescent="0.3">
      <c r="A20" s="54"/>
      <c r="B20" s="237" t="s">
        <v>263</v>
      </c>
      <c r="C20" s="238"/>
      <c r="D20" s="238"/>
      <c r="E20" s="238"/>
      <c r="F20" s="239">
        <f>F8+F15</f>
        <v>61494</v>
      </c>
      <c r="G20" s="54"/>
      <c r="H20" s="54"/>
      <c r="I20" s="54"/>
    </row>
    <row r="21" spans="1:11" x14ac:dyDescent="0.3">
      <c r="A21" s="54"/>
      <c r="B21" s="210"/>
      <c r="C21" s="182"/>
      <c r="D21" s="182"/>
      <c r="E21" s="182"/>
      <c r="F21" s="183"/>
      <c r="G21" s="54"/>
      <c r="H21" s="54"/>
      <c r="I21" s="54"/>
    </row>
    <row r="22" spans="1:11" x14ac:dyDescent="0.3">
      <c r="A22" s="54" t="s">
        <v>245</v>
      </c>
      <c r="B22" s="237" t="s">
        <v>248</v>
      </c>
      <c r="C22" s="238"/>
      <c r="D22" s="238"/>
      <c r="E22" s="238"/>
      <c r="F22" s="240">
        <f>F9*F10+(F16*F17*(1-F18))</f>
        <v>8.4725599823605252E-2</v>
      </c>
      <c r="G22" s="54"/>
      <c r="H22" s="54"/>
      <c r="I22" s="54"/>
    </row>
    <row r="23" spans="1:11" x14ac:dyDescent="0.3">
      <c r="A23" s="54"/>
      <c r="B23" s="54"/>
      <c r="C23" s="54"/>
      <c r="D23" s="54"/>
      <c r="E23" s="54"/>
      <c r="F23" s="54"/>
      <c r="G23" s="54"/>
      <c r="H23" s="54"/>
      <c r="I23" s="54"/>
    </row>
    <row r="24" spans="1:11" x14ac:dyDescent="0.3">
      <c r="A24" s="54"/>
      <c r="B24" s="54"/>
      <c r="C24" s="54"/>
      <c r="D24" s="54"/>
      <c r="E24" s="54"/>
      <c r="F24" s="54"/>
      <c r="G24" s="54"/>
      <c r="H24" s="54"/>
      <c r="I24" s="54"/>
    </row>
    <row r="25" spans="1:11" x14ac:dyDescent="0.3">
      <c r="A25" s="54"/>
      <c r="B25" s="207" t="s">
        <v>257</v>
      </c>
      <c r="C25" s="208"/>
      <c r="D25" s="208"/>
      <c r="E25" s="208"/>
      <c r="F25" s="208"/>
      <c r="G25" s="208"/>
      <c r="H25" s="208"/>
      <c r="I25" s="209"/>
    </row>
    <row r="26" spans="1:11" x14ac:dyDescent="0.3">
      <c r="A26" s="54"/>
      <c r="B26" s="210"/>
      <c r="C26" s="182"/>
      <c r="D26" s="182"/>
      <c r="E26" s="182"/>
      <c r="F26" s="182"/>
      <c r="G26" s="182"/>
      <c r="H26" s="211"/>
      <c r="I26" s="183"/>
    </row>
    <row r="27" spans="1:11" x14ac:dyDescent="0.3">
      <c r="A27" s="54"/>
      <c r="B27" s="190"/>
      <c r="C27" s="191"/>
      <c r="D27" s="191" t="s">
        <v>264</v>
      </c>
      <c r="E27" s="191" t="s">
        <v>253</v>
      </c>
      <c r="F27" s="212" t="s">
        <v>234</v>
      </c>
      <c r="G27" s="213" t="s">
        <v>265</v>
      </c>
      <c r="H27" s="191"/>
      <c r="I27" s="214" t="s">
        <v>266</v>
      </c>
      <c r="K27" t="s">
        <v>326</v>
      </c>
    </row>
    <row r="28" spans="1:11" x14ac:dyDescent="0.3">
      <c r="A28" s="54"/>
      <c r="B28" s="215" t="s">
        <v>298</v>
      </c>
      <c r="C28" s="216"/>
      <c r="D28" s="217">
        <v>0.94</v>
      </c>
      <c r="E28" s="218">
        <f>Comps!D13</f>
        <v>406630</v>
      </c>
      <c r="F28" s="229">
        <v>5760</v>
      </c>
      <c r="G28" s="219">
        <v>0.24729999999999999</v>
      </c>
      <c r="H28" s="182"/>
      <c r="I28" s="220">
        <f>D28/(1+(1-G28)*(F28/E28))</f>
        <v>0.93008330780970161</v>
      </c>
      <c r="K28" t="s">
        <v>327</v>
      </c>
    </row>
    <row r="29" spans="1:11" x14ac:dyDescent="0.3">
      <c r="A29" s="54"/>
      <c r="B29" s="215" t="s">
        <v>299</v>
      </c>
      <c r="C29" s="216"/>
      <c r="D29" s="217">
        <v>0.87</v>
      </c>
      <c r="E29" s="218">
        <f>Comps!D14</f>
        <v>14530</v>
      </c>
      <c r="F29" s="229">
        <v>3430</v>
      </c>
      <c r="G29" s="219">
        <v>0.25769999999999998</v>
      </c>
      <c r="H29" s="182"/>
      <c r="I29" s="220">
        <f t="shared" ref="I29:I30" si="0">D29/(1+(1-G29)*(F29/E29))</f>
        <v>0.74028075164049567</v>
      </c>
    </row>
    <row r="30" spans="1:11" x14ac:dyDescent="0.3">
      <c r="A30" s="54"/>
      <c r="B30" s="215" t="s">
        <v>293</v>
      </c>
      <c r="C30" s="216"/>
      <c r="D30" s="217">
        <v>0.69</v>
      </c>
      <c r="E30" s="218">
        <f>Comps!D15</f>
        <v>666920</v>
      </c>
      <c r="F30" s="229">
        <v>36753</v>
      </c>
      <c r="G30" s="219">
        <v>0.23380000000000001</v>
      </c>
      <c r="H30" s="182"/>
      <c r="I30" s="220">
        <f t="shared" si="0"/>
        <v>0.6620456661391696</v>
      </c>
    </row>
    <row r="31" spans="1:11" x14ac:dyDescent="0.3">
      <c r="A31" s="54"/>
      <c r="B31" s="215"/>
      <c r="C31" s="216"/>
      <c r="D31" s="221"/>
      <c r="E31" s="216"/>
      <c r="F31" s="216"/>
      <c r="G31" s="222"/>
      <c r="H31" s="222"/>
      <c r="I31" s="223"/>
    </row>
    <row r="32" spans="1:11" x14ac:dyDescent="0.3">
      <c r="A32" s="54"/>
      <c r="B32" s="215" t="s">
        <v>267</v>
      </c>
      <c r="C32" s="216"/>
      <c r="D32" s="221"/>
      <c r="E32" s="221">
        <f>AVERAGE(I28:I30)</f>
        <v>0.77746990852978903</v>
      </c>
      <c r="F32" s="216"/>
      <c r="G32" s="216"/>
      <c r="H32" s="216"/>
      <c r="I32" s="224"/>
    </row>
    <row r="33" spans="1:9" x14ac:dyDescent="0.3">
      <c r="A33" s="54"/>
      <c r="B33" s="225" t="s">
        <v>343</v>
      </c>
      <c r="C33" s="226"/>
      <c r="D33" s="65"/>
      <c r="E33" s="227">
        <f>E32*(1+(1-F18)*((DCF!P48-DCF!P47)/F8))</f>
        <v>0.96194929815979691</v>
      </c>
      <c r="F33" s="226"/>
      <c r="G33" s="226"/>
      <c r="H33" s="226"/>
      <c r="I33" s="228"/>
    </row>
    <row r="34" spans="1:9" x14ac:dyDescent="0.3">
      <c r="A34" s="54"/>
      <c r="B34" s="54"/>
      <c r="C34" s="54"/>
      <c r="D34" s="54"/>
      <c r="E34" s="54"/>
      <c r="F34" s="54"/>
      <c r="G34" s="54"/>
      <c r="H34" s="54"/>
      <c r="I34" s="54"/>
    </row>
    <row r="35" spans="1:9" x14ac:dyDescent="0.3">
      <c r="A35" s="54"/>
      <c r="B35" s="89"/>
      <c r="C35" s="89"/>
      <c r="D35" s="89"/>
      <c r="E35" s="89"/>
      <c r="F35" s="92"/>
      <c r="G35" s="93"/>
      <c r="H35" s="89"/>
      <c r="I35" s="93"/>
    </row>
    <row r="36" spans="1:9" x14ac:dyDescent="0.3">
      <c r="A36" s="54"/>
      <c r="B36" s="87"/>
      <c r="C36" s="87"/>
      <c r="D36" s="94"/>
      <c r="E36" s="95"/>
      <c r="F36" s="96"/>
      <c r="G36" s="91"/>
      <c r="H36" s="54"/>
      <c r="I36" s="88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5986-CBF4-4D61-BCF3-3A5D8BD7FE85}">
  <dimension ref="A1:Y18"/>
  <sheetViews>
    <sheetView workbookViewId="0">
      <selection activeCell="F13" sqref="F13"/>
    </sheetView>
  </sheetViews>
  <sheetFormatPr defaultRowHeight="14.4" x14ac:dyDescent="0.3"/>
  <cols>
    <col min="2" max="2" width="10.88671875" customWidth="1"/>
    <col min="3" max="3" width="27.77734375" customWidth="1"/>
    <col min="5" max="5" width="11.109375" customWidth="1"/>
  </cols>
  <sheetData>
    <row r="1" spans="1:25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21" x14ac:dyDescent="0.3">
      <c r="A2" s="99" t="s">
        <v>303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</row>
    <row r="4" spans="1:25" ht="15.6" x14ac:dyDescent="0.3">
      <c r="A4" s="100"/>
      <c r="B4" s="101" t="s">
        <v>268</v>
      </c>
      <c r="C4" s="102">
        <v>45752</v>
      </c>
    </row>
    <row r="5" spans="1:25" ht="15.6" x14ac:dyDescent="0.3">
      <c r="A5" s="100"/>
      <c r="B5" s="101" t="s">
        <v>269</v>
      </c>
      <c r="C5" s="103" t="s">
        <v>344</v>
      </c>
    </row>
    <row r="7" spans="1:25" ht="17.399999999999999" x14ac:dyDescent="0.3">
      <c r="B7" s="104"/>
      <c r="C7" s="105"/>
      <c r="D7" s="106"/>
      <c r="E7" s="106"/>
      <c r="F7" s="106"/>
      <c r="G7" s="106"/>
      <c r="H7" s="106"/>
      <c r="I7" s="106"/>
      <c r="J7" s="106" t="s">
        <v>270</v>
      </c>
      <c r="K7" s="106" t="s">
        <v>271</v>
      </c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7"/>
      <c r="W7" s="107"/>
      <c r="X7" s="107"/>
      <c r="Y7" s="107"/>
    </row>
    <row r="8" spans="1:25" ht="17.399999999999999" x14ac:dyDescent="0.3">
      <c r="B8" s="104"/>
      <c r="C8" s="104"/>
      <c r="D8" s="106" t="s">
        <v>272</v>
      </c>
      <c r="E8" s="106" t="s">
        <v>273</v>
      </c>
      <c r="F8" s="106" t="s">
        <v>274</v>
      </c>
      <c r="G8" s="106" t="s">
        <v>275</v>
      </c>
      <c r="H8" s="106" t="s">
        <v>275</v>
      </c>
      <c r="I8" s="106" t="s">
        <v>276</v>
      </c>
      <c r="J8" s="106" t="s">
        <v>277</v>
      </c>
      <c r="K8" s="106" t="s">
        <v>277</v>
      </c>
      <c r="L8" s="106"/>
      <c r="M8" s="107" t="s">
        <v>76</v>
      </c>
      <c r="N8" s="107"/>
      <c r="O8" s="107" t="s">
        <v>278</v>
      </c>
      <c r="P8" s="107"/>
      <c r="Q8" s="107" t="s">
        <v>116</v>
      </c>
      <c r="R8" s="107"/>
      <c r="S8" s="107" t="s">
        <v>325</v>
      </c>
      <c r="T8" s="107"/>
      <c r="U8" s="106"/>
      <c r="V8" s="107" t="s">
        <v>279</v>
      </c>
      <c r="W8" s="107"/>
      <c r="X8" s="107" t="s">
        <v>280</v>
      </c>
      <c r="Y8" s="107"/>
    </row>
    <row r="9" spans="1:25" ht="15.6" x14ac:dyDescent="0.3">
      <c r="B9" s="108" t="s">
        <v>281</v>
      </c>
      <c r="C9" s="108" t="s">
        <v>282</v>
      </c>
      <c r="D9" s="109" t="s">
        <v>283</v>
      </c>
      <c r="E9" s="109" t="s">
        <v>284</v>
      </c>
      <c r="F9" s="109" t="s">
        <v>277</v>
      </c>
      <c r="G9" s="109" t="s">
        <v>285</v>
      </c>
      <c r="H9" s="109" t="s">
        <v>286</v>
      </c>
      <c r="I9" s="109" t="s">
        <v>286</v>
      </c>
      <c r="J9" s="109" t="s">
        <v>287</v>
      </c>
      <c r="K9" s="109" t="s">
        <v>287</v>
      </c>
      <c r="L9" s="109"/>
      <c r="M9" s="110" t="s">
        <v>288</v>
      </c>
      <c r="N9" s="110" t="s">
        <v>289</v>
      </c>
      <c r="O9" s="110" t="s">
        <v>288</v>
      </c>
      <c r="P9" s="110" t="s">
        <v>289</v>
      </c>
      <c r="Q9" s="110" t="s">
        <v>288</v>
      </c>
      <c r="R9" s="110" t="s">
        <v>289</v>
      </c>
      <c r="S9" s="110" t="s">
        <v>288</v>
      </c>
      <c r="T9" s="110" t="s">
        <v>289</v>
      </c>
      <c r="U9" s="110"/>
      <c r="V9" s="110" t="s">
        <v>290</v>
      </c>
      <c r="W9" s="110" t="s">
        <v>291</v>
      </c>
      <c r="X9" s="110" t="s">
        <v>290</v>
      </c>
      <c r="Y9" s="110" t="s">
        <v>291</v>
      </c>
    </row>
    <row r="10" spans="1:25" ht="15.6" x14ac:dyDescent="0.3">
      <c r="B10" s="111"/>
      <c r="C10" s="111"/>
      <c r="D10" s="112"/>
      <c r="E10" s="112"/>
      <c r="F10" s="112"/>
      <c r="G10" s="112"/>
      <c r="H10" s="112"/>
      <c r="I10" s="112"/>
      <c r="J10" s="112"/>
      <c r="K10" s="112"/>
      <c r="L10" s="112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</row>
    <row r="11" spans="1:25" ht="15.6" x14ac:dyDescent="0.3">
      <c r="B11" s="114" t="s">
        <v>297</v>
      </c>
      <c r="C11" t="s">
        <v>302</v>
      </c>
      <c r="D11" s="206">
        <v>43610</v>
      </c>
      <c r="E11" s="206">
        <v>58720</v>
      </c>
      <c r="F11" s="116">
        <v>95.72</v>
      </c>
      <c r="G11" s="116">
        <v>90.62</v>
      </c>
      <c r="H11" s="116">
        <v>173.04</v>
      </c>
      <c r="I11" s="117">
        <f>(H11-F11)/H11</f>
        <v>0.446833102172908</v>
      </c>
      <c r="J11" s="117">
        <v>-0.17879999999999999</v>
      </c>
      <c r="K11" s="117">
        <v>-0.35759999999999997</v>
      </c>
      <c r="L11" s="117"/>
      <c r="M11" s="117">
        <v>0.27539999999999998</v>
      </c>
      <c r="N11" s="117">
        <v>0.28210000000000002</v>
      </c>
      <c r="O11" s="117">
        <v>5.3100000000000001E-2</v>
      </c>
      <c r="P11" s="117">
        <v>5.2200000000000003E-2</v>
      </c>
      <c r="Q11" s="117">
        <v>7.9200000000000007E-2</v>
      </c>
      <c r="R11" s="117">
        <v>8.0199999999999994E-2</v>
      </c>
      <c r="S11" s="117">
        <v>3.85E-2</v>
      </c>
      <c r="T11" s="117">
        <v>3.8399999999999997E-2</v>
      </c>
      <c r="U11" s="117"/>
      <c r="V11" s="178">
        <v>10.3</v>
      </c>
      <c r="W11" s="178">
        <v>7.1</v>
      </c>
      <c r="X11" s="178">
        <v>0.16239999999999999</v>
      </c>
      <c r="Y11" s="178">
        <v>0.15509999999999999</v>
      </c>
    </row>
    <row r="12" spans="1:25" ht="15.6" x14ac:dyDescent="0.3">
      <c r="B12" s="114"/>
      <c r="D12" s="115"/>
      <c r="E12" s="115"/>
      <c r="F12" s="116"/>
      <c r="G12" s="116"/>
      <c r="H12" s="116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78"/>
      <c r="Y12" s="178"/>
    </row>
    <row r="13" spans="1:25" ht="15.6" x14ac:dyDescent="0.3">
      <c r="B13" s="114" t="s">
        <v>298</v>
      </c>
      <c r="C13" t="s">
        <v>301</v>
      </c>
      <c r="D13" s="206">
        <v>406630</v>
      </c>
      <c r="E13" s="206">
        <v>401510</v>
      </c>
      <c r="F13" s="116">
        <v>916.48</v>
      </c>
      <c r="G13" s="116">
        <v>702</v>
      </c>
      <c r="H13" s="116">
        <v>1078.24</v>
      </c>
      <c r="I13" s="117">
        <f t="shared" ref="I13:I15" si="0">(H13-F13)/H13</f>
        <v>0.15002225849532572</v>
      </c>
      <c r="J13" s="117">
        <v>-0.12529999999999999</v>
      </c>
      <c r="K13" s="117">
        <v>4.9099999999999998E-2</v>
      </c>
      <c r="L13" s="117"/>
      <c r="M13" s="117">
        <v>0.1239</v>
      </c>
      <c r="N13" s="117">
        <v>0.12670000000000001</v>
      </c>
      <c r="O13" s="117">
        <v>3.4200000000000001E-2</v>
      </c>
      <c r="P13" s="117">
        <v>3.6900000000000002E-2</v>
      </c>
      <c r="Q13" s="117">
        <v>0.34404919002808132</v>
      </c>
      <c r="R13" s="117">
        <v>0.34658304904951603</v>
      </c>
      <c r="S13" s="117">
        <v>2.7300000000000001E-2</v>
      </c>
      <c r="T13" s="117">
        <v>2.8899999999999999E-2</v>
      </c>
      <c r="U13" s="117"/>
      <c r="V13" s="178">
        <v>33.619999999999997</v>
      </c>
      <c r="W13" s="178">
        <v>37.24</v>
      </c>
      <c r="X13" s="178">
        <v>0.57040000000000002</v>
      </c>
      <c r="Y13" s="178">
        <v>0.5353</v>
      </c>
    </row>
    <row r="14" spans="1:25" ht="15.6" x14ac:dyDescent="0.3">
      <c r="B14" s="114" t="s">
        <v>299</v>
      </c>
      <c r="C14" t="s">
        <v>300</v>
      </c>
      <c r="D14" s="206">
        <v>14530</v>
      </c>
      <c r="E14" s="206">
        <v>21100</v>
      </c>
      <c r="F14" s="116">
        <v>67.55</v>
      </c>
      <c r="G14" s="116">
        <v>60.49</v>
      </c>
      <c r="H14" s="116">
        <v>131.52000000000001</v>
      </c>
      <c r="I14" s="117">
        <f t="shared" si="0"/>
        <v>0.48638990267639909</v>
      </c>
      <c r="J14" s="117">
        <v>-3.7199999999999997E-2</v>
      </c>
      <c r="K14" s="117">
        <v>-2.75E-2</v>
      </c>
      <c r="L14" s="117"/>
      <c r="M14" s="117">
        <v>0.7542499804708086</v>
      </c>
      <c r="N14" s="117">
        <v>0.73506262432595459</v>
      </c>
      <c r="O14" s="117">
        <v>0.65149019584680035</v>
      </c>
      <c r="P14" s="117">
        <v>0.64783948173785144</v>
      </c>
      <c r="Q14" s="117">
        <v>0.65100437445566806</v>
      </c>
      <c r="R14" s="117">
        <v>0.65597725275964203</v>
      </c>
      <c r="S14" s="117">
        <v>0.53367285979820922</v>
      </c>
      <c r="T14" s="117">
        <v>0.52703372818957817</v>
      </c>
      <c r="U14" s="117"/>
      <c r="V14" s="178">
        <v>15.87</v>
      </c>
      <c r="W14" s="178">
        <v>10.46</v>
      </c>
      <c r="X14" s="178">
        <v>0.24790000000000001</v>
      </c>
      <c r="Y14" s="178">
        <v>0.1399</v>
      </c>
    </row>
    <row r="15" spans="1:25" ht="15.6" x14ac:dyDescent="0.3">
      <c r="B15" s="114" t="s">
        <v>293</v>
      </c>
      <c r="C15" t="s">
        <v>294</v>
      </c>
      <c r="D15" s="206">
        <v>666920</v>
      </c>
      <c r="E15" s="206">
        <v>458400</v>
      </c>
      <c r="F15" s="116">
        <v>83.19</v>
      </c>
      <c r="G15" s="116">
        <v>58.56</v>
      </c>
      <c r="H15" s="116">
        <v>105.3</v>
      </c>
      <c r="I15" s="117">
        <f t="shared" si="0"/>
        <v>0.20997150997150998</v>
      </c>
      <c r="J15" s="117">
        <v>-0.1333</v>
      </c>
      <c r="K15" s="117">
        <v>5.1700000000000003E-2</v>
      </c>
      <c r="L15" s="117"/>
      <c r="M15" s="117">
        <v>0.2385443275087771</v>
      </c>
      <c r="N15" s="117">
        <v>0.24309601802296502</v>
      </c>
      <c r="O15" s="117">
        <v>4.3137057387780037E-2</v>
      </c>
      <c r="P15" s="117">
        <v>4.5481754003939175E-2</v>
      </c>
      <c r="Q15" s="117">
        <v>6.2107703589192417E-2</v>
      </c>
      <c r="R15" s="117">
        <v>6.4795392356901488E-2</v>
      </c>
      <c r="S15" s="117">
        <v>2.8997925874807946E-2</v>
      </c>
      <c r="T15" s="117">
        <v>3.08527647651477E-2</v>
      </c>
      <c r="U15" s="117"/>
      <c r="V15" s="178">
        <v>13.6</v>
      </c>
      <c r="W15" s="178">
        <v>18.2</v>
      </c>
      <c r="X15" s="178">
        <v>0.28420000000000001</v>
      </c>
      <c r="Y15" s="178">
        <v>0.40620000000000001</v>
      </c>
    </row>
    <row r="16" spans="1:25" ht="15.6" x14ac:dyDescent="0.3">
      <c r="B16" s="119"/>
      <c r="D16" s="115"/>
      <c r="E16" s="115"/>
      <c r="F16" s="100"/>
      <c r="G16" s="116"/>
      <c r="H16" s="116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8"/>
      <c r="W16" s="118"/>
      <c r="X16" s="118"/>
      <c r="Y16" s="118"/>
    </row>
    <row r="17" spans="2:25" ht="15.6" x14ac:dyDescent="0.3">
      <c r="B17" s="120" t="s">
        <v>295</v>
      </c>
      <c r="C17" s="121"/>
      <c r="D17" s="121"/>
      <c r="E17" s="121"/>
      <c r="F17" s="121"/>
      <c r="G17" s="121"/>
      <c r="H17" s="121"/>
      <c r="I17" s="122">
        <f>AVERAGE(I11,I13,I14,I15)</f>
        <v>0.32330419332903571</v>
      </c>
      <c r="J17" s="122">
        <f t="shared" ref="J17:K17" si="1">AVERAGE(J11,J13,J14,J15)</f>
        <v>-0.11865000000000001</v>
      </c>
      <c r="K17" s="122">
        <f t="shared" si="1"/>
        <v>-7.1074999999999999E-2</v>
      </c>
      <c r="L17" s="122"/>
      <c r="M17" s="122">
        <f t="shared" ref="M17:T17" si="2">AVERAGE(M11,M13,M14,M15)</f>
        <v>0.34802357699489639</v>
      </c>
      <c r="N17" s="122">
        <f t="shared" si="2"/>
        <v>0.34673966058722994</v>
      </c>
      <c r="O17" s="122">
        <f t="shared" si="2"/>
        <v>0.19548181330864511</v>
      </c>
      <c r="P17" s="122">
        <f t="shared" si="2"/>
        <v>0.19560530893544764</v>
      </c>
      <c r="Q17" s="122">
        <f t="shared" si="2"/>
        <v>0.28409031701823545</v>
      </c>
      <c r="R17" s="122">
        <f t="shared" si="2"/>
        <v>0.28688892354151491</v>
      </c>
      <c r="S17" s="122">
        <f t="shared" si="2"/>
        <v>0.15711769641825429</v>
      </c>
      <c r="T17" s="122">
        <f t="shared" si="2"/>
        <v>0.15629662323868149</v>
      </c>
      <c r="U17" s="122"/>
      <c r="V17" s="123">
        <f t="shared" ref="V17:W17" si="3">AVERAGE(V11,V13,V14,V15)</f>
        <v>18.3475</v>
      </c>
      <c r="W17" s="123">
        <f t="shared" si="3"/>
        <v>18.25</v>
      </c>
      <c r="X17" s="123">
        <f t="shared" ref="X17:Y17" si="4">AVERAGE(X11,X13,X14,X15)</f>
        <v>0.31622499999999998</v>
      </c>
      <c r="Y17" s="123">
        <f t="shared" si="4"/>
        <v>0.30912499999999998</v>
      </c>
    </row>
    <row r="18" spans="2:25" ht="15.6" x14ac:dyDescent="0.3">
      <c r="B18" s="124" t="s">
        <v>296</v>
      </c>
      <c r="C18" s="125"/>
      <c r="D18" s="125"/>
      <c r="E18" s="125"/>
      <c r="F18" s="125"/>
      <c r="G18" s="125"/>
      <c r="H18" s="125"/>
      <c r="I18" s="126">
        <f t="shared" ref="I18:T18" si="5">MEDIAN(I11,I13,I14,I15)</f>
        <v>0.32840230607220899</v>
      </c>
      <c r="J18" s="126">
        <f t="shared" si="5"/>
        <v>-0.1293</v>
      </c>
      <c r="K18" s="126">
        <f t="shared" si="5"/>
        <v>1.0800000000000001E-2</v>
      </c>
      <c r="L18" s="126"/>
      <c r="M18" s="126">
        <f t="shared" si="5"/>
        <v>0.25697216375438853</v>
      </c>
      <c r="N18" s="126">
        <f t="shared" si="5"/>
        <v>0.2625980090114825</v>
      </c>
      <c r="O18" s="126">
        <f t="shared" si="5"/>
        <v>4.8118528693890023E-2</v>
      </c>
      <c r="P18" s="126">
        <f t="shared" si="5"/>
        <v>4.8840877001969589E-2</v>
      </c>
      <c r="Q18" s="126">
        <f t="shared" si="5"/>
        <v>0.21162459501404068</v>
      </c>
      <c r="R18" s="126">
        <f t="shared" si="5"/>
        <v>0.21339152452475801</v>
      </c>
      <c r="S18" s="126">
        <f t="shared" si="5"/>
        <v>3.3748962937403974E-2</v>
      </c>
      <c r="T18" s="126">
        <f t="shared" si="5"/>
        <v>3.4626382382573845E-2</v>
      </c>
      <c r="U18" s="126"/>
      <c r="V18" s="127">
        <f>MEDIAN(V11,V13,V14,V15)</f>
        <v>14.734999999999999</v>
      </c>
      <c r="W18" s="127">
        <f>MEDIAN(W11,W13,W14,W15)</f>
        <v>14.33</v>
      </c>
      <c r="X18" s="123">
        <f t="shared" ref="X18:Y18" si="6">AVERAGE(X12,X14,X15,X16)</f>
        <v>0.26605000000000001</v>
      </c>
      <c r="Y18" s="123">
        <f t="shared" si="6"/>
        <v>0.27305000000000001</v>
      </c>
    </row>
  </sheetData>
  <conditionalFormatting sqref="I11:I15">
    <cfRule type="colorScale" priority="4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6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1:J15">
    <cfRule type="colorScale" priority="5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6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1:K15">
    <cfRule type="colorScale" priority="5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1:L15 K16:L16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:M15">
    <cfRule type="colorScale" priority="51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T15">
    <cfRule type="colorScale" priority="6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:N15">
    <cfRule type="colorScale" priority="5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2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:Q15">
    <cfRule type="colorScale" priority="5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:O15">
    <cfRule type="colorScale" priority="54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4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:P15">
    <cfRule type="colorScale" priority="55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:Q15">
    <cfRule type="colorScale" priority="55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6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6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6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:R15">
    <cfRule type="colorScale" priority="57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:T15">
    <cfRule type="colorScale" priority="58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:S15">
    <cfRule type="colorScale" priority="59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1:T15">
    <cfRule type="colorScale" priority="6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1:U15">
    <cfRule type="colorScale" priority="6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:W1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1:Y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6EFD-CE87-4F4A-A944-0EDDC9655FD7}">
  <dimension ref="A1:D40"/>
  <sheetViews>
    <sheetView workbookViewId="0">
      <selection activeCell="D12" sqref="D12"/>
    </sheetView>
  </sheetViews>
  <sheetFormatPr defaultRowHeight="14.4" x14ac:dyDescent="0.3"/>
  <cols>
    <col min="1" max="1" width="38.33203125" customWidth="1"/>
    <col min="2" max="4" width="15.77734375" customWidth="1"/>
  </cols>
  <sheetData>
    <row r="1" spans="1:4" x14ac:dyDescent="0.3">
      <c r="A1" s="13"/>
      <c r="B1" s="13"/>
      <c r="C1" s="13"/>
      <c r="D1" s="13"/>
    </row>
    <row r="2" spans="1:4" ht="21" x14ac:dyDescent="0.3">
      <c r="A2" s="99" t="s">
        <v>324</v>
      </c>
      <c r="B2" s="99"/>
      <c r="C2" s="99"/>
      <c r="D2" s="99"/>
    </row>
    <row r="4" spans="1:4" x14ac:dyDescent="0.3">
      <c r="A4" s="129" t="s">
        <v>304</v>
      </c>
      <c r="B4" s="130"/>
      <c r="C4" s="130"/>
      <c r="D4" s="130"/>
    </row>
    <row r="5" spans="1:4" x14ac:dyDescent="0.3">
      <c r="A5" s="131"/>
      <c r="B5" s="132"/>
      <c r="C5" s="132"/>
      <c r="D5" s="132"/>
    </row>
    <row r="6" spans="1:4" x14ac:dyDescent="0.3">
      <c r="A6" s="133" t="s">
        <v>305</v>
      </c>
      <c r="D6" s="134">
        <f>Comps!F11</f>
        <v>95.72</v>
      </c>
    </row>
    <row r="7" spans="1:4" x14ac:dyDescent="0.3">
      <c r="A7" s="135" t="s">
        <v>306</v>
      </c>
      <c r="D7" s="136">
        <v>458.21</v>
      </c>
    </row>
    <row r="8" spans="1:4" x14ac:dyDescent="0.3">
      <c r="A8" s="133" t="s">
        <v>307</v>
      </c>
      <c r="D8" s="137">
        <f>D30</f>
        <v>0</v>
      </c>
    </row>
    <row r="9" spans="1:4" x14ac:dyDescent="0.3">
      <c r="A9" s="133" t="s">
        <v>308</v>
      </c>
      <c r="D9" s="138">
        <f>SUMPRODUCT(C19:C28,D19:D28)</f>
        <v>0</v>
      </c>
    </row>
    <row r="10" spans="1:4" x14ac:dyDescent="0.3">
      <c r="A10" s="133" t="s">
        <v>309</v>
      </c>
      <c r="D10" s="138">
        <f>D9/D6</f>
        <v>0</v>
      </c>
    </row>
    <row r="11" spans="1:4" x14ac:dyDescent="0.3">
      <c r="A11" s="133" t="s">
        <v>310</v>
      </c>
      <c r="D11" s="138">
        <f>D8-D10</f>
        <v>0</v>
      </c>
    </row>
    <row r="12" spans="1:4" x14ac:dyDescent="0.3">
      <c r="A12" s="133" t="s">
        <v>311</v>
      </c>
      <c r="D12" s="136">
        <v>461.5</v>
      </c>
    </row>
    <row r="13" spans="1:4" x14ac:dyDescent="0.3">
      <c r="A13" s="133"/>
      <c r="D13" s="139"/>
    </row>
    <row r="14" spans="1:4" x14ac:dyDescent="0.3">
      <c r="A14" s="140" t="s">
        <v>312</v>
      </c>
      <c r="C14" s="141"/>
      <c r="D14" s="142">
        <f>D7+D11+D12</f>
        <v>919.71</v>
      </c>
    </row>
    <row r="15" spans="1:4" x14ac:dyDescent="0.3">
      <c r="A15" s="140"/>
      <c r="C15" s="141"/>
      <c r="D15" s="138"/>
    </row>
    <row r="16" spans="1:4" x14ac:dyDescent="0.3">
      <c r="A16" s="129" t="s">
        <v>313</v>
      </c>
      <c r="B16" s="130"/>
      <c r="C16" s="130"/>
      <c r="D16" s="130"/>
    </row>
    <row r="17" spans="1:4" x14ac:dyDescent="0.3">
      <c r="A17" s="131"/>
      <c r="B17" s="132"/>
      <c r="C17" s="132"/>
      <c r="D17" s="132"/>
    </row>
    <row r="18" spans="1:4" x14ac:dyDescent="0.3">
      <c r="B18" s="143" t="s">
        <v>314</v>
      </c>
      <c r="C18" s="143" t="s">
        <v>315</v>
      </c>
      <c r="D18" s="143" t="s">
        <v>316</v>
      </c>
    </row>
    <row r="19" spans="1:4" x14ac:dyDescent="0.3">
      <c r="A19" s="144">
        <v>1</v>
      </c>
      <c r="B19" s="136"/>
      <c r="C19" s="145"/>
      <c r="D19" s="146" t="b">
        <f t="shared" ref="D19:D28" si="0">IF(C19&lt;$E$6,B19)</f>
        <v>0</v>
      </c>
    </row>
    <row r="20" spans="1:4" x14ac:dyDescent="0.3">
      <c r="A20" s="144">
        <f t="shared" ref="A20:A28" si="1">A19+1</f>
        <v>2</v>
      </c>
      <c r="B20" s="136"/>
      <c r="C20" s="136"/>
      <c r="D20" s="146" t="b">
        <f t="shared" si="0"/>
        <v>0</v>
      </c>
    </row>
    <row r="21" spans="1:4" x14ac:dyDescent="0.3">
      <c r="A21" s="144">
        <f t="shared" si="1"/>
        <v>3</v>
      </c>
      <c r="B21" s="136"/>
      <c r="C21" s="136"/>
      <c r="D21" s="146" t="b">
        <f t="shared" si="0"/>
        <v>0</v>
      </c>
    </row>
    <row r="22" spans="1:4" x14ac:dyDescent="0.3">
      <c r="A22" s="144">
        <f t="shared" si="1"/>
        <v>4</v>
      </c>
      <c r="B22" s="136"/>
      <c r="C22" s="136"/>
      <c r="D22" s="146" t="b">
        <f t="shared" si="0"/>
        <v>0</v>
      </c>
    </row>
    <row r="23" spans="1:4" x14ac:dyDescent="0.3">
      <c r="A23" s="144">
        <f t="shared" si="1"/>
        <v>5</v>
      </c>
      <c r="B23" s="136"/>
      <c r="C23" s="136"/>
      <c r="D23" s="146" t="b">
        <f t="shared" si="0"/>
        <v>0</v>
      </c>
    </row>
    <row r="24" spans="1:4" x14ac:dyDescent="0.3">
      <c r="A24" s="144">
        <f t="shared" si="1"/>
        <v>6</v>
      </c>
      <c r="B24" s="136"/>
      <c r="C24" s="136"/>
      <c r="D24" s="146" t="b">
        <f t="shared" si="0"/>
        <v>0</v>
      </c>
    </row>
    <row r="25" spans="1:4" x14ac:dyDescent="0.3">
      <c r="A25" s="144">
        <f t="shared" si="1"/>
        <v>7</v>
      </c>
      <c r="B25" s="136"/>
      <c r="C25" s="136"/>
      <c r="D25" s="146" t="b">
        <f t="shared" si="0"/>
        <v>0</v>
      </c>
    </row>
    <row r="26" spans="1:4" x14ac:dyDescent="0.3">
      <c r="A26" s="144">
        <f t="shared" si="1"/>
        <v>8</v>
      </c>
      <c r="B26" s="136"/>
      <c r="C26" s="136"/>
      <c r="D26" s="146" t="b">
        <f t="shared" si="0"/>
        <v>0</v>
      </c>
    </row>
    <row r="27" spans="1:4" x14ac:dyDescent="0.3">
      <c r="A27" s="144">
        <f t="shared" si="1"/>
        <v>9</v>
      </c>
      <c r="B27" s="136"/>
      <c r="C27" s="136"/>
      <c r="D27" s="146" t="b">
        <f t="shared" si="0"/>
        <v>0</v>
      </c>
    </row>
    <row r="28" spans="1:4" x14ac:dyDescent="0.3">
      <c r="A28" s="144">
        <f t="shared" si="1"/>
        <v>10</v>
      </c>
      <c r="B28" s="136"/>
      <c r="C28" s="136"/>
      <c r="D28" s="146" t="b">
        <f t="shared" si="0"/>
        <v>0</v>
      </c>
    </row>
    <row r="29" spans="1:4" x14ac:dyDescent="0.3">
      <c r="A29" s="147"/>
      <c r="B29" s="148"/>
      <c r="C29" s="148"/>
      <c r="D29" s="149"/>
    </row>
    <row r="30" spans="1:4" x14ac:dyDescent="0.3">
      <c r="A30" s="150" t="s">
        <v>263</v>
      </c>
      <c r="B30" s="151"/>
      <c r="C30" s="151"/>
      <c r="D30" s="152">
        <f>SUM(D19:D28)</f>
        <v>0</v>
      </c>
    </row>
    <row r="32" spans="1:4" x14ac:dyDescent="0.3">
      <c r="A32" s="129" t="s">
        <v>317</v>
      </c>
      <c r="B32" s="130"/>
      <c r="C32" s="130"/>
      <c r="D32" s="130"/>
    </row>
    <row r="33" spans="1:4" x14ac:dyDescent="0.3">
      <c r="D33" s="61"/>
    </row>
    <row r="34" spans="1:4" x14ac:dyDescent="0.3">
      <c r="A34" t="s">
        <v>318</v>
      </c>
      <c r="D34" s="153">
        <v>0</v>
      </c>
    </row>
    <row r="35" spans="1:4" x14ac:dyDescent="0.3">
      <c r="A35" t="s">
        <v>319</v>
      </c>
      <c r="D35" s="153">
        <v>0</v>
      </c>
    </row>
    <row r="36" spans="1:4" x14ac:dyDescent="0.3">
      <c r="A36" t="s">
        <v>320</v>
      </c>
      <c r="D36" s="154">
        <f>IFERROR(D34/D37,0)</f>
        <v>0</v>
      </c>
    </row>
    <row r="37" spans="1:4" x14ac:dyDescent="0.3">
      <c r="A37" t="s">
        <v>321</v>
      </c>
      <c r="D37" s="154">
        <f>D34*D35/1000</f>
        <v>0</v>
      </c>
    </row>
    <row r="39" spans="1:4" x14ac:dyDescent="0.3">
      <c r="A39" t="s">
        <v>322</v>
      </c>
      <c r="B39" s="61"/>
      <c r="D39" s="155">
        <f>IF(D6&gt;D36,D37,0)</f>
        <v>0</v>
      </c>
    </row>
    <row r="40" spans="1:4" x14ac:dyDescent="0.3">
      <c r="A40" s="55" t="s">
        <v>323</v>
      </c>
      <c r="B40" s="55"/>
      <c r="D40" s="156">
        <f>-D34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D586A6-E57D-4A21-BFE7-56388C5B87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Income Statement</vt:lpstr>
      <vt:lpstr>Common sized IS</vt:lpstr>
      <vt:lpstr>Balance Sheet</vt:lpstr>
      <vt:lpstr>Profitability</vt:lpstr>
      <vt:lpstr>DCF</vt:lpstr>
      <vt:lpstr>WACC</vt:lpstr>
      <vt:lpstr>Comps</vt:lpstr>
      <vt:lpstr>Shares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Shamiksha Pai</cp:lastModifiedBy>
  <dcterms:created xsi:type="dcterms:W3CDTF">2013-04-03T15:49:21Z</dcterms:created>
  <dcterms:modified xsi:type="dcterms:W3CDTF">2025-04-06T03:35:37Z</dcterms:modified>
</cp:coreProperties>
</file>