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 Research\2023\Lime_Calculator_versions\Lime_calculator_Excel\"/>
    </mc:Choice>
  </mc:AlternateContent>
  <xr:revisionPtr revIDLastSave="0" documentId="13_ncr:1_{C4383ABB-87C3-410C-99BF-66BFF5E7B7AE}" xr6:coauthVersionLast="47" xr6:coauthVersionMax="47" xr10:uidLastSave="{00000000-0000-0000-0000-000000000000}"/>
  <bookViews>
    <workbookView xWindow="-120" yWindow="-120" windowWidth="20730" windowHeight="11310" xr2:uid="{067B446C-CA78-4396-A395-3D084C8452DA}"/>
  </bookViews>
  <sheets>
    <sheet name="Dashborad" sheetId="3" r:id="rId1"/>
    <sheet name="Data" sheetId="6" r:id="rId2"/>
  </sheets>
  <definedNames>
    <definedName name="Cost____acre">_xlfn.ANCHORARRAY(Data!$AD$2)</definedName>
    <definedName name="ENP">_xlfn.ANCHORARRAY(Data!$AB$2)</definedName>
    <definedName name="ENP__lb_ton">_xlfn.ANCHORARRAY(Data!#REF!)</definedName>
    <definedName name="FI">_xlfn.ANCHORARRAY(Data!$AA$2)</definedName>
    <definedName name="Lime_Amount__T_acre">_xlfn.ANCHORARRAY(Data!$AC$2)</definedName>
    <definedName name="Lime_Source">_xlfn.ANCHORARRAY(Data!$V$2)</definedName>
    <definedName name="Name1">Dashborad!$C$4</definedName>
    <definedName name="Name2">Dashborad!$D$4</definedName>
    <definedName name="Name3">Dashborad!$E$4</definedName>
    <definedName name="RNV0">_xlfn.ANCHORARRAY(Data!$W$2)</definedName>
    <definedName name="RNV100_">_xlfn.ANCHORARRAY(Data!$Z$2)</definedName>
    <definedName name="RNV20_">_xlfn.ANCHORARRAY(Data!$X$2)</definedName>
    <definedName name="RNV60_">_xlfn.ANCHORARRAY(Data!$Y$2)</definedName>
    <definedName name="SampleN">Dashborad!$D$3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/>
  <c r="C3" i="6"/>
  <c r="C2" i="6"/>
  <c r="H2" i="6"/>
  <c r="B2" i="6"/>
  <c r="R4" i="6"/>
  <c r="R3" i="6"/>
  <c r="R2" i="6"/>
  <c r="Q3" i="6"/>
  <c r="Q4" i="6"/>
  <c r="Q2" i="6"/>
  <c r="P3" i="6"/>
  <c r="P4" i="6"/>
  <c r="P2" i="6"/>
  <c r="N3" i="6"/>
  <c r="N4" i="6"/>
  <c r="N2" i="6"/>
  <c r="F3" i="6" l="1"/>
  <c r="F4" i="6"/>
  <c r="F2" i="6"/>
  <c r="D3" i="6"/>
  <c r="J3" i="6" s="1"/>
  <c r="D4" i="6"/>
  <c r="J4" i="6" s="1"/>
  <c r="J2" i="6"/>
  <c r="C4" i="6"/>
  <c r="B4" i="6"/>
  <c r="B3" i="6"/>
  <c r="I2" i="6"/>
  <c r="I3" i="6"/>
  <c r="I4" i="6"/>
  <c r="K2" i="6" l="1"/>
  <c r="L2" i="6" s="1"/>
  <c r="M2" i="6" s="1"/>
  <c r="O2" i="6" s="1"/>
  <c r="K3" i="6"/>
  <c r="L3" i="6" s="1"/>
  <c r="M3" i="6" s="1"/>
  <c r="O3" i="6" s="1"/>
  <c r="G4" i="6"/>
  <c r="K4" i="6"/>
  <c r="L4" i="6" s="1"/>
  <c r="M4" i="6" s="1"/>
  <c r="O4" i="6" s="1"/>
  <c r="S4" i="6" s="1"/>
  <c r="H3" i="6"/>
  <c r="G3" i="6"/>
  <c r="H4" i="6"/>
  <c r="G2" i="6"/>
  <c r="S3" i="6" l="1"/>
  <c r="S2" i="6"/>
  <c r="A4" i="6"/>
  <c r="A3" i="6"/>
  <c r="A2" i="6"/>
  <c r="AB2" i="6" l="1" a="1"/>
  <c r="AB2" i="6" s="1"/>
  <c r="Z2" i="6" a="1"/>
  <c r="Z2" i="6" s="1"/>
  <c r="AA2" i="6" a="1"/>
  <c r="AA2" i="6" s="1"/>
  <c r="X2" i="6" a="1"/>
  <c r="X2" i="6" s="1"/>
  <c r="Y2" i="6" a="1"/>
  <c r="Y2" i="6" s="1"/>
  <c r="W2" i="6" a="1"/>
  <c r="W2" i="6" s="1"/>
  <c r="V2" i="6" a="1"/>
  <c r="V2" i="6" s="1"/>
  <c r="AD2" i="6" l="1" a="1"/>
  <c r="AD2" i="6" s="1"/>
  <c r="AC2" i="6" a="1"/>
  <c r="AC2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tc={4E9A87E4-2E28-433E-8EEE-6EF0BFEDA98B}</author>
    <author>tc={F35DEAC8-0E19-495F-9C6C-ED0BFEF66066}</author>
    <author>tc={E3E0D06B-DFBD-47DF-9854-2E1F99D8D665}</author>
  </authors>
  <commentList>
    <comment ref="B14" authorId="0" shapeId="0" xr:uid="{4E9A87E4-2E28-433E-8EEE-6EF0BFEDA98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amount of lime recommend based on soil test (assuming the neutralizing power is 100%)</t>
      </text>
    </comment>
    <comment ref="B18" authorId="1" shapeId="0" xr:uid="{F35DEAC8-0E19-495F-9C6C-ED0BFEF6606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prices of shipment</t>
      </text>
    </comment>
    <comment ref="B20" authorId="2" shapeId="0" xr:uid="{E3E0D06B-DFBD-47DF-9854-2E1F99D8D66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price of lime application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tc={DE58EB48-5CF1-4915-AA37-5616EE96C20A}</author>
    <author>tc={08B91F55-5D0A-40DB-9245-0A7D92BDBD21}</author>
    <author>tc={D8840C89-57F0-4E8D-9959-BD041B25E6BD}</author>
    <author>tc={D5EF2B7F-1A6F-487B-AE1E-582B12FE0229}</author>
    <author>tc={8E6D0D8B-7D67-4B4F-B3BE-5BF3188F87A6}</author>
    <author>tc={4FAFEF68-9E88-46B3-9BDF-A4CB386CA4CD}</author>
  </authors>
  <commentList>
    <comment ref="E1" authorId="0" shapeId="0" xr:uid="{DE58EB48-5CF1-4915-AA37-5616EE96C20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value is not used. So if you do not know, leave it blank</t>
      </text>
    </comment>
    <comment ref="F1" authorId="1" shapeId="0" xr:uid="{08B91F55-5D0A-40DB-9245-0A7D92BDBD21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can fit it in lime vendor's place or UK website</t>
      </text>
    </comment>
    <comment ref="K1" authorId="2" shapeId="0" xr:uid="{D8840C89-57F0-4E8D-9959-BD041B25E6BD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Fineness Efficiency Value</t>
      </text>
    </comment>
    <comment ref="M1" authorId="3" shapeId="0" xr:uid="{D5EF2B7F-1A6F-487B-AE1E-582B12FE0229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year application rate</t>
      </text>
    </comment>
    <comment ref="N1" authorId="4" shapeId="0" xr:uid="{8E6D0D8B-7D67-4B4F-B3BE-5BF3188F87A6}">
      <text>
        <t>[Threaded comment]
Your version of Excel allows you to read this threaded comment; however, any edits to it will get removed if the file is opened in a newer version of Excel. Learn more: https://go.microsoft.com/fwlink/?linkid=870924
Comment:
    Amount recommend after soil test, assuming that the product is 100% efficient</t>
      </text>
    </comment>
    <comment ref="P1" authorId="5" shapeId="0" xr:uid="{4FAFEF68-9E88-46B3-9BDF-A4CB386CA4C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price of lime at a vendor's place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<sst xmlns="http://schemas.openxmlformats.org/spreadsheetml/2006/main" count="43" uniqueCount="34">
  <si>
    <t>Lime Source</t>
  </si>
  <si>
    <t>RNV</t>
  </si>
  <si>
    <t>Lime Amount
(T/acre)</t>
  </si>
  <si>
    <t>Cost
($/acre)</t>
  </si>
  <si>
    <t>CCE</t>
  </si>
  <si>
    <t>This is a make-up table for charts in Dashboard. Please keep it intact</t>
  </si>
  <si>
    <t>Source</t>
  </si>
  <si>
    <t>Lime  Data</t>
  </si>
  <si>
    <t>Sample Number</t>
  </si>
  <si>
    <t>Sample 3</t>
  </si>
  <si>
    <t>Sample 1</t>
  </si>
  <si>
    <t>Sample 2</t>
  </si>
  <si>
    <t>Projected Cost Per Acre based on Product ENP</t>
  </si>
  <si>
    <t>Actual Tons/Acre required (based on ENP of lime)</t>
  </si>
  <si>
    <t>Spreading Cost Per Ton</t>
  </si>
  <si>
    <t>Aglime Cost Per Ton</t>
  </si>
  <si>
    <t>Input Recommended Tons of Lime / Acre</t>
  </si>
  <si>
    <t>&lt; #100</t>
  </si>
  <si>
    <t>&lt; #60</t>
  </si>
  <si>
    <t>&lt; #8</t>
  </si>
  <si>
    <t>RNV0</t>
  </si>
  <si>
    <t>RNV20</t>
  </si>
  <si>
    <t>RNV60</t>
  </si>
  <si>
    <t>RNV100</t>
  </si>
  <si>
    <t>Rec. Amt.</t>
  </si>
  <si>
    <t>Lime ($)</t>
  </si>
  <si>
    <t>App ($)</t>
  </si>
  <si>
    <t>Ship ($)</t>
  </si>
  <si>
    <t>TFEV</t>
  </si>
  <si>
    <t>OYAR</t>
  </si>
  <si>
    <t>Delivery Cost Per Ton</t>
  </si>
  <si>
    <t>&lt; #30</t>
  </si>
  <si>
    <t>RNV (%)</t>
  </si>
  <si>
    <t>RNV30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</si>
</sst>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 (Body)_x0000_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horizontal="center" vertical="center"/>
    </xf>
    <xf numFmtId="0" fontId="0" fillId="3" borderId="0" xfId="0" applyFill="1"/>
    <xf numFmtId="0" fontId="3" fillId="3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hidden="1"/>
    </xf>
    <xf numFmtId="0" fontId="4" fillId="2" borderId="1" xfId="0" applyFont="1" applyFill="1" applyBorder="1" applyAlignment="1" applyProtection="1">
      <alignment horizontal="center" vertical="center" wrapText="1"/>
      <protection hidden="1"/>
    </xf>
    <xf numFmtId="0" fontId="4" fillId="2" borderId="3" xfId="0" applyFont="1" applyFill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0" fillId="0" borderId="0" xfId="0" applyNumberFormat="1" applyProtection="1">
      <protection hidden="1"/>
    </xf>
    <xf numFmtId="0" fontId="2" fillId="0" borderId="0" xfId="0" applyFont="1" applyProtection="1">
      <protection hidden="1"/>
    </xf>
    <xf numFmtId="0" fontId="3" fillId="2" borderId="1" xfId="0" applyFont="1" applyFill="1" applyBorder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7" fillId="6" borderId="0" xfId="0" applyFont="1" applyFill="1"/>
    <xf numFmtId="0" fontId="6" fillId="7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 applyProtection="1">
      <alignment horizontal="center" vertical="center"/>
      <protection locked="0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6" borderId="7" xfId="0" applyFill="1" applyBorder="1"/>
    <xf numFmtId="0" fontId="6" fillId="7" borderId="9" xfId="0" applyFont="1" applyFill="1" applyBorder="1" applyAlignment="1">
      <alignment horizontal="center" vertical="center"/>
    </xf>
    <xf numFmtId="0" fontId="1" fillId="7" borderId="9" xfId="0" applyFont="1" applyFill="1" applyBorder="1" applyAlignment="1" applyProtection="1">
      <alignment horizontal="center" vertical="center"/>
      <protection locked="0"/>
    </xf>
    <xf numFmtId="2" fontId="0" fillId="0" borderId="0" xfId="1" applyNumberFormat="1" applyFont="1" applyFill="1" applyProtection="1">
      <protection hidden="1"/>
    </xf>
    <xf numFmtId="2" fontId="0" fillId="0" borderId="0" xfId="1" applyNumberFormat="1" applyFont="1" applyProtection="1">
      <protection hidden="1"/>
    </xf>
    <xf numFmtId="0" fontId="2" fillId="4" borderId="6" xfId="0" applyFont="1" applyFill="1" applyBorder="1" applyProtection="1">
      <protection locked="0"/>
    </xf>
    <xf numFmtId="0" fontId="2" fillId="4" borderId="0" xfId="0" applyFont="1" applyFill="1" applyProtection="1">
      <protection locked="0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6" borderId="0" xfId="0" applyFont="1" applyFill="1"/>
    <xf numFmtId="0" fontId="0" fillId="4" borderId="0" xfId="0" applyFill="1"/>
    <xf numFmtId="0" fontId="2" fillId="0" borderId="0" xfId="0" applyFont="1"/>
    <xf numFmtId="0" fontId="0" fillId="0" borderId="0" xfId="0" applyProtection="1">
      <protection locked="0"/>
    </xf>
    <xf numFmtId="0" fontId="8" fillId="2" borderId="11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 vertical="center"/>
      <protection locked="0"/>
    </xf>
    <xf numFmtId="0" fontId="9" fillId="6" borderId="7" xfId="0" applyFont="1" applyFill="1" applyBorder="1" applyAlignment="1">
      <alignment horizontal="left" vertical="center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2" borderId="10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ercent" xfId="1" builtinId="5"/>
  </cellStyles>
  <dxfs count="21">
    <dxf>
      <font>
        <b/>
      </font>
      <numFmt numFmtId="2" formatCode="0.00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</border>
      <protection locked="1" hidden="1"/>
    </dxf>
    <dxf>
      <font>
        <b/>
      </font>
      <numFmt numFmtId="2" formatCode="0.00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</border>
      <protection locked="0" hidden="0"/>
    </dxf>
    <dxf>
      <font>
        <b/>
      </font>
      <numFmt numFmtId="2" formatCode="0.00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</border>
      <protection locked="0" hidden="0"/>
    </dxf>
    <dxf>
      <font>
        <b/>
      </font>
      <numFmt numFmtId="2" formatCode="0.00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protection locked="0" hidden="0"/>
    </dxf>
    <dxf>
      <numFmt numFmtId="2" formatCode="0.00"/>
      <fill>
        <patternFill patternType="none">
          <fgColor indexed="64"/>
          <bgColor indexed="65"/>
        </patternFill>
      </fill>
      <protection locked="1" hidden="1"/>
    </dxf>
    <dxf>
      <numFmt numFmtId="2" formatCode="0.00"/>
      <fill>
        <patternFill patternType="solid">
          <fgColor indexed="64"/>
          <bgColor theme="7" tint="0.59999389629810485"/>
        </patternFill>
      </fill>
      <protection locked="0" hidden="0"/>
    </dxf>
    <dxf>
      <numFmt numFmtId="2" formatCode="0.00"/>
      <protection locked="1" hidden="1"/>
    </dxf>
    <dxf>
      <numFmt numFmtId="2" formatCode="0.00"/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7" tint="0.59999389629810485"/>
        </patternFill>
      </fill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>
        <left/>
        <right/>
        <top style="thin">
          <color theme="1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>
        <left/>
        <right/>
        <top style="thin">
          <color theme="1"/>
        </top>
        <bottom/>
      </border>
      <protection locked="0" hidden="0"/>
    </dxf>
    <dxf>
      <font>
        <b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</border>
      <protection locked="0" hidden="0"/>
    </dxf>
    <dxf>
      <font>
        <b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</border>
      <protection locked="0" hidden="0"/>
    </dxf>
    <dxf>
      <font>
        <b/>
      </font>
      <numFmt numFmtId="0" formatCode="General"/>
      <fill>
        <patternFill patternType="none">
          <fgColor indexed="64"/>
          <bgColor auto="1"/>
        </patternFill>
      </fill>
      <protection locked="1" hidden="1"/>
    </dxf>
    <dxf>
      <border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colors>
    <mruColors>
      <color rgb="FF2718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852626977285947"/>
          <c:y val="0"/>
          <c:w val="0.78147375909605199"/>
          <c:h val="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841-674B-BD72-E6C074A007A1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841-674B-BD72-E6C074A007A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841-674B-BD72-E6C074A007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[0]!Lime_Source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[0]!RNV0</c:f>
              <c:numCache>
                <c:formatCode>0.00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Effectivenes0</c:v>
                </c15:tx>
              </c15:filteredSeriesTitle>
            </c:ext>
            <c:ext xmlns:c16="http://schemas.microsoft.com/office/drawing/2014/chart" uri="{C3380CC4-5D6E-409C-BE32-E72D297353CC}">
              <c16:uniqueId val="{00000008-E841-674B-BD72-E6C074A007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overlap val="16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solidFill>
            <a:schemeClr val="accent6">
              <a:lumMod val="20000"/>
              <a:lumOff val="80000"/>
            </a:schemeClr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ax val="100"/>
        </c:scaling>
        <c:delete val="1"/>
        <c:axPos val="t"/>
        <c:numFmt formatCode="0.00" sourceLinked="1"/>
        <c:majorTickMark val="none"/>
        <c:minorTickMark val="none"/>
        <c:tickLblPos val="nextTo"/>
        <c:crossAx val="721001832"/>
        <c:crosses val="autoZero"/>
        <c:crossBetween val="between"/>
      </c:valAx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prstDash val="sysDot"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74846574835084"/>
          <c:y val="0"/>
          <c:w val="0.77225146286728519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Effectiveness50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2FF-D642-AC1E-2141FDF89A2F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2FF-D642-AC1E-2141FDF89A2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2FF-D642-AC1E-2141FDF89A2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[0]!Lime_Source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[0]!RNV20_</c:f>
              <c:numCache>
                <c:formatCode>0.00</c:formatCode>
                <c:ptCount val="3"/>
                <c:pt idx="0">
                  <c:v>40</c:v>
                </c:pt>
                <c:pt idx="1">
                  <c:v>40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2FF-D642-AC1E-2141FDF89A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ax val="100"/>
        </c:scaling>
        <c:delete val="1"/>
        <c:axPos val="t"/>
        <c:numFmt formatCode="0.00" sourceLinked="1"/>
        <c:majorTickMark val="none"/>
        <c:minorTickMark val="none"/>
        <c:tickLblPos val="nextTo"/>
        <c:crossAx val="721001832"/>
        <c:crosses val="autoZero"/>
        <c:crossBetween val="between"/>
      </c:valAx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91551798305496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Effectiveness100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8D7-4639-86DD-20FD36A3CD43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8B6-7F46-BC30-80CD3AA56C4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8B6-7F46-BC30-80CD3AA56C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[0]!Lime_Source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[0]!RNV60_</c:f>
              <c:numCache>
                <c:formatCode>0.00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8B6-7F46-BC30-80CD3AA56C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ax val="100"/>
        </c:scaling>
        <c:delete val="1"/>
        <c:axPos val="t"/>
        <c:numFmt formatCode="0.00" sourceLinked="1"/>
        <c:majorTickMark val="none"/>
        <c:minorTickMark val="none"/>
        <c:tickLblPos val="nextTo"/>
        <c:crossAx val="721001832"/>
        <c:crosses val="autoZero"/>
        <c:crossBetween val="between"/>
      </c:valAx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91551798305496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Effectiveness100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F68-4134-BCD7-22874E372185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F68-4134-BCD7-22874E37218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F68-4134-BCD7-22874E37218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[0]!Lime_Source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[0]!RNV100_</c:f>
              <c:numCache>
                <c:formatCode>0.00</c:formatCode>
                <c:ptCount val="3"/>
                <c:pt idx="0">
                  <c:v>40</c:v>
                </c:pt>
                <c:pt idx="1">
                  <c:v>35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68-4134-BCD7-22874E3721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ax val="100"/>
        </c:scaling>
        <c:delete val="1"/>
        <c:axPos val="t"/>
        <c:numFmt formatCode="0.00" sourceLinked="1"/>
        <c:majorTickMark val="none"/>
        <c:minorTickMark val="none"/>
        <c:tickLblPos val="nextTo"/>
        <c:crossAx val="721001832"/>
        <c:crosses val="autoZero"/>
        <c:crossBetween val="between"/>
      </c:valAx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74846574835084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Effectivenes0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6DF-ED41-853E-9352E4D957F3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6DF-ED41-853E-9352E4D957F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6DF-ED41-853E-9352E4D957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[0]!Lime_Source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[0]!ENP</c:f>
              <c:numCache>
                <c:formatCode>0.00</c:formatCode>
                <c:ptCount val="3"/>
                <c:pt idx="0">
                  <c:v>50.825000000000003</c:v>
                </c:pt>
                <c:pt idx="1">
                  <c:v>43.875</c:v>
                </c:pt>
                <c:pt idx="2">
                  <c:v>37.4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6DF-ED41-853E-9352E4D957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overlap val="16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ax val="100"/>
        </c:scaling>
        <c:delete val="1"/>
        <c:axPos val="t"/>
        <c:numFmt formatCode="0.00" sourceLinked="1"/>
        <c:majorTickMark val="none"/>
        <c:minorTickMark val="none"/>
        <c:tickLblPos val="nextTo"/>
        <c:crossAx val="721001832"/>
        <c:crosses val="autoZero"/>
        <c:crossBetween val="between"/>
      </c:valAx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74846574835084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Lime_Amount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089-4345-8097-620B6B4612B2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089-4345-8097-620B6B4612B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089-4345-8097-620B6B4612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[0]!Lime_Source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[0]!Lime_Amount__T_acre</c:f>
              <c:numCache>
                <c:formatCode>0.00</c:formatCode>
                <c:ptCount val="3"/>
                <c:pt idx="0">
                  <c:v>1.823905558288244</c:v>
                </c:pt>
                <c:pt idx="1">
                  <c:v>2.641025641025641</c:v>
                </c:pt>
                <c:pt idx="2">
                  <c:v>3.7179144385026746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89-4345-8097-620B6B4612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</c:scaling>
        <c:delete val="1"/>
        <c:axPos val="t"/>
        <c:numFmt formatCode="0.00" sourceLinked="1"/>
        <c:majorTickMark val="out"/>
        <c:minorTickMark val="none"/>
        <c:tickLblPos val="nextTo"/>
        <c:crossAx val="721001832"/>
        <c:crosses val="autoZero"/>
        <c:crossBetween val="between"/>
      </c:valAx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91551798305496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Lime_cost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120-2B4D-873F-375507E33C8E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120-2B4D-873F-375507E33C8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120-2B4D-873F-375507E33C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[0]!Lime_Source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[0]!Cost____acre</c:f>
              <c:numCache>
                <c:formatCode>0.00</c:formatCode>
                <c:ptCount val="3"/>
                <c:pt idx="0">
                  <c:v>25.534677816035416</c:v>
                </c:pt>
                <c:pt idx="1">
                  <c:v>36.974358974358971</c:v>
                </c:pt>
                <c:pt idx="2">
                  <c:v>52.050802139037444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120-2B4D-873F-375507E33C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in val="0"/>
        </c:scaling>
        <c:delete val="1"/>
        <c:axPos val="t"/>
        <c:numFmt formatCode="0.00" sourceLinked="1"/>
        <c:majorTickMark val="out"/>
        <c:minorTickMark val="none"/>
        <c:tickLblPos val="nextTo"/>
        <c:crossAx val="721001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74846574835084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Effectivenes0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D70-484E-98D1-AB85B19779C4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D70-484E-98D1-AB85B19779C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D70-484E-98D1-AB85B19779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[0]!Lime_Source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[0]!FI</c:f>
              <c:numCache>
                <c:formatCode>0.00</c:formatCode>
                <c:ptCount val="3"/>
                <c:pt idx="0">
                  <c:v>53.5</c:v>
                </c:pt>
                <c:pt idx="1">
                  <c:v>48.75</c:v>
                </c:pt>
                <c:pt idx="2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D70-484E-98D1-AB85B19779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overlap val="16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ax val="100"/>
        </c:scaling>
        <c:delete val="1"/>
        <c:axPos val="t"/>
        <c:numFmt formatCode="0.00" sourceLinked="1"/>
        <c:majorTickMark val="none"/>
        <c:minorTickMark val="none"/>
        <c:tickLblPos val="nextTo"/>
        <c:crossAx val="721001832"/>
        <c:crosses val="autoZero"/>
        <c:crossBetween val="between"/>
      </c:valAx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336966</xdr:colOff>
      <xdr:row>2</xdr:row>
      <xdr:rowOff>114699</xdr:rowOff>
    </xdr:from>
    <xdr:to>
      <xdr:col>24</xdr:col>
      <xdr:colOff>329455</xdr:colOff>
      <xdr:row>25</xdr:row>
      <xdr:rowOff>124061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2A9D7985-B9F3-3C4A-BEA1-FF5D73E221C1}"/>
            </a:ext>
          </a:extLst>
        </xdr:cNvPr>
        <xdr:cNvSpPr/>
      </xdr:nvSpPr>
      <xdr:spPr>
        <a:xfrm>
          <a:off x="13073252" y="577342"/>
          <a:ext cx="3054096" cy="460857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353811</xdr:colOff>
      <xdr:row>2</xdr:row>
      <xdr:rowOff>114699</xdr:rowOff>
    </xdr:from>
    <xdr:to>
      <xdr:col>9</xdr:col>
      <xdr:colOff>313784</xdr:colOff>
      <xdr:row>20</xdr:row>
      <xdr:rowOff>6495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9B573B17-0977-2145-A259-9DF3A000757B}"/>
            </a:ext>
          </a:extLst>
        </xdr:cNvPr>
        <xdr:cNvSpPr/>
      </xdr:nvSpPr>
      <xdr:spPr>
        <a:xfrm>
          <a:off x="7511193" y="577342"/>
          <a:ext cx="3049589" cy="465429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264757</xdr:colOff>
      <xdr:row>0</xdr:row>
      <xdr:rowOff>113560</xdr:rowOff>
    </xdr:from>
    <xdr:to>
      <xdr:col>9</xdr:col>
      <xdr:colOff>366522</xdr:colOff>
      <xdr:row>22</xdr:row>
      <xdr:rowOff>53957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8F292826-9A68-2D5E-01B2-25A55F05B7F7}"/>
            </a:ext>
          </a:extLst>
        </xdr:cNvPr>
        <xdr:cNvGrpSpPr/>
      </xdr:nvGrpSpPr>
      <xdr:grpSpPr>
        <a:xfrm>
          <a:off x="4638871" y="113560"/>
          <a:ext cx="6027387" cy="4648468"/>
          <a:chOff x="7444664" y="351685"/>
          <a:chExt cx="6032830" cy="4560022"/>
        </a:xfrm>
      </xdr:grpSpPr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94F43735-CD4B-7A72-02B8-606C8C5EB4CF}"/>
              </a:ext>
            </a:extLst>
          </xdr:cNvPr>
          <xdr:cNvGrpSpPr/>
        </xdr:nvGrpSpPr>
        <xdr:grpSpPr>
          <a:xfrm>
            <a:off x="7444664" y="351685"/>
            <a:ext cx="2942784" cy="4560022"/>
            <a:chOff x="7428335" y="351685"/>
            <a:chExt cx="2948227" cy="4663436"/>
          </a:xfrm>
        </xdr:grpSpPr>
        <xdr:sp macro="" textlink="">
          <xdr:nvSpPr>
            <xdr:cNvPr id="59" name="Rectangle: Rounded Corners 10">
              <a:extLst>
                <a:ext uri="{FF2B5EF4-FFF2-40B4-BE49-F238E27FC236}">
                  <a16:creationId xmlns:a16="http://schemas.microsoft.com/office/drawing/2014/main" id="{527E5F07-E3E1-C243-A330-497B13E527AF}"/>
                </a:ext>
              </a:extLst>
            </xdr:cNvPr>
            <xdr:cNvSpPr/>
          </xdr:nvSpPr>
          <xdr:spPr>
            <a:xfrm>
              <a:off x="7782691" y="351685"/>
              <a:ext cx="2449879" cy="265176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400" b="1" baseline="0">
                  <a:solidFill>
                    <a:sysClr val="windowText" lastClr="000000"/>
                  </a:solidFill>
                </a:rPr>
                <a:t>Fineness (%)</a:t>
              </a:r>
              <a:endParaRPr lang="en-US" sz="1400" b="1">
                <a:solidFill>
                  <a:sysClr val="windowText" lastClr="000000"/>
                </a:solidFill>
              </a:endParaRPr>
            </a:p>
          </xdr:txBody>
        </xdr:sp>
        <xdr:graphicFrame macro="">
          <xdr:nvGraphicFramePr>
            <xdr:cNvPr id="62" name="Chart 61">
              <a:extLst>
                <a:ext uri="{FF2B5EF4-FFF2-40B4-BE49-F238E27FC236}">
                  <a16:creationId xmlns:a16="http://schemas.microsoft.com/office/drawing/2014/main" id="{F1C92E15-663E-5E45-9D63-53C3F3F347E0}"/>
                </a:ext>
              </a:extLst>
            </xdr:cNvPr>
            <xdr:cNvGraphicFramePr/>
          </xdr:nvGraphicFramePr>
          <xdr:xfrm>
            <a:off x="7428335" y="656785"/>
            <a:ext cx="2926081" cy="80350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63" name="Chart 62">
              <a:extLst>
                <a:ext uri="{FF2B5EF4-FFF2-40B4-BE49-F238E27FC236}">
                  <a16:creationId xmlns:a16="http://schemas.microsoft.com/office/drawing/2014/main" id="{8EDF499C-42AA-5443-9167-F81A7321AE22}"/>
                </a:ext>
              </a:extLst>
            </xdr:cNvPr>
            <xdr:cNvGraphicFramePr>
              <a:graphicFrameLocks/>
            </xdr:cNvGraphicFramePr>
          </xdr:nvGraphicFramePr>
          <xdr:xfrm>
            <a:off x="7450483" y="1824432"/>
            <a:ext cx="2926079" cy="80467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64" name="Chart 63">
              <a:extLst>
                <a:ext uri="{FF2B5EF4-FFF2-40B4-BE49-F238E27FC236}">
                  <a16:creationId xmlns:a16="http://schemas.microsoft.com/office/drawing/2014/main" id="{851FD67C-13B3-8740-AE6D-EF7ADC704359}"/>
                </a:ext>
              </a:extLst>
            </xdr:cNvPr>
            <xdr:cNvGraphicFramePr>
              <a:graphicFrameLocks/>
            </xdr:cNvGraphicFramePr>
          </xdr:nvGraphicFramePr>
          <xdr:xfrm>
            <a:off x="7450483" y="3017439"/>
            <a:ext cx="2926079" cy="80467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">
          <xdr:nvSpPr>
            <xdr:cNvPr id="65" name="Rectangle: Rounded Corners 7">
              <a:extLst>
                <a:ext uri="{FF2B5EF4-FFF2-40B4-BE49-F238E27FC236}">
                  <a16:creationId xmlns:a16="http://schemas.microsoft.com/office/drawing/2014/main" id="{FEC843F6-6A80-6840-ADF1-D68D347FD9E4}"/>
                </a:ext>
              </a:extLst>
            </xdr:cNvPr>
            <xdr:cNvSpPr/>
          </xdr:nvSpPr>
          <xdr:spPr>
            <a:xfrm>
              <a:off x="7506389" y="1500216"/>
              <a:ext cx="2814267" cy="284292"/>
            </a:xfrm>
            <a:prstGeom prst="roundRect">
              <a:avLst>
                <a:gd name="adj" fmla="val 43482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#8 Sieve </a:t>
              </a:r>
              <a:r>
                <a:rPr lang="en-US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 - - - - - - - - - - - - - - - - - - - - - - - -</a:t>
              </a:r>
              <a:endParaRPr lang="en-US" b="1">
                <a:solidFill>
                  <a:schemeClr val="tx1"/>
                </a:solidFill>
                <a:effectLst/>
              </a:endParaRPr>
            </a:p>
          </xdr:txBody>
        </xdr:sp>
        <xdr:sp macro="" textlink="">
          <xdr:nvSpPr>
            <xdr:cNvPr id="66" name="Rectangle: Rounded Corners 8">
              <a:extLst>
                <a:ext uri="{FF2B5EF4-FFF2-40B4-BE49-F238E27FC236}">
                  <a16:creationId xmlns:a16="http://schemas.microsoft.com/office/drawing/2014/main" id="{F17BCB27-1089-114B-8DBF-14298793DABF}"/>
                </a:ext>
              </a:extLst>
            </xdr:cNvPr>
            <xdr:cNvSpPr/>
          </xdr:nvSpPr>
          <xdr:spPr>
            <a:xfrm>
              <a:off x="7542735" y="2669028"/>
              <a:ext cx="2741575" cy="308487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l"/>
              <a:r>
                <a:rPr lang="en-US" sz="1100" b="1">
                  <a:solidFill>
                    <a:sysClr val="windowText" lastClr="000000"/>
                  </a:solidFill>
                </a:rPr>
                <a:t>#30 Sieve </a:t>
              </a:r>
              <a:r>
                <a:rPr lang="en-US" sz="1100" b="1" baseline="0">
                  <a:solidFill>
                    <a:sysClr val="windowText" lastClr="000000"/>
                  </a:solidFill>
                </a:rPr>
                <a:t>- - - - - - - - - - - - - - - - - - - - - - - - -</a:t>
              </a:r>
              <a:endParaRPr lang="en-US" sz="1100" b="1">
                <a:solidFill>
                  <a:sysClr val="windowText" lastClr="000000"/>
                </a:solidFill>
              </a:endParaRPr>
            </a:p>
          </xdr:txBody>
        </xdr:sp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BF15260-3826-4C26-8142-0173178251EF}"/>
                </a:ext>
              </a:extLst>
            </xdr:cNvPr>
            <xdr:cNvGraphicFramePr>
              <a:graphicFrameLocks/>
            </xdr:cNvGraphicFramePr>
          </xdr:nvGraphicFramePr>
          <xdr:xfrm>
            <a:off x="7450483" y="4210449"/>
            <a:ext cx="2926079" cy="80467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sp macro="" textlink="">
          <xdr:nvSpPr>
            <xdr:cNvPr id="4" name="Rectangle: Rounded Corners 8">
              <a:extLst>
                <a:ext uri="{FF2B5EF4-FFF2-40B4-BE49-F238E27FC236}">
                  <a16:creationId xmlns:a16="http://schemas.microsoft.com/office/drawing/2014/main" id="{643516D7-4369-4D7A-B4EF-29BE9C8DC791}"/>
                </a:ext>
              </a:extLst>
            </xdr:cNvPr>
            <xdr:cNvSpPr/>
          </xdr:nvSpPr>
          <xdr:spPr>
            <a:xfrm>
              <a:off x="7542735" y="3862035"/>
              <a:ext cx="2741575" cy="308487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l"/>
              <a:r>
                <a:rPr lang="en-US" sz="1100" b="1">
                  <a:solidFill>
                    <a:sysClr val="windowText" lastClr="000000"/>
                  </a:solidFill>
                </a:rPr>
                <a:t>#60 Sieve </a:t>
              </a:r>
              <a:r>
                <a:rPr lang="en-US" sz="1100" b="1" baseline="0">
                  <a:solidFill>
                    <a:sysClr val="windowText" lastClr="000000"/>
                  </a:solidFill>
                </a:rPr>
                <a:t>- - - - - - - - - - - - - - - - - - - - - - - - -</a:t>
              </a:r>
              <a:endParaRPr lang="en-US" sz="1100" b="1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C7F9F62D-DC12-9C2A-FEF1-2209BF2CF82D}"/>
              </a:ext>
            </a:extLst>
          </xdr:cNvPr>
          <xdr:cNvGrpSpPr/>
        </xdr:nvGrpSpPr>
        <xdr:grpSpPr>
          <a:xfrm>
            <a:off x="10726892" y="351685"/>
            <a:ext cx="2750602" cy="4552624"/>
            <a:chOff x="10525506" y="351685"/>
            <a:chExt cx="2761488" cy="4656038"/>
          </a:xfrm>
        </xdr:grpSpPr>
        <xdr:sp macro="" textlink="">
          <xdr:nvSpPr>
            <xdr:cNvPr id="39" name="Rectangle: Rounded Corners 13">
              <a:extLst>
                <a:ext uri="{FF2B5EF4-FFF2-40B4-BE49-F238E27FC236}">
                  <a16:creationId xmlns:a16="http://schemas.microsoft.com/office/drawing/2014/main" id="{3F49579B-A98A-2141-946E-82CC8C8F3CFA}"/>
                </a:ext>
              </a:extLst>
            </xdr:cNvPr>
            <xdr:cNvSpPr/>
          </xdr:nvSpPr>
          <xdr:spPr>
            <a:xfrm>
              <a:off x="10525506" y="1525382"/>
              <a:ext cx="2761488" cy="26283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400" b="1">
                  <a:solidFill>
                    <a:sysClr val="windowText" lastClr="000000"/>
                  </a:solidFill>
                </a:rPr>
                <a:t>RNV (%)</a:t>
              </a:r>
            </a:p>
          </xdr:txBody>
        </xdr:sp>
        <xdr:graphicFrame macro="">
          <xdr:nvGraphicFramePr>
            <xdr:cNvPr id="42" name="Chart 41">
              <a:extLst>
                <a:ext uri="{FF2B5EF4-FFF2-40B4-BE49-F238E27FC236}">
                  <a16:creationId xmlns:a16="http://schemas.microsoft.com/office/drawing/2014/main" id="{7A36E27A-1ACA-F042-B77E-5712B6A5FF0B}"/>
                </a:ext>
              </a:extLst>
            </xdr:cNvPr>
            <xdr:cNvGraphicFramePr/>
          </xdr:nvGraphicFramePr>
          <xdr:xfrm>
            <a:off x="10525506" y="1835865"/>
            <a:ext cx="2761488" cy="80467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graphicFrame macro="">
          <xdr:nvGraphicFramePr>
            <xdr:cNvPr id="43" name="Chart 42">
              <a:extLst>
                <a:ext uri="{FF2B5EF4-FFF2-40B4-BE49-F238E27FC236}">
                  <a16:creationId xmlns:a16="http://schemas.microsoft.com/office/drawing/2014/main" id="{D6A5B0EE-4293-3D41-B443-6275CCF2AC2A}"/>
                </a:ext>
              </a:extLst>
            </xdr:cNvPr>
            <xdr:cNvGraphicFramePr>
              <a:graphicFrameLocks/>
            </xdr:cNvGraphicFramePr>
          </xdr:nvGraphicFramePr>
          <xdr:xfrm>
            <a:off x="10525506" y="3002299"/>
            <a:ext cx="2761488" cy="80467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  <xdr:graphicFrame macro="">
          <xdr:nvGraphicFramePr>
            <xdr:cNvPr id="44" name="Chart 43">
              <a:extLst>
                <a:ext uri="{FF2B5EF4-FFF2-40B4-BE49-F238E27FC236}">
                  <a16:creationId xmlns:a16="http://schemas.microsoft.com/office/drawing/2014/main" id="{1FE5B2C0-A6EB-0142-94E8-B254B6807EFE}"/>
                </a:ext>
              </a:extLst>
            </xdr:cNvPr>
            <xdr:cNvGraphicFramePr>
              <a:graphicFrameLocks/>
            </xdr:cNvGraphicFramePr>
          </xdr:nvGraphicFramePr>
          <xdr:xfrm>
            <a:off x="10525506" y="4203051"/>
            <a:ext cx="2761488" cy="80467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7"/>
            </a:graphicData>
          </a:graphic>
        </xdr:graphicFrame>
        <xdr:sp macro="" textlink="">
          <xdr:nvSpPr>
            <xdr:cNvPr id="45" name="Rectangle: Rounded Corners 19">
              <a:extLst>
                <a:ext uri="{FF2B5EF4-FFF2-40B4-BE49-F238E27FC236}">
                  <a16:creationId xmlns:a16="http://schemas.microsoft.com/office/drawing/2014/main" id="{A6ABEB28-4AED-4742-8F71-7C3C8D77FF28}"/>
                </a:ext>
              </a:extLst>
            </xdr:cNvPr>
            <xdr:cNvSpPr/>
          </xdr:nvSpPr>
          <xdr:spPr>
            <a:xfrm>
              <a:off x="10525506" y="2708604"/>
              <a:ext cx="2761488" cy="235835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en-US" sz="1400" b="1" baseline="0">
                  <a:solidFill>
                    <a:sysClr val="windowText" lastClr="000000"/>
                  </a:solidFill>
                </a:rPr>
                <a:t>Adjusted Rate (T/acre)</a:t>
              </a:r>
              <a:endParaRPr lang="en-US" sz="14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8" name="Rectangle: Rounded Corners 23">
              <a:extLst>
                <a:ext uri="{FF2B5EF4-FFF2-40B4-BE49-F238E27FC236}">
                  <a16:creationId xmlns:a16="http://schemas.microsoft.com/office/drawing/2014/main" id="{D860D19B-1A02-7040-BA44-A0E09512FED9}"/>
                </a:ext>
              </a:extLst>
            </xdr:cNvPr>
            <xdr:cNvSpPr/>
          </xdr:nvSpPr>
          <xdr:spPr>
            <a:xfrm>
              <a:off x="10525506" y="3864831"/>
              <a:ext cx="2761488" cy="280359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en-US" sz="1400" b="1">
                  <a:solidFill>
                    <a:sysClr val="windowText" lastClr="000000"/>
                  </a:solidFill>
                </a:rPr>
                <a:t>Total Cost </a:t>
              </a:r>
              <a:r>
                <a:rPr lang="en-US" sz="1400" b="1" baseline="0">
                  <a:solidFill>
                    <a:sysClr val="windowText" lastClr="000000"/>
                  </a:solidFill>
                </a:rPr>
                <a:t>($/acre)</a:t>
              </a:r>
              <a:endParaRPr lang="en-US" sz="1400" b="1">
                <a:solidFill>
                  <a:sysClr val="windowText" lastClr="000000"/>
                </a:solidFill>
              </a:endParaRPr>
            </a:p>
          </xdr:txBody>
        </xdr:sp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79FAE42-77D3-496F-9FA9-DA857927D7EE}"/>
                </a:ext>
              </a:extLst>
            </xdr:cNvPr>
            <xdr:cNvGraphicFramePr>
              <a:graphicFrameLocks/>
            </xdr:cNvGraphicFramePr>
          </xdr:nvGraphicFramePr>
          <xdr:xfrm>
            <a:off x="10525506" y="672375"/>
            <a:ext cx="2761488" cy="79514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sp macro="" textlink="">
          <xdr:nvSpPr>
            <xdr:cNvPr id="6" name="Rectangle: Rounded Corners 13">
              <a:extLst>
                <a:ext uri="{FF2B5EF4-FFF2-40B4-BE49-F238E27FC236}">
                  <a16:creationId xmlns:a16="http://schemas.microsoft.com/office/drawing/2014/main" id="{4A085972-843B-407C-AB23-9350A75890AD}"/>
                </a:ext>
              </a:extLst>
            </xdr:cNvPr>
            <xdr:cNvSpPr/>
          </xdr:nvSpPr>
          <xdr:spPr>
            <a:xfrm>
              <a:off x="10525506" y="351685"/>
              <a:ext cx="2761488" cy="26283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400" b="1">
                  <a:solidFill>
                    <a:sysClr val="windowText" lastClr="000000"/>
                  </a:solidFill>
                </a:rPr>
                <a:t>TFEV (%)</a:t>
              </a:r>
            </a:p>
          </xdr:txBody>
        </xdr:sp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0.91487</cdr:x>
      <cdr:y>0.09709</cdr:y>
    </cdr:from>
    <cdr:to>
      <cdr:x>0.98654</cdr:x>
      <cdr:y>0.9534</cdr:y>
    </cdr:to>
    <cdr:sp macro="" textlink="">
      <cdr:nvSpPr>
        <cdr:cNvPr id="2" name="TextBox 26">
          <a:extLst xmlns:a="http://schemas.openxmlformats.org/drawingml/2006/main">
            <a:ext uri="{FF2B5EF4-FFF2-40B4-BE49-F238E27FC236}">
              <a16:creationId xmlns:a16="http://schemas.microsoft.com/office/drawing/2014/main" id="{114D6AB5-9BCF-DB66-F509-EC0CFAB0AFAB}"/>
            </a:ext>
          </a:extLst>
        </cdr:cNvPr>
        <cdr:cNvSpPr txBox="1"/>
      </cdr:nvSpPr>
      <cdr:spPr>
        <a:xfrm xmlns:a="http://schemas.openxmlformats.org/drawingml/2006/main">
          <a:off x="2676979" y="78015"/>
          <a:ext cx="209724" cy="68804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20000"/>
            <a:lumOff val="80000"/>
          </a:schemeClr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eaVert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RNV (0%)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absSizeAnchor xmlns:cdr="http://schemas.openxmlformats.org/drawingml/2006/chartDrawing">
    <cdr:from>
      <cdr:x>0.91685</cdr:x>
      <cdr:y>0.09503</cdr:y>
    </cdr:from>
    <cdr:ext cx="209724" cy="688047"/>
    <cdr:sp macro="" textlink="">
      <cdr:nvSpPr>
        <cdr:cNvPr id="2" name="TextBox 26">
          <a:extLst xmlns:a="http://schemas.openxmlformats.org/drawingml/2006/main">
            <a:ext uri="{FF2B5EF4-FFF2-40B4-BE49-F238E27FC236}">
              <a16:creationId xmlns:a16="http://schemas.microsoft.com/office/drawing/2014/main" id="{450B3726-F4B5-1AB0-3C5D-FAD2A05C1309}"/>
            </a:ext>
          </a:extLst>
        </cdr:cNvPr>
        <cdr:cNvSpPr txBox="1"/>
      </cdr:nvSpPr>
      <cdr:spPr>
        <a:xfrm xmlns:a="http://schemas.openxmlformats.org/drawingml/2006/main">
          <a:off x="2682776" y="76468"/>
          <a:ext cx="209724" cy="68804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20000"/>
            <a:lumOff val="80000"/>
          </a:schemeClr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eaVert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RNV (20%)</a:t>
          </a:r>
        </a:p>
      </cdr:txBody>
    </cdr:sp>
  </cdr:abs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0.93104</cdr:x>
      <cdr:y>0.0632</cdr:y>
    </cdr:from>
    <cdr:to>
      <cdr:x>0.9907</cdr:x>
      <cdr:y>0.96618</cdr:y>
    </cdr:to>
    <cdr:sp macro="" textlink="">
      <cdr:nvSpPr>
        <cdr:cNvPr id="2" name="TextBox 26">
          <a:extLst xmlns:a="http://schemas.openxmlformats.org/drawingml/2006/main">
            <a:ext uri="{FF2B5EF4-FFF2-40B4-BE49-F238E27FC236}">
              <a16:creationId xmlns:a16="http://schemas.microsoft.com/office/drawing/2014/main" id="{450B3726-F4B5-1AB0-3C5D-FAD2A05C1309}"/>
            </a:ext>
          </a:extLst>
        </cdr:cNvPr>
        <cdr:cNvSpPr txBox="1"/>
      </cdr:nvSpPr>
      <cdr:spPr>
        <a:xfrm xmlns:a="http://schemas.openxmlformats.org/drawingml/2006/main">
          <a:off x="2724298" y="50855"/>
          <a:ext cx="174569" cy="72660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20000"/>
            <a:lumOff val="80000"/>
          </a:schemeClr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eaVert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RNV (60%)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0.93104</cdr:x>
      <cdr:y>0.0632</cdr:y>
    </cdr:from>
    <cdr:to>
      <cdr:x>0.9907</cdr:x>
      <cdr:y>0.96618</cdr:y>
    </cdr:to>
    <cdr:sp macro="" textlink="">
      <cdr:nvSpPr>
        <cdr:cNvPr id="2" name="TextBox 26">
          <a:extLst xmlns:a="http://schemas.openxmlformats.org/drawingml/2006/main">
            <a:ext uri="{FF2B5EF4-FFF2-40B4-BE49-F238E27FC236}">
              <a16:creationId xmlns:a16="http://schemas.microsoft.com/office/drawing/2014/main" id="{450B3726-F4B5-1AB0-3C5D-FAD2A05C1309}"/>
            </a:ext>
          </a:extLst>
        </cdr:cNvPr>
        <cdr:cNvSpPr txBox="1"/>
      </cdr:nvSpPr>
      <cdr:spPr>
        <a:xfrm xmlns:a="http://schemas.openxmlformats.org/drawingml/2006/main">
          <a:off x="2724298" y="50855"/>
          <a:ext cx="174569" cy="72660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20000"/>
            <a:lumOff val="80000"/>
          </a:schemeClr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eaVert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RNV (100%)</a:t>
          </a: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Mohammad Jan Shamim" id="{4B703EF5-87CF-422B-9328-59B643692BDE}" userId="7a98fa68f3b2f9fe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55E2FD-C4FC-42F4-80B2-32038783AE45}" name="Table24" displayName="Table24" ref="A1:S4" totalsRowShown="0" headerRowDxfId="20" headerRowBorderDxfId="19">
  <autoFilter ref="A1:S4" xr:uid="{8CBA129A-B7C2-4A33-B30D-42D523311B6B}"/>
  <tableColumns count="19">
    <tableColumn id="1" xr3:uid="{9FEA719D-4A40-42EC-B346-6AECF2BE8D9C}" name="Lime Source" dataDxfId="18"/>
    <tableColumn id="3" xr3:uid="{BD0434AB-8BE6-4F16-910D-44A8F1B3207C}" name="&lt; #8" dataDxfId="17"/>
    <tableColumn id="4" xr3:uid="{DB2E83F2-40F7-440C-8D7D-1903B6CDFB61}" name="&lt; #30" dataDxfId="16"/>
    <tableColumn id="16" xr3:uid="{977F3E43-5D5F-4A32-8429-FBA1A5E6BABF}" name="&lt; #60" dataDxfId="15"/>
    <tableColumn id="2" xr3:uid="{18E13918-D611-4F99-826B-CA886240770E}" name="&lt; #100" dataDxfId="14"/>
    <tableColumn id="15" xr3:uid="{46FD9DCA-05CB-4B62-8DF3-1EFE10905BB0}" name="CCE" dataDxfId="13"/>
    <tableColumn id="37" xr3:uid="{6B28DD04-F5F4-4A60-88F9-F4B34274A42E}" name="RNV0" dataDxfId="12">
      <calculatedColumnFormula xml:space="preserve"> 100-Table24[[#This Row],[&lt; '#8]]</calculatedColumnFormula>
    </tableColumn>
    <tableColumn id="36" xr3:uid="{CFA9E91E-F945-4650-8F67-29EE2CFB6F4C}" name="RNV30" dataDxfId="11">
      <calculatedColumnFormula>Table24[[#This Row],[&lt; '#8]]-Table24[[#This Row],[&lt; '#30]]</calculatedColumnFormula>
    </tableColumn>
    <tableColumn id="35" xr3:uid="{D336A275-ED14-44A7-B524-D0E1DD032808}" name="RNV60" dataDxfId="10">
      <calculatedColumnFormula>50-40</calculatedColumnFormula>
    </tableColumn>
    <tableColumn id="34" xr3:uid="{324924D4-0B30-4BAA-95A0-8FF09F5EDA1A}" name="RNV100" dataDxfId="9">
      <calculatedColumnFormula>Table24[[#This Row],[&lt; '#60]]</calculatedColumnFormula>
    </tableColumn>
    <tableColumn id="20" xr3:uid="{F4E09F7E-8514-4F7C-8A6A-4475425DEF05}" name="TFEV" dataDxfId="8">
      <calculatedColumnFormula>(100-Table24[[#This Row],[&lt; '#8]])/100*5+(Table24[[#This Row],[&lt; '#8]]-Table24[[#This Row],[&lt; '#30]])/100*20+(Table24[[#This Row],[&lt; '#30]]-Table24[[#This Row],[&lt; '#60]])/100*50+(Table24[[#This Row],[&lt; '#60]]/100*100)</calculatedColumnFormula>
    </tableColumn>
    <tableColumn id="24" xr3:uid="{5A3E7F27-9DAF-432D-8B00-0AE2F009DE2B}" name="RNV" dataDxfId="7" dataCellStyle="Percent">
      <calculatedColumnFormula>Table24[[#This Row],[TFEV]]*Table24[[#This Row],[CCE]]/100</calculatedColumnFormula>
    </tableColumn>
    <tableColumn id="23" xr3:uid="{019F8A8A-2B48-4C15-82B1-6A2984BE196E}" name="OYAR" dataDxfId="6" dataCellStyle="Percent">
      <calculatedColumnFormula>46.35/Table24[[#This Row],[RNV]]</calculatedColumnFormula>
    </tableColumn>
    <tableColumn id="33" xr3:uid="{61B4F2A3-A666-4E41-895F-51B10F2F4700}" name="Input Recommended Tons of Lime / Acre" dataDxfId="5" dataCellStyle="Percent"/>
    <tableColumn id="22" xr3:uid="{3EEF39A1-705D-4D0D-98B7-EEBF08A9A2EE}" name="Actual Tons/Acre required (based on ENP of lime)" dataDxfId="4" dataCellStyle="Percent">
      <calculatedColumnFormula>Table24[[#This Row],[OYAR]]*Table24[[#This Row],[Input Recommended Tons of Lime / Acre]]</calculatedColumnFormula>
    </tableColumn>
    <tableColumn id="8" xr3:uid="{557A1898-F64A-4156-B156-2B0E33A788D7}" name="Aglime Cost Per Ton" dataDxfId="3" dataCellStyle="Percent"/>
    <tableColumn id="9" xr3:uid="{97D2D243-521A-4265-BD0F-350715DEDE39}" name="Delivery Cost Per Ton" dataDxfId="2" dataCellStyle="Percent"/>
    <tableColumn id="10" xr3:uid="{9BB60F6F-23D0-4576-97DA-1B4ED4D6EAF4}" name="Spreading Cost Per Ton" dataDxfId="1" dataCellStyle="Percent"/>
    <tableColumn id="11" xr3:uid="{1C53D747-4136-4C99-A409-C4F5F370AD53}" name="Projected Cost Per Acre based on Product ENP" dataDxfId="0">
      <calculatedColumnFormula>IF(ISERR(O2*(P2+Q2+R2)),0,O2*(P2+Q2+R2))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4" dT="2023-02-01T09:55:32.31" personId="{4B703EF5-87CF-422B-9328-59B643692BDE}" id="{4E9A87E4-2E28-433E-8EEE-6EF0BFEDA98B}">
    <text>The amount of lime recommend based on soil test (assuming the neutralizing power is 100%)</text>
  </threadedComment>
  <threadedComment ref="B18" dT="2023-02-01T09:55:32.31" personId="{4B703EF5-87CF-422B-9328-59B643692BDE}" id="{F35DEAC8-0E19-495F-9C6C-ED0BFEF66066}">
    <text>The prices of shipment</text>
  </threadedComment>
  <threadedComment ref="B20" dT="2023-02-01T09:57:39.71" personId="{4B703EF5-87CF-422B-9328-59B643692BDE}" id="{E3E0D06B-DFBD-47DF-9854-2E1F99D8D665}">
    <text>The price of lime application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3-01-23T04:06:26.53" personId="{4B703EF5-87CF-422B-9328-59B643692BDE}" id="{DE58EB48-5CF1-4915-AA37-5616EE96C20A}">
    <text>This value is not used. So if you do not know, leave it blank</text>
  </threadedComment>
  <threadedComment ref="F1" dT="2023-01-23T04:09:11.14" personId="{4B703EF5-87CF-422B-9328-59B643692BDE}" id="{08B91F55-5D0A-40DB-9245-0A7D92BDBD21}">
    <text>You can fit it in lime vendor's place or UK website</text>
  </threadedComment>
  <threadedComment ref="K1" dT="2023-02-01T11:11:08.74" personId="{4B703EF5-87CF-422B-9328-59B643692BDE}" id="{D8840C89-57F0-4E8D-9959-BD041B25E6BD}">
    <text>Total Fineness Efficiency Value</text>
  </threadedComment>
  <threadedComment ref="M1" dT="2023-02-01T11:02:50.62" personId="{4B703EF5-87CF-422B-9328-59B643692BDE}" id="{D5EF2B7F-1A6F-487B-AE1E-582B12FE0229}">
    <text>One year application rate</text>
  </threadedComment>
  <threadedComment ref="N1" dT="2023-02-01T11:03:25.90" personId="{4B703EF5-87CF-422B-9328-59B643692BDE}" id="{8E6D0D8B-7D67-4B4F-B3BE-5BF3188F87A6}">
    <text>Amount recommend after soil test, assuming that the product is 100% efficient</text>
  </threadedComment>
  <threadedComment ref="P1" dT="2023-01-23T04:03:07.39" personId="{4B703EF5-87CF-422B-9328-59B643692BDE}" id="{4FAFEF68-9E88-46B3-9BDF-A4CB386CA4CD}">
    <text>This is the price of lime at a vendor's place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176F-D3C3-4BEB-834E-BC973C1724D5}">
  <sheetPr codeName="Sheet1"/>
  <dimension ref="A2:M27"/>
  <sheetViews>
    <sheetView showFormulas="1" showGridLines="0" tabSelected="1" zoomScale="70" zoomScaleNormal="70" workbookViewId="0">
      <selection activeCell="L19" sqref="L19"/>
    </sheetView>
  </sheetViews>
  <sheetFormatPr defaultColWidth="9.140625" defaultRowHeight="15"/>
  <cols>
    <col min="1" max="1" width="8.42578125" style="11" customWidth="1"/>
    <col min="2" max="2" width="7" style="12" customWidth="1"/>
    <col min="3" max="5" width="5.140625" style="11" bestFit="1" customWidth="1"/>
    <col min="6" max="6" width="10.140625" style="11" customWidth="1"/>
    <col min="7" max="7" width="10.140625" style="11" bestFit="1" customWidth="1"/>
    <col min="8" max="8" width="14.28515625" style="11" customWidth="1"/>
    <col min="9" max="15" width="9.140625" style="11"/>
    <col min="16" max="16" width="10.42578125" style="11" customWidth="1"/>
    <col min="17" max="17" width="14.42578125" style="11" customWidth="1"/>
    <col min="18" max="16375" width="9.140625" style="11"/>
    <col min="16376" max="16376" width="9.140625" style="11" customWidth="1"/>
    <col min="16377" max="16384" width="9.140625" style="11"/>
  </cols>
  <sheetData>
    <row r="2" spans="2:13" ht="21" thickBot="1">
      <c r="B2" s="36" t="s">
        <v>7</v>
      </c>
      <c r="C2" s="36"/>
      <c r="D2" s="21"/>
      <c r="E2" s="21"/>
    </row>
    <row r="3" spans="2:13" ht="14.25" customHeight="1" thickTop="1" thickBot="1">
      <c r="B3" s="37" t="s">
        <v>8</v>
      </c>
      <c r="C3" s="38"/>
      <c r="D3" s="34">
        <v>3</v>
      </c>
      <c r="E3" s="35"/>
    </row>
    <row r="4" spans="2:13" ht="19.5" thickTop="1">
      <c r="B4" s="22" t="s">
        <v>6</v>
      </c>
      <c r="C4" s="23" t="s">
        <v>10</v>
      </c>
      <c r="D4" s="23" t="s">
        <v>11</v>
      </c>
      <c r="E4" s="23" t="s">
        <v>9</v>
      </c>
    </row>
    <row r="5" spans="2:13" ht="11.1" customHeight="1">
      <c r="B5" s="13"/>
      <c r="C5" s="18"/>
      <c r="D5" s="19"/>
      <c r="E5" s="20"/>
    </row>
    <row r="6" spans="2:13" ht="18.75">
      <c r="B6" s="16" t="s">
        <v>19</v>
      </c>
      <c r="C6" s="17">
        <v>90</v>
      </c>
      <c r="D6" s="17">
        <v>85</v>
      </c>
      <c r="E6" s="17">
        <v>80</v>
      </c>
      <c r="M6" s="15"/>
    </row>
    <row r="7" spans="2:13" ht="13.5" customHeight="1">
      <c r="B7" s="14"/>
      <c r="C7" s="18"/>
      <c r="D7" s="19"/>
      <c r="E7" s="20"/>
    </row>
    <row r="8" spans="2:13" ht="18.75">
      <c r="B8" s="16" t="s">
        <v>31</v>
      </c>
      <c r="C8" s="17">
        <v>50</v>
      </c>
      <c r="D8" s="17">
        <v>45</v>
      </c>
      <c r="E8" s="17">
        <v>40</v>
      </c>
    </row>
    <row r="9" spans="2:13" ht="13.5" customHeight="1">
      <c r="B9" s="14"/>
      <c r="C9" s="18"/>
      <c r="D9" s="19"/>
      <c r="E9" s="20"/>
      <c r="M9" s="30"/>
    </row>
    <row r="10" spans="2:13" ht="18.75">
      <c r="B10" s="16" t="s">
        <v>18</v>
      </c>
      <c r="C10" s="17">
        <v>40</v>
      </c>
      <c r="D10" s="17">
        <v>35</v>
      </c>
      <c r="E10" s="17">
        <v>30</v>
      </c>
    </row>
    <row r="11" spans="2:13" ht="13.5" customHeight="1">
      <c r="B11" s="14"/>
      <c r="C11" s="18"/>
      <c r="D11" s="19"/>
      <c r="E11" s="20"/>
    </row>
    <row r="12" spans="2:13" ht="18.75">
      <c r="B12" s="16" t="s">
        <v>4</v>
      </c>
      <c r="C12" s="17">
        <v>95</v>
      </c>
      <c r="D12" s="17">
        <v>90</v>
      </c>
      <c r="E12" s="17">
        <v>85</v>
      </c>
    </row>
    <row r="13" spans="2:13" ht="15.75">
      <c r="B13" s="14"/>
      <c r="C13" s="18"/>
      <c r="D13" s="19"/>
      <c r="E13" s="20"/>
    </row>
    <row r="14" spans="2:13" ht="18.75">
      <c r="B14" s="16" t="s">
        <v>24</v>
      </c>
      <c r="C14" s="17">
        <v>2</v>
      </c>
      <c r="D14" s="17">
        <v>2.5</v>
      </c>
      <c r="E14" s="17">
        <v>3</v>
      </c>
    </row>
    <row r="15" spans="2:13" ht="15.75">
      <c r="B15" s="14"/>
      <c r="C15" s="18"/>
      <c r="D15" s="19"/>
      <c r="E15" s="20"/>
    </row>
    <row r="16" spans="2:13" ht="18.75">
      <c r="B16" s="16" t="s">
        <v>25</v>
      </c>
      <c r="C16" s="17">
        <v>5</v>
      </c>
      <c r="D16" s="17">
        <v>5</v>
      </c>
      <c r="E16" s="17">
        <v>5</v>
      </c>
    </row>
    <row r="17" spans="1:5" ht="15.75">
      <c r="B17" s="14"/>
      <c r="C17" s="18"/>
      <c r="D17" s="19"/>
      <c r="E17" s="20"/>
    </row>
    <row r="18" spans="1:5" ht="18.75">
      <c r="B18" s="16" t="s">
        <v>27</v>
      </c>
      <c r="C18" s="17">
        <v>4</v>
      </c>
      <c r="D18" s="17">
        <v>4</v>
      </c>
      <c r="E18" s="17">
        <v>4</v>
      </c>
    </row>
    <row r="19" spans="1:5" ht="15.75">
      <c r="B19" s="14"/>
      <c r="C19" s="18"/>
      <c r="D19" s="19"/>
      <c r="E19" s="20"/>
    </row>
    <row r="20" spans="1:5" ht="18.75">
      <c r="B20" s="16" t="s">
        <v>26</v>
      </c>
      <c r="C20" s="17">
        <v>5</v>
      </c>
      <c r="D20" s="17">
        <v>5</v>
      </c>
      <c r="E20" s="17">
        <v>5</v>
      </c>
    </row>
    <row r="21" spans="1:5">
      <c r="A21" s="12"/>
    </row>
    <row r="27" spans="1:5" ht="33.950000000000003" customHeight="1"/>
  </sheetData>
  <sheetProtection algorithmName="SHA-512" hashValue="QujDuBwx0FD+RghM3vittZtj3NN1pECwFvu1D88y9hgkRPsZYE8ySdcKXincVrMi4CLiH9fCiPJ6Y4K/CqY0Qg==" saltValue="5Tj6/cHdSBQKImAN0uSZVA==" spinCount="100000" sheet="1" objects="1" scenarios="1"/>
  <mergeCells count="3">
    <mergeCell ref="D3:E3"/>
    <mergeCell ref="B2:C2"/>
    <mergeCell ref="B3:C3"/>
  </mergeCells>
  <phoneticPr fontId="5" type="noConversion"/>
  <dataValidations count="1">
    <dataValidation type="list" allowBlank="1" showInputMessage="1" showErrorMessage="1" sqref="D3:E3" xr:uid="{64FD178E-A3E3-4E39-8CB3-C19709941C76}">
      <formula1>"1,2,3"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AD16-3622-46A4-9DEE-28AA8D58CCA0}">
  <sheetPr codeName="Sheet2"/>
  <dimension ref="A1:AF20"/>
  <sheetViews>
    <sheetView workbookViewId="0">
      <selection activeCell="K12" sqref="K12"/>
    </sheetView>
  </sheetViews>
  <sheetFormatPr defaultColWidth="8.85546875" defaultRowHeight="15"/>
  <cols>
    <col min="1" max="1" width="16.28515625" customWidth="1"/>
    <col min="2" max="2" width="8.28515625" customWidth="1"/>
    <col min="3" max="7" width="9" customWidth="1"/>
    <col min="8" max="17" width="13" customWidth="1"/>
    <col min="18" max="18" width="11" customWidth="1"/>
    <col min="19" max="19" width="16.28515625" customWidth="1"/>
    <col min="20" max="20" width="19.140625" customWidth="1"/>
    <col min="21" max="21" width="12.42578125" customWidth="1"/>
    <col min="22" max="23" width="9.140625"/>
    <col min="24" max="32" width="10.42578125" customWidth="1"/>
  </cols>
  <sheetData>
    <row r="1" spans="1:32" s="1" customFormat="1" ht="78.75">
      <c r="A1" s="10" t="s">
        <v>0</v>
      </c>
      <c r="B1" s="29" t="s">
        <v>19</v>
      </c>
      <c r="C1" s="29" t="s">
        <v>31</v>
      </c>
      <c r="D1" s="29" t="s">
        <v>18</v>
      </c>
      <c r="E1" s="29" t="s">
        <v>17</v>
      </c>
      <c r="F1" s="10" t="s">
        <v>4</v>
      </c>
      <c r="G1" s="10" t="s">
        <v>20</v>
      </c>
      <c r="H1" s="10" t="s">
        <v>33</v>
      </c>
      <c r="I1" s="10" t="s">
        <v>22</v>
      </c>
      <c r="J1" s="10" t="s">
        <v>23</v>
      </c>
      <c r="K1" s="10" t="s">
        <v>28</v>
      </c>
      <c r="L1" s="29" t="s">
        <v>1</v>
      </c>
      <c r="M1" s="28" t="s">
        <v>29</v>
      </c>
      <c r="N1" s="28" t="s">
        <v>16</v>
      </c>
      <c r="O1" s="28" t="s">
        <v>13</v>
      </c>
      <c r="P1" s="28" t="s">
        <v>15</v>
      </c>
      <c r="Q1" s="28" t="s">
        <v>30</v>
      </c>
      <c r="R1" s="28" t="s">
        <v>14</v>
      </c>
      <c r="S1" s="28" t="s">
        <v>12</v>
      </c>
      <c r="T1" s="3"/>
      <c r="U1" s="3"/>
      <c r="V1" s="4" t="s">
        <v>0</v>
      </c>
      <c r="W1" s="29" t="s">
        <v>20</v>
      </c>
      <c r="X1" s="29" t="s">
        <v>21</v>
      </c>
      <c r="Y1" s="29" t="s">
        <v>22</v>
      </c>
      <c r="Z1" s="29" t="s">
        <v>23</v>
      </c>
      <c r="AA1" s="29" t="s">
        <v>28</v>
      </c>
      <c r="AB1" s="4" t="s">
        <v>32</v>
      </c>
      <c r="AC1" s="5" t="s">
        <v>2</v>
      </c>
      <c r="AD1" s="6" t="s">
        <v>3</v>
      </c>
    </row>
    <row r="2" spans="1:32">
      <c r="A2" s="9" t="str">
        <f>IF(SampleN&gt;=1, Name1, "")</f>
        <v>Sample 1</v>
      </c>
      <c r="B2" s="31">
        <f>Dashborad!C6</f>
        <v>90</v>
      </c>
      <c r="C2" s="31">
        <f>Dashborad!C8</f>
        <v>50</v>
      </c>
      <c r="D2" s="31">
        <f>Dashborad!C10</f>
        <v>40</v>
      </c>
      <c r="E2" s="27">
        <v>20</v>
      </c>
      <c r="F2" s="31">
        <f>Dashborad!C12</f>
        <v>95</v>
      </c>
      <c r="G2" s="32">
        <f xml:space="preserve"> 100-Table24[[#This Row],[&lt; '#8]]</f>
        <v>10</v>
      </c>
      <c r="H2" s="32">
        <f>Table24[[#This Row],[&lt; '#8]]-Table24[[#This Row],[&lt; '#30]]</f>
        <v>40</v>
      </c>
      <c r="I2" s="32">
        <f t="shared" ref="I2:I4" si="0">50-40</f>
        <v>10</v>
      </c>
      <c r="J2" s="32">
        <f>Table24[[#This Row],[&lt; '#60]]</f>
        <v>40</v>
      </c>
      <c r="K2" s="8">
        <f>(100-Table24[[#This Row],[&lt; '#8]])/100*5+(Table24[[#This Row],[&lt; '#8]]-Table24[[#This Row],[&lt; '#30]])/100*20+(Table24[[#This Row],[&lt; '#30]]-Table24[[#This Row],[&lt; '#60]])/100*50+(Table24[[#This Row],[&lt; '#60]]/100*100)</f>
        <v>53.5</v>
      </c>
      <c r="L2" s="25">
        <f>Table24[[#This Row],[TFEV]]*Table24[[#This Row],[CCE]]/100</f>
        <v>50.825000000000003</v>
      </c>
      <c r="M2" s="25">
        <f>46.35/Table24[[#This Row],[RNV]]</f>
        <v>0.91195277914412198</v>
      </c>
      <c r="N2" s="31">
        <f>Dashborad!C14</f>
        <v>2</v>
      </c>
      <c r="O2" s="24">
        <f>Table24[[#This Row],[OYAR]]*Table24[[#This Row],[Input Recommended Tons of Lime / Acre]]</f>
        <v>1.823905558288244</v>
      </c>
      <c r="P2" s="31">
        <f>Dashborad!C16</f>
        <v>5</v>
      </c>
      <c r="Q2" s="31">
        <f>Dashborad!C18</f>
        <v>4</v>
      </c>
      <c r="R2" s="31">
        <f>Dashborad!C20</f>
        <v>5</v>
      </c>
      <c r="S2" s="8">
        <f>IF(ISERR(O2*(P2+Q2+R2)),0,O2*(P2+Q2+R2))</f>
        <v>25.534677816035416</v>
      </c>
      <c r="T2" s="2"/>
      <c r="U2" s="2"/>
      <c r="V2" s="7" t="str" cm="1">
        <f t="array" ref="V2:V4">_xlfn._xlws.FILTER($A$2:$A$49, $A$2:$A$49&lt;&gt;"")</f>
        <v>Sample 1</v>
      </c>
      <c r="W2" s="8" cm="1">
        <f t="array" ref="W2:W4">_xlfn._xlws.FILTER(Table24[RNV0], Table24[Lime Source]&lt;&gt;"")</f>
        <v>10</v>
      </c>
      <c r="X2" s="8" cm="1">
        <f t="array" ref="X2:X4">_xlfn._xlws.FILTER(Table24[RNV30], Table24[Lime Source]&lt;&gt;"")</f>
        <v>40</v>
      </c>
      <c r="Y2" s="8" cm="1">
        <f t="array" ref="Y2:Y4">_xlfn._xlws.FILTER(Table24[RNV60], Table24[Lime Source]&lt;&gt;"")</f>
        <v>10</v>
      </c>
      <c r="Z2" s="8" cm="1">
        <f t="array" ref="Z2:Z4">_xlfn._xlws.FILTER(Table24[RNV100], A2:A4&lt;&gt;"")</f>
        <v>40</v>
      </c>
      <c r="AA2" s="8" cm="1">
        <f t="array" ref="AA2:AA4">_xlfn._xlws.FILTER(Table24[TFEV], Table24[Lime Source]&lt;&gt;"")</f>
        <v>53.5</v>
      </c>
      <c r="AB2" s="8" cm="1">
        <f t="array" ref="AB2:AB4">_xlfn._xlws.FILTER(Table24[RNV], Table24[Lime Source]&lt;&gt;"")</f>
        <v>50.825000000000003</v>
      </c>
      <c r="AC2" s="8" cm="1">
        <f t="array" ref="AC2:AC4">_xlfn._xlws.FILTER(Table24[Actual Tons/Acre required (based on ENP of lime)], Table24[Lime Source]&lt;&gt;"")</f>
        <v>1.823905558288244</v>
      </c>
      <c r="AD2" s="8" cm="1">
        <f t="array" ref="AD2:AD4">_xlfn._xlws.FILTER(Table24[Projected Cost Per Acre based on Product ENP], Table24[Lime Source]&lt;&gt;"")</f>
        <v>25.534677816035416</v>
      </c>
    </row>
    <row r="3" spans="1:32">
      <c r="A3" s="9" t="str">
        <f>IF(SampleN&gt;=2,Name2,"")</f>
        <v>Sample 2</v>
      </c>
      <c r="B3" s="31">
        <f>Dashborad!D6</f>
        <v>85</v>
      </c>
      <c r="C3" s="31">
        <f>Dashborad!D8</f>
        <v>45</v>
      </c>
      <c r="D3" s="31">
        <f>Dashborad!D10</f>
        <v>35</v>
      </c>
      <c r="E3" s="26">
        <v>20</v>
      </c>
      <c r="F3" s="31">
        <f>Dashborad!D12</f>
        <v>90</v>
      </c>
      <c r="G3" s="32">
        <f xml:space="preserve"> 100-Table24[[#This Row],[&lt; '#8]]</f>
        <v>15</v>
      </c>
      <c r="H3" s="32">
        <f>Table24[[#This Row],[&lt; '#8]]-Table24[[#This Row],[&lt; '#30]]</f>
        <v>40</v>
      </c>
      <c r="I3" s="32">
        <f t="shared" si="0"/>
        <v>10</v>
      </c>
      <c r="J3" s="32">
        <f>Table24[[#This Row],[&lt; '#60]]</f>
        <v>35</v>
      </c>
      <c r="K3" s="8">
        <f>(100-Table24[[#This Row],[&lt; '#8]])/100*5+(Table24[[#This Row],[&lt; '#8]]-Table24[[#This Row],[&lt; '#30]])/100*20+(Table24[[#This Row],[&lt; '#30]]-Table24[[#This Row],[&lt; '#60]])/100*50+(Table24[[#This Row],[&lt; '#60]]/100*100)</f>
        <v>48.75</v>
      </c>
      <c r="L3" s="25">
        <f>Table24[[#This Row],[TFEV]]*Table24[[#This Row],[CCE]]/100</f>
        <v>43.875</v>
      </c>
      <c r="M3" s="25">
        <f>46.35/Table24[[#This Row],[RNV]]</f>
        <v>1.0564102564102564</v>
      </c>
      <c r="N3" s="31">
        <f>Dashborad!D14</f>
        <v>2.5</v>
      </c>
      <c r="O3" s="24">
        <f>Table24[[#This Row],[OYAR]]*Table24[[#This Row],[Input Recommended Tons of Lime / Acre]]</f>
        <v>2.641025641025641</v>
      </c>
      <c r="P3" s="31">
        <f>Dashborad!D16</f>
        <v>5</v>
      </c>
      <c r="Q3" s="31">
        <f>Dashborad!D18</f>
        <v>4</v>
      </c>
      <c r="R3" s="31">
        <f>Dashborad!D20</f>
        <v>5</v>
      </c>
      <c r="S3" s="8">
        <f t="shared" ref="S3:S4" si="1">IF(ISERR(O3*(P3+Q3+R3)),0,O3*(P3+Q3+R3))</f>
        <v>36.974358974358971</v>
      </c>
      <c r="T3" s="2"/>
      <c r="U3" s="2"/>
      <c r="V3" s="7" t="str">
        <v>Sample 2</v>
      </c>
      <c r="W3" s="8">
        <v>15</v>
      </c>
      <c r="X3" s="8">
        <v>40</v>
      </c>
      <c r="Y3" s="8">
        <v>10</v>
      </c>
      <c r="Z3" s="8">
        <v>35</v>
      </c>
      <c r="AA3" s="8">
        <v>48.75</v>
      </c>
      <c r="AB3" s="8">
        <v>43.875</v>
      </c>
      <c r="AC3" s="8">
        <v>2.641025641025641</v>
      </c>
      <c r="AD3" s="8">
        <v>36.974358974358971</v>
      </c>
    </row>
    <row r="4" spans="1:32">
      <c r="A4" s="9" t="str">
        <f>IF(SampleN&gt;=3, Name3,"")</f>
        <v>Sample 3</v>
      </c>
      <c r="B4" s="31">
        <f>Dashborad!E6</f>
        <v>80</v>
      </c>
      <c r="C4" s="31">
        <f>Dashborad!E8</f>
        <v>40</v>
      </c>
      <c r="D4" s="31">
        <f>Dashborad!E10</f>
        <v>30</v>
      </c>
      <c r="E4" s="26">
        <v>20</v>
      </c>
      <c r="F4" s="31">
        <f>Dashborad!E12</f>
        <v>85</v>
      </c>
      <c r="G4" s="32">
        <f xml:space="preserve"> 100-Table24[[#This Row],[&lt; '#8]]</f>
        <v>20</v>
      </c>
      <c r="H4" s="32">
        <f>Table24[[#This Row],[&lt; '#8]]-Table24[[#This Row],[&lt; '#30]]</f>
        <v>40</v>
      </c>
      <c r="I4" s="32">
        <f t="shared" si="0"/>
        <v>10</v>
      </c>
      <c r="J4" s="32">
        <f>Table24[[#This Row],[&lt; '#60]]</f>
        <v>30</v>
      </c>
      <c r="K4" s="8">
        <f>(100-Table24[[#This Row],[&lt; '#8]])/100*5+(Table24[[#This Row],[&lt; '#8]]-Table24[[#This Row],[&lt; '#30]])/100*20+(Table24[[#This Row],[&lt; '#30]]-Table24[[#This Row],[&lt; '#60]])/100*50+(Table24[[#This Row],[&lt; '#60]]/100*100)</f>
        <v>44</v>
      </c>
      <c r="L4" s="25">
        <f>Table24[[#This Row],[TFEV]]*Table24[[#This Row],[CCE]]/100</f>
        <v>37.4</v>
      </c>
      <c r="M4" s="25">
        <f>46.35/Table24[[#This Row],[RNV]]</f>
        <v>1.2393048128342248</v>
      </c>
      <c r="N4" s="31">
        <f>Dashborad!E14</f>
        <v>3</v>
      </c>
      <c r="O4" s="24">
        <f>Table24[[#This Row],[OYAR]]*Table24[[#This Row],[Input Recommended Tons of Lime / Acre]]</f>
        <v>3.7179144385026746</v>
      </c>
      <c r="P4" s="31">
        <f>Dashborad!E16</f>
        <v>5</v>
      </c>
      <c r="Q4" s="31">
        <f>Dashborad!E18</f>
        <v>4</v>
      </c>
      <c r="R4" s="31">
        <f>Dashborad!E20</f>
        <v>5</v>
      </c>
      <c r="S4" s="8">
        <f t="shared" si="1"/>
        <v>52.050802139037444</v>
      </c>
      <c r="T4" s="2"/>
      <c r="U4" s="2"/>
      <c r="V4" s="7" t="str">
        <v>Sample 3</v>
      </c>
      <c r="W4" s="8">
        <v>20</v>
      </c>
      <c r="X4" s="8">
        <v>40</v>
      </c>
      <c r="Y4" s="8">
        <v>10</v>
      </c>
      <c r="Z4" s="8">
        <v>30</v>
      </c>
      <c r="AA4" s="8">
        <v>44</v>
      </c>
      <c r="AB4" s="8">
        <v>37.4</v>
      </c>
      <c r="AC4" s="8">
        <v>3.7179144385026746</v>
      </c>
      <c r="AD4" s="8">
        <v>52.050802139037444</v>
      </c>
    </row>
    <row r="5" spans="1:32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"/>
      <c r="U5" s="2"/>
      <c r="X5" s="7"/>
      <c r="Y5" s="8"/>
      <c r="Z5" s="8"/>
      <c r="AA5" s="8"/>
      <c r="AB5" s="8"/>
      <c r="AC5" s="8"/>
      <c r="AD5" s="8"/>
      <c r="AE5" s="8"/>
      <c r="AF5" s="8"/>
    </row>
    <row r="6" spans="1:32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"/>
      <c r="U6" s="2"/>
      <c r="X6" s="7"/>
      <c r="Y6" s="8"/>
      <c r="Z6" s="8"/>
      <c r="AA6" s="8"/>
      <c r="AB6" s="8"/>
      <c r="AC6" s="8"/>
      <c r="AD6" s="8"/>
      <c r="AE6" s="8"/>
      <c r="AF6" s="8"/>
    </row>
    <row r="7" spans="1:32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"/>
      <c r="U7" s="2"/>
      <c r="X7" s="7"/>
      <c r="Y7" s="7"/>
      <c r="Z7" s="7"/>
      <c r="AA7" s="7"/>
      <c r="AB7" s="7"/>
      <c r="AC7" s="7"/>
      <c r="AD7" s="7"/>
      <c r="AE7" s="7"/>
      <c r="AF7" s="7"/>
    </row>
    <row r="8" spans="1:32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"/>
      <c r="U8" s="2"/>
      <c r="X8" s="7"/>
      <c r="Y8" s="7"/>
      <c r="Z8" s="7"/>
      <c r="AA8" s="7"/>
      <c r="AB8" s="7"/>
      <c r="AC8" s="7"/>
      <c r="AD8" s="7"/>
      <c r="AE8" s="7"/>
      <c r="AF8" s="7"/>
    </row>
    <row r="9" spans="1:32">
      <c r="T9" s="2"/>
      <c r="U9" s="2"/>
      <c r="X9" s="7"/>
      <c r="Y9" s="7"/>
      <c r="Z9" s="7"/>
      <c r="AA9" s="7"/>
      <c r="AB9" s="7"/>
      <c r="AC9" s="7"/>
      <c r="AD9" s="7"/>
      <c r="AE9" s="7"/>
      <c r="AF9" s="7"/>
    </row>
    <row r="10" spans="1:32">
      <c r="T10" s="2"/>
      <c r="U10" s="2"/>
      <c r="W10" t="s">
        <v>5</v>
      </c>
      <c r="X10" s="7"/>
      <c r="Y10" s="7"/>
      <c r="Z10" s="7"/>
      <c r="AA10" s="7"/>
      <c r="AB10" s="7"/>
      <c r="AC10" s="7"/>
      <c r="AD10" s="7"/>
      <c r="AE10" s="7"/>
      <c r="AF10" s="7"/>
    </row>
    <row r="11" spans="1:32">
      <c r="T11" s="2"/>
      <c r="U11" s="2"/>
      <c r="X11" s="7"/>
      <c r="Y11" s="7"/>
      <c r="Z11" s="7"/>
      <c r="AA11" s="7"/>
      <c r="AB11" s="7"/>
      <c r="AC11" s="7"/>
      <c r="AD11" s="7"/>
      <c r="AE11" s="7"/>
      <c r="AF11" s="7"/>
    </row>
    <row r="12" spans="1:32">
      <c r="T12" s="2"/>
      <c r="U12" s="2"/>
      <c r="X12" s="7"/>
      <c r="Y12" s="7"/>
      <c r="Z12" s="7"/>
      <c r="AA12" s="7"/>
      <c r="AB12" s="7"/>
      <c r="AC12" s="7"/>
      <c r="AD12" s="7"/>
      <c r="AE12" s="7"/>
      <c r="AF12" s="7"/>
    </row>
    <row r="13" spans="1:32">
      <c r="T13" s="2"/>
      <c r="U13" s="2"/>
      <c r="X13" s="7"/>
      <c r="Y13" s="7"/>
      <c r="Z13" s="7"/>
      <c r="AA13" s="7"/>
      <c r="AB13" s="7"/>
      <c r="AC13" s="7"/>
      <c r="AD13" s="7"/>
      <c r="AE13" s="7"/>
      <c r="AF13" s="7"/>
    </row>
    <row r="14" spans="1:32">
      <c r="T14" s="2"/>
      <c r="U14" s="2"/>
      <c r="X14" s="7"/>
      <c r="Y14" s="7"/>
      <c r="Z14" s="7"/>
      <c r="AA14" s="7"/>
      <c r="AB14" s="7"/>
      <c r="AC14" s="7"/>
      <c r="AD14" s="7"/>
      <c r="AE14" s="7"/>
      <c r="AF14" s="7"/>
    </row>
    <row r="15" spans="1:32">
      <c r="T15" s="2"/>
      <c r="U15" s="2"/>
      <c r="Y15" s="7"/>
      <c r="Z15" s="7"/>
      <c r="AA15" s="7"/>
      <c r="AB15" s="7"/>
      <c r="AC15" s="7"/>
      <c r="AD15" s="7"/>
      <c r="AE15" s="7"/>
      <c r="AF15" s="7"/>
    </row>
    <row r="16" spans="1:32">
      <c r="T16" s="2"/>
      <c r="U16" s="2"/>
      <c r="X16" s="7"/>
      <c r="Y16" s="7"/>
      <c r="Z16" s="7"/>
      <c r="AA16" s="7"/>
      <c r="AB16" s="7"/>
      <c r="AC16" s="7"/>
      <c r="AD16" s="7"/>
      <c r="AE16" s="7"/>
      <c r="AF16" s="7"/>
    </row>
    <row r="17" spans="20:32">
      <c r="T17" s="2"/>
      <c r="U17" s="2"/>
      <c r="X17" s="7"/>
      <c r="Y17" s="7"/>
      <c r="Z17" s="7"/>
      <c r="AA17" s="7"/>
      <c r="AB17" s="7"/>
      <c r="AC17" s="7"/>
      <c r="AD17" s="7"/>
      <c r="AE17" s="7"/>
      <c r="AF17" s="7"/>
    </row>
    <row r="18" spans="20:32">
      <c r="T18" s="2"/>
      <c r="U18" s="2"/>
      <c r="X18" s="7"/>
      <c r="Y18" s="7"/>
      <c r="Z18" s="7"/>
      <c r="AA18" s="7"/>
      <c r="AB18" s="7"/>
      <c r="AC18" s="7"/>
      <c r="AD18" s="7"/>
      <c r="AE18" s="7"/>
      <c r="AF18" s="7"/>
    </row>
    <row r="19" spans="20:32">
      <c r="T19" s="2"/>
      <c r="U19" s="2"/>
      <c r="X19" s="7"/>
      <c r="Y19" s="7"/>
      <c r="Z19" s="7"/>
      <c r="AA19" s="7"/>
      <c r="AB19" s="7"/>
      <c r="AC19" s="7"/>
      <c r="AD19" s="7"/>
      <c r="AE19" s="7"/>
      <c r="AF19" s="7"/>
    </row>
    <row r="20" spans="20:32">
      <c r="T20" s="2"/>
      <c r="U20" s="2"/>
    </row>
  </sheetData>
  <sheetProtection algorithmName="SHA-512" hashValue="5EGgM0RhF1AOdcOwtQ3dDWoyLdCftN9K9pVqvjebY+FduwoJf3pTh8a2JUe/KGsaAx60wl1ZjPUHp0FtKgN+qA==" saltValue="4QQhzGtXkxlbqo8dzdWGTw==" spinCount="100000" sheet="1" objects="1" scenarios="1"/>
  <phoneticPr fontId="5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Dashborad</vt:lpstr>
      <vt:lpstr>Data</vt:lpstr>
      <vt:lpstr>Name1</vt:lpstr>
      <vt:lpstr>Name2</vt:lpstr>
      <vt:lpstr>Name3</vt:lpstr>
      <vt:lpstr>SampleN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</dc:creator>
  <cp:lastModifiedBy>shamim</cp:lastModifiedBy>
  <dcterms:created xsi:type="dcterms:W3CDTF">2023-01-18T14:10:08Z</dcterms:created>
  <dcterms:modified xsi:type="dcterms:W3CDTF">2023-02-01T11:50:54Z</dcterms:modified>
</cp:coreProperties>
</file>