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64011"/>
  <mc:AlternateContent xmlns:mc="http://schemas.openxmlformats.org/markup-compatibility/2006">
    <mc:Choice Requires="x15">
      <x15ac:absPath xmlns:x15ac="http://schemas.microsoft.com/office/spreadsheetml/2010/11/ac" url="\\192.168.103.79\DyeingShares\Bulk\Report\Daily Report\Aop Fabric Plan &amp; Execution Status\Bulk\"/>
    </mc:Choice>
  </mc:AlternateContent>
  <bookViews>
    <workbookView xWindow="0" yWindow="0" windowWidth="16725" windowHeight="6450" firstSheet="5" activeTab="8"/>
  </bookViews>
  <sheets>
    <sheet name="Sum of july-25" sheetId="19" state="hidden" r:id="rId1"/>
    <sheet name="Sum of Agust" sheetId="21" state="hidden" r:id="rId2"/>
    <sheet name="Sheet1" sheetId="36" state="hidden" r:id="rId3"/>
    <sheet name="Month Of May-26" sheetId="44" r:id="rId4"/>
    <sheet name="Month of June-26" sheetId="47" r:id="rId5"/>
    <sheet name="Month of July-26" sheetId="48" r:id="rId6"/>
    <sheet name="Month of August-26" sheetId="50" r:id="rId7"/>
    <sheet name="Month Of Aug Aop Summary" sheetId="54" r:id="rId8"/>
    <sheet name="Month Of September" sheetId="52" r:id="rId9"/>
    <sheet name="Month of Sep Aop Summary" sheetId="55" r:id="rId10"/>
    <sheet name="Month Of October-26" sheetId="56" r:id="rId11"/>
    <sheet name="Month of November-26" sheetId="5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6" hidden="1">'Month of August-26'!$B$73:$AA$134</definedName>
    <definedName name="_xlnm._FilterDatabase" localSheetId="5" hidden="1">'Month of July-26'!$A$1:$AA$98</definedName>
    <definedName name="_xlnm._FilterDatabase" localSheetId="4" hidden="1">'Month of June-26'!$B$4:$AA$19</definedName>
    <definedName name="_xlnm._FilterDatabase" localSheetId="3" hidden="1">'Month Of May-26'!$B$82:$AA$87</definedName>
    <definedName name="_xlnm._FilterDatabase" localSheetId="10" hidden="1">'Month Of October-26'!$B$4:$AB$190</definedName>
    <definedName name="_xlnm._FilterDatabase" localSheetId="8" hidden="1">'Month Of September'!$B$4:$AA$122</definedName>
    <definedName name="_xlnm.Print_Area" localSheetId="6">'Month of August-26'!$B$1:$AA$134</definedName>
    <definedName name="_xlnm.Print_Area" localSheetId="5">'Month of July-26'!$A$1:$AA$98</definedName>
    <definedName name="_xlnm.Print_Area" localSheetId="4">'Month of June-26'!$C$1:$AS$125</definedName>
    <definedName name="_xlnm.Print_Area" localSheetId="10">'Month Of October-26'!$B$1:$AB$190</definedName>
    <definedName name="_xlnm.Print_Area" localSheetId="8">'Month Of September'!$B$1:$AA$122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5" i="56" l="1"/>
  <c r="R81" i="52"/>
  <c r="R99" i="52"/>
  <c r="R123" i="56"/>
  <c r="R23" i="58"/>
  <c r="R52" i="56"/>
  <c r="R55" i="56"/>
  <c r="R147" i="56"/>
  <c r="R96" i="52"/>
  <c r="R72" i="56"/>
  <c r="R70" i="56"/>
  <c r="R63" i="56"/>
  <c r="R93" i="56"/>
  <c r="R60" i="56"/>
  <c r="R92" i="52"/>
  <c r="R84" i="52"/>
  <c r="R98" i="52"/>
  <c r="R113" i="50"/>
  <c r="R94" i="52"/>
  <c r="V77" i="52"/>
  <c r="V47" i="52"/>
  <c r="V82" i="52"/>
  <c r="V90" i="52"/>
  <c r="V83" i="52"/>
  <c r="V88" i="52"/>
  <c r="V91" i="52"/>
  <c r="V75" i="52"/>
  <c r="V52" i="52"/>
  <c r="V8" i="56"/>
  <c r="V79" i="56"/>
  <c r="R25" i="58" l="1"/>
  <c r="R155" i="56"/>
  <c r="R27" i="58"/>
  <c r="R145" i="56"/>
  <c r="R17" i="58"/>
  <c r="R21" i="58"/>
  <c r="P81" i="52" l="1"/>
  <c r="P77" i="52"/>
  <c r="R89" i="52" l="1"/>
  <c r="R66" i="52"/>
  <c r="R90" i="52"/>
  <c r="V64" i="48" l="1"/>
  <c r="Z38" i="52" l="1"/>
  <c r="Z34" i="52"/>
  <c r="V7" i="56" l="1"/>
  <c r="V108" i="50"/>
  <c r="R150" i="56" l="1"/>
  <c r="R107" i="56"/>
  <c r="R136" i="56"/>
  <c r="R44" i="56"/>
  <c r="R43" i="56"/>
  <c r="R66" i="56"/>
  <c r="R75" i="56"/>
  <c r="R74" i="56"/>
  <c r="R59" i="56"/>
  <c r="R69" i="56"/>
  <c r="R57" i="56"/>
  <c r="R73" i="56"/>
  <c r="R68" i="56"/>
  <c r="R58" i="56"/>
  <c r="R56" i="56"/>
  <c r="R67" i="56"/>
  <c r="R71" i="56"/>
  <c r="R65" i="56"/>
  <c r="R64" i="56"/>
  <c r="R62" i="56"/>
  <c r="R61" i="56"/>
  <c r="R75" i="52"/>
  <c r="R138" i="56"/>
  <c r="R46" i="56"/>
  <c r="R88" i="52"/>
  <c r="R91" i="52"/>
  <c r="R83" i="52"/>
  <c r="R82" i="52"/>
  <c r="V76" i="52" l="1"/>
  <c r="V106" i="50"/>
  <c r="R13" i="56" l="1"/>
  <c r="S13" i="56" s="1"/>
  <c r="Q13" i="56"/>
  <c r="R73" i="52" l="1"/>
  <c r="V12" i="56" l="1"/>
  <c r="V11" i="56"/>
  <c r="V85" i="50" l="1"/>
  <c r="R53" i="56" l="1"/>
  <c r="R149" i="56"/>
  <c r="R9" i="58"/>
  <c r="S9" i="58" s="1"/>
  <c r="R5" i="58"/>
  <c r="R50" i="56"/>
  <c r="R144" i="56"/>
  <c r="Q23" i="58"/>
  <c r="R6" i="58"/>
  <c r="S6" i="58" s="1"/>
  <c r="R10" i="58"/>
  <c r="S10" i="58" s="1"/>
  <c r="R77" i="52"/>
  <c r="R120" i="56"/>
  <c r="R41" i="56"/>
  <c r="R47" i="56"/>
  <c r="Z121" i="58"/>
  <c r="Y121" i="58"/>
  <c r="X121" i="58"/>
  <c r="V121" i="58"/>
  <c r="P121" i="58"/>
  <c r="Z120" i="58"/>
  <c r="Z119" i="58"/>
  <c r="Z118" i="58"/>
  <c r="Z117" i="58"/>
  <c r="Z116" i="58"/>
  <c r="Z115" i="58"/>
  <c r="Z114" i="58"/>
  <c r="Z113" i="58"/>
  <c r="Z112" i="58"/>
  <c r="Z111" i="58"/>
  <c r="Z110" i="58"/>
  <c r="Z109" i="58"/>
  <c r="Z108" i="58"/>
  <c r="Z107" i="58"/>
  <c r="Z106" i="58"/>
  <c r="Z105" i="58"/>
  <c r="Z104" i="58"/>
  <c r="Z103" i="58"/>
  <c r="Z102" i="58"/>
  <c r="Z101" i="58"/>
  <c r="Z100" i="58"/>
  <c r="Z99" i="58"/>
  <c r="Z98" i="58"/>
  <c r="Z97" i="58"/>
  <c r="Z96" i="58"/>
  <c r="Z95" i="58"/>
  <c r="Z94" i="58"/>
  <c r="Z93" i="58"/>
  <c r="Z92" i="58"/>
  <c r="Z91" i="58"/>
  <c r="Z90" i="58"/>
  <c r="Z89" i="58"/>
  <c r="Z88" i="58"/>
  <c r="Z87" i="58"/>
  <c r="Z86" i="58"/>
  <c r="Z85" i="58"/>
  <c r="Z84" i="58"/>
  <c r="Z83" i="58"/>
  <c r="Z82" i="58"/>
  <c r="Z81" i="58"/>
  <c r="Z80" i="58"/>
  <c r="S120" i="58"/>
  <c r="Q120" i="58"/>
  <c r="S119" i="58"/>
  <c r="Q119" i="58"/>
  <c r="S118" i="58"/>
  <c r="Q118" i="58"/>
  <c r="S117" i="58"/>
  <c r="Q117" i="58"/>
  <c r="S116" i="58"/>
  <c r="Q116" i="58"/>
  <c r="S115" i="58"/>
  <c r="Q115" i="58"/>
  <c r="S114" i="58"/>
  <c r="Q114" i="58"/>
  <c r="S113" i="58"/>
  <c r="Q113" i="58"/>
  <c r="S112" i="58"/>
  <c r="Q112" i="58"/>
  <c r="S111" i="58"/>
  <c r="Q111" i="58"/>
  <c r="S110" i="58"/>
  <c r="Q110" i="58"/>
  <c r="S109" i="58"/>
  <c r="Q109" i="58"/>
  <c r="S108" i="58"/>
  <c r="Q108" i="58"/>
  <c r="S107" i="58"/>
  <c r="Q107" i="58"/>
  <c r="S106" i="58"/>
  <c r="Q106" i="58"/>
  <c r="S105" i="58"/>
  <c r="Q105" i="58"/>
  <c r="S104" i="58"/>
  <c r="Q104" i="58"/>
  <c r="S103" i="58"/>
  <c r="Q103" i="58"/>
  <c r="S102" i="58"/>
  <c r="Q102" i="58"/>
  <c r="S101" i="58"/>
  <c r="Q101" i="58"/>
  <c r="S100" i="58"/>
  <c r="Q100" i="58"/>
  <c r="S99" i="58"/>
  <c r="Q99" i="58"/>
  <c r="S98" i="58"/>
  <c r="Q98" i="58"/>
  <c r="S97" i="58"/>
  <c r="Q97" i="58"/>
  <c r="S96" i="58"/>
  <c r="Q96" i="58"/>
  <c r="S95" i="58"/>
  <c r="Q95" i="58"/>
  <c r="S94" i="58"/>
  <c r="Q94" i="58"/>
  <c r="S93" i="58"/>
  <c r="Q93" i="58"/>
  <c r="S92" i="58"/>
  <c r="Q92" i="58"/>
  <c r="S91" i="58"/>
  <c r="Q91" i="58"/>
  <c r="S90" i="58"/>
  <c r="Q90" i="58"/>
  <c r="S89" i="58"/>
  <c r="Q89" i="58"/>
  <c r="S88" i="58"/>
  <c r="Q88" i="58"/>
  <c r="S87" i="58"/>
  <c r="Q87" i="58"/>
  <c r="S86" i="58"/>
  <c r="Q86" i="58"/>
  <c r="S85" i="58"/>
  <c r="Q85" i="58"/>
  <c r="S84" i="58"/>
  <c r="Q84" i="58"/>
  <c r="S83" i="58"/>
  <c r="Q83" i="58"/>
  <c r="S82" i="58"/>
  <c r="Q82" i="58"/>
  <c r="S81" i="58"/>
  <c r="Q81" i="58"/>
  <c r="S80" i="58"/>
  <c r="Q80" i="58"/>
  <c r="W120" i="58"/>
  <c r="W119" i="58"/>
  <c r="W118" i="58"/>
  <c r="W117" i="58"/>
  <c r="W116" i="58"/>
  <c r="W115" i="58"/>
  <c r="W114" i="58"/>
  <c r="W113" i="58"/>
  <c r="W112" i="58"/>
  <c r="W111" i="58"/>
  <c r="W110" i="58"/>
  <c r="W109" i="58"/>
  <c r="W108" i="58"/>
  <c r="W107" i="58"/>
  <c r="W106" i="58"/>
  <c r="W105" i="58"/>
  <c r="W104" i="58"/>
  <c r="W103" i="58"/>
  <c r="W102" i="58"/>
  <c r="W101" i="58"/>
  <c r="W100" i="58"/>
  <c r="W99" i="58"/>
  <c r="W98" i="58"/>
  <c r="W97" i="58"/>
  <c r="W96" i="58"/>
  <c r="W95" i="58"/>
  <c r="W94" i="58"/>
  <c r="W93" i="58"/>
  <c r="W92" i="58"/>
  <c r="W91" i="58"/>
  <c r="W90" i="58"/>
  <c r="W89" i="58"/>
  <c r="W88" i="58"/>
  <c r="W87" i="58"/>
  <c r="W86" i="58"/>
  <c r="W85" i="58"/>
  <c r="W84" i="58"/>
  <c r="W83" i="58"/>
  <c r="W82" i="58"/>
  <c r="W81" i="58"/>
  <c r="W80" i="58"/>
  <c r="Z75" i="58"/>
  <c r="Z74" i="58"/>
  <c r="Z73" i="58"/>
  <c r="Z72" i="58"/>
  <c r="Z71" i="58"/>
  <c r="Z70" i="58"/>
  <c r="Z69" i="58"/>
  <c r="Z68" i="58"/>
  <c r="Z67" i="58"/>
  <c r="Z66" i="58"/>
  <c r="Z65" i="58"/>
  <c r="Z64" i="58"/>
  <c r="Z63" i="58"/>
  <c r="Z62" i="58"/>
  <c r="Z61" i="58"/>
  <c r="Z60" i="58"/>
  <c r="Z59" i="58"/>
  <c r="Z58" i="58"/>
  <c r="Z57" i="58"/>
  <c r="Z56" i="58"/>
  <c r="Z55" i="58"/>
  <c r="Z54" i="58"/>
  <c r="Z53" i="58"/>
  <c r="Z52" i="58"/>
  <c r="Z51" i="58"/>
  <c r="Z50" i="58"/>
  <c r="Z49" i="58"/>
  <c r="Z48" i="58"/>
  <c r="Z47" i="58"/>
  <c r="Z46" i="58"/>
  <c r="Z45" i="58"/>
  <c r="Z44" i="58"/>
  <c r="W75" i="58"/>
  <c r="W74" i="58"/>
  <c r="W73" i="58"/>
  <c r="W72" i="58"/>
  <c r="W71" i="58"/>
  <c r="W70" i="58"/>
  <c r="W69" i="58"/>
  <c r="W68" i="58"/>
  <c r="W67" i="58"/>
  <c r="W66" i="58"/>
  <c r="W65" i="58"/>
  <c r="W64" i="58"/>
  <c r="W63" i="58"/>
  <c r="W62" i="58"/>
  <c r="W61" i="58"/>
  <c r="W60" i="58"/>
  <c r="W59" i="58"/>
  <c r="W58" i="58"/>
  <c r="W57" i="58"/>
  <c r="W56" i="58"/>
  <c r="W55" i="58"/>
  <c r="W54" i="58"/>
  <c r="W53" i="58"/>
  <c r="W52" i="58"/>
  <c r="W51" i="58"/>
  <c r="W50" i="58"/>
  <c r="W49" i="58"/>
  <c r="W48" i="58"/>
  <c r="W47" i="58"/>
  <c r="W46" i="58"/>
  <c r="W45" i="58"/>
  <c r="W44" i="58"/>
  <c r="S75" i="58"/>
  <c r="Q75" i="58"/>
  <c r="S74" i="58"/>
  <c r="Q74" i="58"/>
  <c r="S73" i="58"/>
  <c r="Q73" i="58"/>
  <c r="S72" i="58"/>
  <c r="Q72" i="58"/>
  <c r="S71" i="58"/>
  <c r="Q71" i="58"/>
  <c r="S70" i="58"/>
  <c r="Q70" i="58"/>
  <c r="S69" i="58"/>
  <c r="Q69" i="58"/>
  <c r="S68" i="58"/>
  <c r="Q68" i="58"/>
  <c r="S67" i="58"/>
  <c r="Q67" i="58"/>
  <c r="S66" i="58"/>
  <c r="Q66" i="58"/>
  <c r="S65" i="58"/>
  <c r="Q65" i="58"/>
  <c r="S64" i="58"/>
  <c r="Q64" i="58"/>
  <c r="S63" i="58"/>
  <c r="Q63" i="58"/>
  <c r="S62" i="58"/>
  <c r="Q62" i="58"/>
  <c r="S61" i="58"/>
  <c r="Q61" i="58"/>
  <c r="S60" i="58"/>
  <c r="Q60" i="58"/>
  <c r="S59" i="58"/>
  <c r="Q59" i="58"/>
  <c r="S58" i="58"/>
  <c r="Q58" i="58"/>
  <c r="S57" i="58"/>
  <c r="Q57" i="58"/>
  <c r="S56" i="58"/>
  <c r="Q56" i="58"/>
  <c r="S55" i="58"/>
  <c r="Q55" i="58"/>
  <c r="S54" i="58"/>
  <c r="Q54" i="58"/>
  <c r="S53" i="58"/>
  <c r="Q53" i="58"/>
  <c r="S52" i="58"/>
  <c r="Q52" i="58"/>
  <c r="S51" i="58"/>
  <c r="Q51" i="58"/>
  <c r="S50" i="58"/>
  <c r="Q50" i="58"/>
  <c r="S49" i="58"/>
  <c r="Q49" i="58"/>
  <c r="S48" i="58"/>
  <c r="Q48" i="58"/>
  <c r="S47" i="58"/>
  <c r="Q47" i="58"/>
  <c r="S46" i="58"/>
  <c r="Q46" i="58"/>
  <c r="S45" i="58"/>
  <c r="Q45" i="58"/>
  <c r="S44" i="58"/>
  <c r="Q44" i="58"/>
  <c r="Y77" i="58"/>
  <c r="X77" i="58"/>
  <c r="V77" i="58"/>
  <c r="R77" i="58"/>
  <c r="R121" i="58" s="1"/>
  <c r="P77" i="58"/>
  <c r="Z76" i="58"/>
  <c r="W76" i="58"/>
  <c r="S76" i="58"/>
  <c r="Q76" i="58"/>
  <c r="Z43" i="58"/>
  <c r="W43" i="58"/>
  <c r="S43" i="58"/>
  <c r="Q43" i="58"/>
  <c r="Z42" i="58"/>
  <c r="W42" i="58"/>
  <c r="S42" i="58"/>
  <c r="Q42" i="58"/>
  <c r="Z41" i="58"/>
  <c r="W41" i="58"/>
  <c r="S41" i="58"/>
  <c r="Q41" i="58"/>
  <c r="Z40" i="58"/>
  <c r="W40" i="58"/>
  <c r="S40" i="58"/>
  <c r="Q40" i="58"/>
  <c r="Z39" i="58"/>
  <c r="W39" i="58"/>
  <c r="S39" i="58"/>
  <c r="Q39" i="58"/>
  <c r="Z38" i="58"/>
  <c r="W38" i="58"/>
  <c r="S38" i="58"/>
  <c r="Q38" i="58"/>
  <c r="Z37" i="58"/>
  <c r="W37" i="58"/>
  <c r="S37" i="58"/>
  <c r="Q37" i="58"/>
  <c r="Z36" i="58"/>
  <c r="W36" i="58"/>
  <c r="S36" i="58"/>
  <c r="Q36" i="58"/>
  <c r="Z35" i="58"/>
  <c r="W35" i="58"/>
  <c r="S35" i="58"/>
  <c r="Q35" i="58"/>
  <c r="Z34" i="58"/>
  <c r="W34" i="58"/>
  <c r="S34" i="58"/>
  <c r="Q34" i="58"/>
  <c r="Z33" i="58"/>
  <c r="W33" i="58"/>
  <c r="S33" i="58"/>
  <c r="Q33" i="58"/>
  <c r="Z32" i="58"/>
  <c r="W32" i="58"/>
  <c r="S32" i="58"/>
  <c r="Q32" i="58"/>
  <c r="Z31" i="58"/>
  <c r="W31" i="58"/>
  <c r="S31" i="58"/>
  <c r="Q31" i="58"/>
  <c r="Z30" i="58"/>
  <c r="W30" i="58"/>
  <c r="S30" i="58"/>
  <c r="Q30" i="58"/>
  <c r="Z29" i="58"/>
  <c r="W29" i="58"/>
  <c r="S29" i="58"/>
  <c r="Q29" i="58"/>
  <c r="Z28" i="58"/>
  <c r="W28" i="58"/>
  <c r="S28" i="58"/>
  <c r="Q28" i="58"/>
  <c r="Z27" i="58"/>
  <c r="W27" i="58"/>
  <c r="S27" i="58"/>
  <c r="Q27" i="58"/>
  <c r="Z26" i="58"/>
  <c r="W26" i="58"/>
  <c r="S26" i="58"/>
  <c r="Q26" i="58"/>
  <c r="Z25" i="58"/>
  <c r="W25" i="58"/>
  <c r="S25" i="58"/>
  <c r="Q25" i="58"/>
  <c r="Z24" i="58"/>
  <c r="W24" i="58"/>
  <c r="S24" i="58"/>
  <c r="Q24" i="58"/>
  <c r="Z23" i="58"/>
  <c r="W23" i="58"/>
  <c r="S23" i="58"/>
  <c r="Z22" i="58"/>
  <c r="W22" i="58"/>
  <c r="S22" i="58"/>
  <c r="Q22" i="58"/>
  <c r="Z21" i="58"/>
  <c r="W21" i="58"/>
  <c r="S21" i="58"/>
  <c r="Q21" i="58"/>
  <c r="Z20" i="58"/>
  <c r="W20" i="58"/>
  <c r="S20" i="58"/>
  <c r="Q20" i="58"/>
  <c r="Z19" i="58"/>
  <c r="W19" i="58"/>
  <c r="S19" i="58"/>
  <c r="Q19" i="58"/>
  <c r="Z18" i="58"/>
  <c r="W18" i="58"/>
  <c r="S18" i="58"/>
  <c r="Q18" i="58"/>
  <c r="Z17" i="58"/>
  <c r="W17" i="58"/>
  <c r="S17" i="58"/>
  <c r="Q17" i="58"/>
  <c r="Z16" i="58"/>
  <c r="W16" i="58"/>
  <c r="S16" i="58"/>
  <c r="Q16" i="58"/>
  <c r="Z15" i="58"/>
  <c r="W15" i="58"/>
  <c r="S15" i="58"/>
  <c r="Q15" i="58"/>
  <c r="Z14" i="58"/>
  <c r="W14" i="58"/>
  <c r="S14" i="58"/>
  <c r="Q14" i="58"/>
  <c r="Z13" i="58"/>
  <c r="W13" i="58"/>
  <c r="S13" i="58"/>
  <c r="Q13" i="58"/>
  <c r="Z12" i="58"/>
  <c r="W12" i="58"/>
  <c r="S12" i="58"/>
  <c r="Q12" i="58"/>
  <c r="Z11" i="58"/>
  <c r="W11" i="58"/>
  <c r="S11" i="58"/>
  <c r="Q11" i="58"/>
  <c r="Z10" i="58"/>
  <c r="W10" i="58"/>
  <c r="Q10" i="58"/>
  <c r="Z9" i="58"/>
  <c r="W9" i="58"/>
  <c r="Q9" i="58"/>
  <c r="Z8" i="58"/>
  <c r="W8" i="58"/>
  <c r="S8" i="58"/>
  <c r="Q8" i="58"/>
  <c r="Z7" i="58"/>
  <c r="W7" i="58"/>
  <c r="S7" i="58"/>
  <c r="Q7" i="58"/>
  <c r="Z6" i="58"/>
  <c r="W6" i="58"/>
  <c r="Q6" i="58"/>
  <c r="Z5" i="58"/>
  <c r="W5" i="58"/>
  <c r="S5" i="58"/>
  <c r="Q5" i="58"/>
  <c r="Z77" i="58" l="1"/>
  <c r="Q77" i="58"/>
  <c r="Q121" i="58" s="1"/>
  <c r="S77" i="58"/>
  <c r="S121" i="58" s="1"/>
  <c r="W77" i="58"/>
  <c r="W121" i="58" s="1"/>
  <c r="V51" i="52" l="1"/>
  <c r="V50" i="52"/>
  <c r="V73" i="52"/>
  <c r="R106" i="50" l="1"/>
  <c r="R47" i="52"/>
  <c r="R108" i="50"/>
  <c r="R85" i="50"/>
  <c r="V30" i="52" l="1"/>
  <c r="V13" i="56"/>
  <c r="V72" i="52"/>
  <c r="V49" i="52" l="1"/>
  <c r="V48" i="52"/>
  <c r="V116" i="50"/>
  <c r="V31" i="52"/>
  <c r="V32" i="52"/>
  <c r="V87" i="52"/>
  <c r="Z180" i="56" l="1"/>
  <c r="Z179" i="56"/>
  <c r="Z178" i="56"/>
  <c r="Z177" i="56"/>
  <c r="Z176" i="56"/>
  <c r="Z175" i="56"/>
  <c r="Z174" i="56"/>
  <c r="Z173" i="56"/>
  <c r="Z172" i="56"/>
  <c r="Z171" i="56"/>
  <c r="W180" i="56"/>
  <c r="W179" i="56"/>
  <c r="W178" i="56"/>
  <c r="W177" i="56"/>
  <c r="W176" i="56"/>
  <c r="W175" i="56"/>
  <c r="W174" i="56"/>
  <c r="W173" i="56"/>
  <c r="W172" i="56"/>
  <c r="W171" i="56"/>
  <c r="S180" i="56"/>
  <c r="Q180" i="56"/>
  <c r="S179" i="56"/>
  <c r="Q179" i="56"/>
  <c r="S178" i="56"/>
  <c r="Q178" i="56"/>
  <c r="S177" i="56"/>
  <c r="Q177" i="56"/>
  <c r="S176" i="56"/>
  <c r="Q176" i="56"/>
  <c r="S175" i="56"/>
  <c r="Q175" i="56"/>
  <c r="S174" i="56"/>
  <c r="Q174" i="56"/>
  <c r="S173" i="56"/>
  <c r="Q173" i="56"/>
  <c r="S172" i="56"/>
  <c r="Q172" i="56"/>
  <c r="S171" i="56"/>
  <c r="Q171" i="56"/>
  <c r="Z116" i="56"/>
  <c r="Z115" i="56"/>
  <c r="Z114" i="56"/>
  <c r="Z113" i="56"/>
  <c r="Z112" i="56"/>
  <c r="Z111" i="56"/>
  <c r="Z110" i="56"/>
  <c r="Z109" i="56"/>
  <c r="Z108" i="56"/>
  <c r="Z107" i="56"/>
  <c r="Z106" i="56"/>
  <c r="Z105" i="56"/>
  <c r="Z104" i="56"/>
  <c r="Z103" i="56"/>
  <c r="Z102" i="56"/>
  <c r="Z101" i="56"/>
  <c r="Z100" i="56"/>
  <c r="Z99" i="56"/>
  <c r="Z98" i="56"/>
  <c r="Z97" i="56"/>
  <c r="Z96" i="56"/>
  <c r="Z95" i="56"/>
  <c r="Z94" i="56"/>
  <c r="Z93" i="56"/>
  <c r="Z90" i="56"/>
  <c r="Z89" i="56"/>
  <c r="Z88" i="56"/>
  <c r="Z87" i="56"/>
  <c r="Z86" i="56"/>
  <c r="Z85" i="56"/>
  <c r="Z84" i="56"/>
  <c r="Z83" i="56"/>
  <c r="Z82" i="56"/>
  <c r="Z81" i="56"/>
  <c r="Z80" i="56"/>
  <c r="W114" i="56"/>
  <c r="W113" i="56"/>
  <c r="W112" i="56"/>
  <c r="W111" i="56"/>
  <c r="W110" i="56"/>
  <c r="W109" i="56"/>
  <c r="W108" i="56"/>
  <c r="W107" i="56"/>
  <c r="W106" i="56"/>
  <c r="W105" i="56"/>
  <c r="W104" i="56"/>
  <c r="W103" i="56"/>
  <c r="W102" i="56"/>
  <c r="W101" i="56"/>
  <c r="W100" i="56"/>
  <c r="W99" i="56"/>
  <c r="W98" i="56"/>
  <c r="W97" i="56"/>
  <c r="W96" i="56"/>
  <c r="W95" i="56"/>
  <c r="S114" i="56"/>
  <c r="Q114" i="56"/>
  <c r="S113" i="56"/>
  <c r="Q113" i="56"/>
  <c r="S112" i="56"/>
  <c r="Q112" i="56"/>
  <c r="S111" i="56"/>
  <c r="Q111" i="56"/>
  <c r="S110" i="56"/>
  <c r="Q110" i="56"/>
  <c r="S109" i="56"/>
  <c r="Q109" i="56"/>
  <c r="S108" i="56"/>
  <c r="Q108" i="56"/>
  <c r="S107" i="56"/>
  <c r="Q107" i="56"/>
  <c r="S106" i="56"/>
  <c r="Q106" i="56"/>
  <c r="S105" i="56"/>
  <c r="Q105" i="56"/>
  <c r="S104" i="56"/>
  <c r="Q104" i="56"/>
  <c r="S103" i="56"/>
  <c r="Q103" i="56"/>
  <c r="S102" i="56"/>
  <c r="Q102" i="56"/>
  <c r="S101" i="56"/>
  <c r="Q101" i="56"/>
  <c r="S100" i="56"/>
  <c r="Q100" i="56"/>
  <c r="S99" i="56"/>
  <c r="Q99" i="56"/>
  <c r="S98" i="56"/>
  <c r="Q98" i="56"/>
  <c r="S97" i="56"/>
  <c r="Q97" i="56"/>
  <c r="S96" i="56"/>
  <c r="Q96" i="56"/>
  <c r="S95" i="56"/>
  <c r="Q95" i="56"/>
  <c r="Z169" i="56"/>
  <c r="Z168" i="56"/>
  <c r="Z167" i="56"/>
  <c r="Z166" i="56"/>
  <c r="Z165" i="56"/>
  <c r="Z164" i="56"/>
  <c r="Z163" i="56"/>
  <c r="Z162" i="56"/>
  <c r="Z161" i="56"/>
  <c r="Z160" i="56"/>
  <c r="Z159" i="56"/>
  <c r="Z158" i="56"/>
  <c r="Z157" i="56"/>
  <c r="Z156" i="56"/>
  <c r="Z155" i="56"/>
  <c r="Z154" i="56"/>
  <c r="Z153" i="56"/>
  <c r="Z152" i="56"/>
  <c r="Z151" i="56"/>
  <c r="Z150" i="56"/>
  <c r="Z149" i="56"/>
  <c r="Z148" i="56"/>
  <c r="Z147" i="56"/>
  <c r="W169" i="56"/>
  <c r="W168" i="56"/>
  <c r="W167" i="56"/>
  <c r="W166" i="56"/>
  <c r="W165" i="56"/>
  <c r="W164" i="56"/>
  <c r="W163" i="56"/>
  <c r="W162" i="56"/>
  <c r="W161" i="56"/>
  <c r="W160" i="56"/>
  <c r="W159" i="56"/>
  <c r="W158" i="56"/>
  <c r="W157" i="56"/>
  <c r="W156" i="56"/>
  <c r="W155" i="56"/>
  <c r="W154" i="56"/>
  <c r="W153" i="56"/>
  <c r="W152" i="56"/>
  <c r="W151" i="56"/>
  <c r="W150" i="56"/>
  <c r="W149" i="56"/>
  <c r="W148" i="56"/>
  <c r="W147" i="56"/>
  <c r="S169" i="56"/>
  <c r="Q169" i="56"/>
  <c r="S168" i="56"/>
  <c r="Q168" i="56"/>
  <c r="S167" i="56"/>
  <c r="Q167" i="56"/>
  <c r="S166" i="56"/>
  <c r="Q166" i="56"/>
  <c r="S165" i="56"/>
  <c r="Q165" i="56"/>
  <c r="S164" i="56"/>
  <c r="Q164" i="56"/>
  <c r="S163" i="56"/>
  <c r="Q163" i="56"/>
  <c r="S162" i="56"/>
  <c r="Q162" i="56"/>
  <c r="S161" i="56"/>
  <c r="Q161" i="56"/>
  <c r="S160" i="56"/>
  <c r="Q160" i="56"/>
  <c r="S159" i="56"/>
  <c r="Q159" i="56"/>
  <c r="S158" i="56"/>
  <c r="Q158" i="56"/>
  <c r="S157" i="56"/>
  <c r="Q157" i="56"/>
  <c r="S156" i="56"/>
  <c r="Q156" i="56"/>
  <c r="S155" i="56"/>
  <c r="Q155" i="56"/>
  <c r="S154" i="56"/>
  <c r="Q154" i="56"/>
  <c r="S153" i="56"/>
  <c r="Q153" i="56"/>
  <c r="S152" i="56"/>
  <c r="Q152" i="56"/>
  <c r="S151" i="56"/>
  <c r="Q151" i="56"/>
  <c r="S150" i="56"/>
  <c r="Q150" i="56"/>
  <c r="S149" i="56"/>
  <c r="Q149" i="56"/>
  <c r="S148" i="56"/>
  <c r="Q148" i="56"/>
  <c r="S147" i="56"/>
  <c r="Q147" i="56"/>
  <c r="V183" i="56" l="1"/>
  <c r="R183" i="56"/>
  <c r="P183" i="56"/>
  <c r="P35" i="56"/>
  <c r="P92" i="56"/>
  <c r="Z92" i="56" s="1"/>
  <c r="P91" i="56"/>
  <c r="Z91" i="56" s="1"/>
  <c r="P117" i="56" l="1"/>
  <c r="P184" i="56"/>
  <c r="R12" i="56"/>
  <c r="R64" i="50"/>
  <c r="V33" i="52"/>
  <c r="V88" i="50" l="1"/>
  <c r="V67" i="52"/>
  <c r="R50" i="52"/>
  <c r="R51" i="52"/>
  <c r="R52" i="52"/>
  <c r="R11" i="56"/>
  <c r="R72" i="52"/>
  <c r="R87" i="52"/>
  <c r="V44" i="52" l="1"/>
  <c r="V10" i="56" l="1"/>
  <c r="V78" i="52"/>
  <c r="V78" i="56"/>
  <c r="V117" i="56" s="1"/>
  <c r="V68" i="52"/>
  <c r="V70" i="52"/>
  <c r="V69" i="52"/>
  <c r="R66" i="50" l="1"/>
  <c r="V10" i="44" l="1"/>
  <c r="V66" i="50"/>
  <c r="V26" i="52"/>
  <c r="V9" i="56" l="1"/>
  <c r="R10" i="56"/>
  <c r="R9" i="56"/>
  <c r="R79" i="56" l="1"/>
  <c r="R78" i="56"/>
  <c r="Z70" i="50" l="1"/>
  <c r="V119" i="50"/>
  <c r="R33" i="52" l="1"/>
  <c r="V43" i="52" l="1"/>
  <c r="V86" i="52"/>
  <c r="R31" i="52" l="1"/>
  <c r="R30" i="52"/>
  <c r="R76" i="56"/>
  <c r="R117" i="56" s="1"/>
  <c r="V74" i="52" l="1"/>
  <c r="V86" i="50"/>
  <c r="R67" i="52" l="1"/>
  <c r="V113" i="50"/>
  <c r="V14" i="56"/>
  <c r="V35" i="56" s="1"/>
  <c r="V184" i="56" s="1"/>
  <c r="V81" i="50" l="1"/>
  <c r="V82" i="50"/>
  <c r="R49" i="52" l="1"/>
  <c r="R26" i="52" l="1"/>
  <c r="R69" i="52"/>
  <c r="R70" i="52"/>
  <c r="R68" i="52"/>
  <c r="R14" i="56"/>
  <c r="R8" i="56"/>
  <c r="R32" i="52"/>
  <c r="R7" i="56"/>
  <c r="R35" i="56" l="1"/>
  <c r="R184" i="56" s="1"/>
  <c r="R51" i="50"/>
  <c r="V51" i="50"/>
  <c r="S52" i="52" l="1"/>
  <c r="Q52" i="52"/>
  <c r="P52" i="52"/>
  <c r="Z52" i="52" s="1"/>
  <c r="W51" i="52"/>
  <c r="S51" i="52"/>
  <c r="P51" i="52"/>
  <c r="Z51" i="52" s="1"/>
  <c r="P50" i="52"/>
  <c r="S50" i="52" s="1"/>
  <c r="W50" i="52" l="1"/>
  <c r="Q51" i="52"/>
  <c r="Z50" i="52"/>
  <c r="Q50" i="52"/>
  <c r="W52" i="52"/>
  <c r="V17" i="50" l="1"/>
  <c r="V85" i="52"/>
  <c r="V79" i="52"/>
  <c r="V53" i="50"/>
  <c r="V64" i="50"/>
  <c r="R82" i="50" l="1"/>
  <c r="R48" i="52"/>
  <c r="W116" i="56" l="1"/>
  <c r="W115" i="56"/>
  <c r="W94" i="56"/>
  <c r="W93" i="56"/>
  <c r="W92" i="56"/>
  <c r="W91" i="56"/>
  <c r="W90" i="56"/>
  <c r="W89" i="56"/>
  <c r="W88" i="56"/>
  <c r="W87" i="56"/>
  <c r="W86" i="56"/>
  <c r="W85" i="56"/>
  <c r="W84" i="56"/>
  <c r="W83" i="56"/>
  <c r="W82" i="56"/>
  <c r="W81" i="56"/>
  <c r="W80" i="56"/>
  <c r="S116" i="56"/>
  <c r="Q116" i="56"/>
  <c r="S115" i="56"/>
  <c r="Q115" i="56"/>
  <c r="S94" i="56"/>
  <c r="Q94" i="56"/>
  <c r="S93" i="56"/>
  <c r="Q93" i="56"/>
  <c r="S92" i="56"/>
  <c r="Q92" i="56"/>
  <c r="S91" i="56"/>
  <c r="Q91" i="56"/>
  <c r="S90" i="56"/>
  <c r="Q90" i="56"/>
  <c r="S89" i="56"/>
  <c r="Q89" i="56"/>
  <c r="S88" i="56"/>
  <c r="Q88" i="56"/>
  <c r="S87" i="56"/>
  <c r="Q87" i="56"/>
  <c r="S86" i="56"/>
  <c r="Q86" i="56"/>
  <c r="S85" i="56"/>
  <c r="Q85" i="56"/>
  <c r="S84" i="56"/>
  <c r="Q84" i="56"/>
  <c r="S83" i="56"/>
  <c r="Q83" i="56"/>
  <c r="S82" i="56"/>
  <c r="Q82" i="56"/>
  <c r="S81" i="56"/>
  <c r="Q81" i="56"/>
  <c r="S80" i="56"/>
  <c r="Q80" i="56"/>
  <c r="W64" i="56"/>
  <c r="W63" i="56"/>
  <c r="W62" i="56"/>
  <c r="W61" i="56"/>
  <c r="W60" i="56"/>
  <c r="W59" i="56"/>
  <c r="W58" i="56"/>
  <c r="W57" i="56"/>
  <c r="W56" i="56"/>
  <c r="W55" i="56"/>
  <c r="W54" i="56"/>
  <c r="W53" i="56"/>
  <c r="W52" i="56"/>
  <c r="S64" i="56"/>
  <c r="Q64" i="56"/>
  <c r="S63" i="56"/>
  <c r="Q63" i="56"/>
  <c r="S62" i="56"/>
  <c r="Q62" i="56"/>
  <c r="S61" i="56"/>
  <c r="Q61" i="56"/>
  <c r="S60" i="56"/>
  <c r="Q60" i="56"/>
  <c r="S59" i="56"/>
  <c r="Q59" i="56"/>
  <c r="S58" i="56"/>
  <c r="Q58" i="56"/>
  <c r="S57" i="56"/>
  <c r="Q57" i="56"/>
  <c r="S56" i="56"/>
  <c r="Q56" i="56"/>
  <c r="S55" i="56"/>
  <c r="Q55" i="56"/>
  <c r="S54" i="56"/>
  <c r="Q54" i="56"/>
  <c r="S53" i="56"/>
  <c r="Q53" i="56"/>
  <c r="S52" i="56"/>
  <c r="Q52" i="56"/>
  <c r="W31" i="56"/>
  <c r="W30" i="56"/>
  <c r="W29" i="56"/>
  <c r="W28" i="56"/>
  <c r="W27" i="56"/>
  <c r="W26" i="56"/>
  <c r="W25" i="56"/>
  <c r="W24" i="56"/>
  <c r="W23" i="56"/>
  <c r="W22" i="56"/>
  <c r="W21" i="56"/>
  <c r="W20" i="56"/>
  <c r="W19" i="56"/>
  <c r="S31" i="56"/>
  <c r="Q31" i="56"/>
  <c r="S30" i="56"/>
  <c r="Q30" i="56"/>
  <c r="S29" i="56"/>
  <c r="Q29" i="56"/>
  <c r="S28" i="56"/>
  <c r="Q28" i="56"/>
  <c r="S27" i="56"/>
  <c r="Q27" i="56"/>
  <c r="S26" i="56"/>
  <c r="Q26" i="56"/>
  <c r="S25" i="56"/>
  <c r="Q25" i="56"/>
  <c r="S24" i="56"/>
  <c r="Q24" i="56"/>
  <c r="S23" i="56"/>
  <c r="Q23" i="56"/>
  <c r="S22" i="56"/>
  <c r="Q22" i="56"/>
  <c r="S21" i="56"/>
  <c r="Q21" i="56"/>
  <c r="S20" i="56"/>
  <c r="Q20" i="56"/>
  <c r="S19" i="56"/>
  <c r="Q19" i="56"/>
  <c r="P33" i="52" l="1"/>
  <c r="R44" i="52" l="1"/>
  <c r="W43" i="52"/>
  <c r="R43" i="52"/>
  <c r="S43" i="52" s="1"/>
  <c r="Z43" i="52"/>
  <c r="V41" i="50"/>
  <c r="V38" i="50"/>
  <c r="V109" i="50"/>
  <c r="R86" i="52" l="1"/>
  <c r="R85" i="52"/>
  <c r="P95" i="52" l="1"/>
  <c r="P94" i="52"/>
  <c r="V77" i="50" l="1"/>
  <c r="V5" i="52"/>
  <c r="V55" i="50" l="1"/>
  <c r="R119" i="50"/>
  <c r="V19" i="52" l="1"/>
  <c r="V13" i="52"/>
  <c r="V84" i="50"/>
  <c r="G190" i="56" l="1"/>
  <c r="Y183" i="56"/>
  <c r="X183" i="56"/>
  <c r="Z182" i="56"/>
  <c r="W182" i="56"/>
  <c r="S182" i="56"/>
  <c r="Q182" i="56"/>
  <c r="Z181" i="56"/>
  <c r="W181" i="56"/>
  <c r="S181" i="56"/>
  <c r="Q181" i="56"/>
  <c r="Z170" i="56"/>
  <c r="W170" i="56"/>
  <c r="S170" i="56"/>
  <c r="Q170" i="56"/>
  <c r="Z146" i="56"/>
  <c r="W146" i="56"/>
  <c r="S146" i="56"/>
  <c r="Q146" i="56"/>
  <c r="Z145" i="56"/>
  <c r="W145" i="56"/>
  <c r="S145" i="56"/>
  <c r="Q145" i="56"/>
  <c r="Z144" i="56"/>
  <c r="Z183" i="56" s="1"/>
  <c r="W144" i="56"/>
  <c r="S144" i="56"/>
  <c r="Q144" i="56"/>
  <c r="Z143" i="56"/>
  <c r="W143" i="56"/>
  <c r="S143" i="56"/>
  <c r="Q143" i="56"/>
  <c r="Z142" i="56"/>
  <c r="W142" i="56"/>
  <c r="S142" i="56"/>
  <c r="Q142" i="56"/>
  <c r="Z141" i="56"/>
  <c r="W141" i="56"/>
  <c r="S141" i="56"/>
  <c r="Q141" i="56"/>
  <c r="Z140" i="56"/>
  <c r="W140" i="56"/>
  <c r="S140" i="56"/>
  <c r="Q140" i="56"/>
  <c r="Z139" i="56"/>
  <c r="W139" i="56"/>
  <c r="S139" i="56"/>
  <c r="Q139" i="56"/>
  <c r="Z138" i="56"/>
  <c r="W138" i="56"/>
  <c r="S138" i="56"/>
  <c r="Q138" i="56"/>
  <c r="Z137" i="56"/>
  <c r="W137" i="56"/>
  <c r="S137" i="56"/>
  <c r="Q137" i="56"/>
  <c r="Z136" i="56"/>
  <c r="W136" i="56"/>
  <c r="S136" i="56"/>
  <c r="Q136" i="56"/>
  <c r="Z135" i="56"/>
  <c r="W135" i="56"/>
  <c r="S135" i="56"/>
  <c r="Q135" i="56"/>
  <c r="Z134" i="56"/>
  <c r="W134" i="56"/>
  <c r="S134" i="56"/>
  <c r="Q134" i="56"/>
  <c r="Z133" i="56"/>
  <c r="W133" i="56"/>
  <c r="S133" i="56"/>
  <c r="Q133" i="56"/>
  <c r="Z132" i="56"/>
  <c r="W132" i="56"/>
  <c r="S132" i="56"/>
  <c r="Q132" i="56"/>
  <c r="Z131" i="56"/>
  <c r="W131" i="56"/>
  <c r="S131" i="56"/>
  <c r="Q131" i="56"/>
  <c r="Z130" i="56"/>
  <c r="W130" i="56"/>
  <c r="S130" i="56"/>
  <c r="Q130" i="56"/>
  <c r="Z129" i="56"/>
  <c r="W129" i="56"/>
  <c r="S129" i="56"/>
  <c r="Q129" i="56"/>
  <c r="Z128" i="56"/>
  <c r="W128" i="56"/>
  <c r="S128" i="56"/>
  <c r="Q128" i="56"/>
  <c r="Z127" i="56"/>
  <c r="W127" i="56"/>
  <c r="S127" i="56"/>
  <c r="Q127" i="56"/>
  <c r="Z126" i="56"/>
  <c r="W126" i="56"/>
  <c r="S126" i="56"/>
  <c r="Q126" i="56"/>
  <c r="Z125" i="56"/>
  <c r="W125" i="56"/>
  <c r="S125" i="56"/>
  <c r="Q125" i="56"/>
  <c r="Z124" i="56"/>
  <c r="W124" i="56"/>
  <c r="S124" i="56"/>
  <c r="Q124" i="56"/>
  <c r="Z123" i="56"/>
  <c r="W123" i="56"/>
  <c r="S123" i="56"/>
  <c r="Q123" i="56"/>
  <c r="Z122" i="56"/>
  <c r="W122" i="56"/>
  <c r="S122" i="56"/>
  <c r="Q122" i="56"/>
  <c r="Z121" i="56"/>
  <c r="W121" i="56"/>
  <c r="S121" i="56"/>
  <c r="Q121" i="56"/>
  <c r="Z120" i="56"/>
  <c r="W120" i="56"/>
  <c r="S120" i="56"/>
  <c r="Q120" i="56"/>
  <c r="Y117" i="56"/>
  <c r="X117" i="56"/>
  <c r="Z79" i="56"/>
  <c r="W79" i="56"/>
  <c r="S79" i="56"/>
  <c r="Q79" i="56"/>
  <c r="Z78" i="56"/>
  <c r="W78" i="56"/>
  <c r="S78" i="56"/>
  <c r="Q78" i="56"/>
  <c r="Z77" i="56"/>
  <c r="W77" i="56"/>
  <c r="S77" i="56"/>
  <c r="Q77" i="56"/>
  <c r="Z76" i="56"/>
  <c r="W76" i="56"/>
  <c r="S76" i="56"/>
  <c r="Q76" i="56"/>
  <c r="Z75" i="56"/>
  <c r="W75" i="56"/>
  <c r="S75" i="56"/>
  <c r="Q75" i="56"/>
  <c r="Z74" i="56"/>
  <c r="W74" i="56"/>
  <c r="S74" i="56"/>
  <c r="Q74" i="56"/>
  <c r="Z73" i="56"/>
  <c r="W73" i="56"/>
  <c r="S73" i="56"/>
  <c r="Q73" i="56"/>
  <c r="Z72" i="56"/>
  <c r="W72" i="56"/>
  <c r="S72" i="56"/>
  <c r="Q72" i="56"/>
  <c r="Z71" i="56"/>
  <c r="W71" i="56"/>
  <c r="S71" i="56"/>
  <c r="Q71" i="56"/>
  <c r="Z70" i="56"/>
  <c r="W70" i="56"/>
  <c r="S70" i="56"/>
  <c r="Q70" i="56"/>
  <c r="Z69" i="56"/>
  <c r="W69" i="56"/>
  <c r="S69" i="56"/>
  <c r="Q69" i="56"/>
  <c r="Z68" i="56"/>
  <c r="W68" i="56"/>
  <c r="S68" i="56"/>
  <c r="Q68" i="56"/>
  <c r="Z67" i="56"/>
  <c r="W67" i="56"/>
  <c r="S67" i="56"/>
  <c r="Q67" i="56"/>
  <c r="Z66" i="56"/>
  <c r="W66" i="56"/>
  <c r="S66" i="56"/>
  <c r="Q66" i="56"/>
  <c r="Z65" i="56"/>
  <c r="W65" i="56"/>
  <c r="S65" i="56"/>
  <c r="Q65" i="56"/>
  <c r="Z51" i="56"/>
  <c r="W51" i="56"/>
  <c r="S51" i="56"/>
  <c r="Q51" i="56"/>
  <c r="Z50" i="56"/>
  <c r="W50" i="56"/>
  <c r="S50" i="56"/>
  <c r="Q50" i="56"/>
  <c r="Z49" i="56"/>
  <c r="W49" i="56"/>
  <c r="S49" i="56"/>
  <c r="Q49" i="56"/>
  <c r="Z48" i="56"/>
  <c r="W48" i="56"/>
  <c r="S48" i="56"/>
  <c r="Q48" i="56"/>
  <c r="Z47" i="56"/>
  <c r="W47" i="56"/>
  <c r="S47" i="56"/>
  <c r="Q47" i="56"/>
  <c r="Z46" i="56"/>
  <c r="W46" i="56"/>
  <c r="S46" i="56"/>
  <c r="Q46" i="56"/>
  <c r="Z45" i="56"/>
  <c r="W45" i="56"/>
  <c r="S45" i="56"/>
  <c r="Q45" i="56"/>
  <c r="Z44" i="56"/>
  <c r="W44" i="56"/>
  <c r="S44" i="56"/>
  <c r="Q44" i="56"/>
  <c r="Z43" i="56"/>
  <c r="W43" i="56"/>
  <c r="S43" i="56"/>
  <c r="Q43" i="56"/>
  <c r="Z42" i="56"/>
  <c r="W42" i="56"/>
  <c r="S42" i="56"/>
  <c r="Q42" i="56"/>
  <c r="Z41" i="56"/>
  <c r="W41" i="56"/>
  <c r="S41" i="56"/>
  <c r="Q41" i="56"/>
  <c r="Z40" i="56"/>
  <c r="W40" i="56"/>
  <c r="S40" i="56"/>
  <c r="Q40" i="56"/>
  <c r="Z39" i="56"/>
  <c r="W39" i="56"/>
  <c r="S39" i="56"/>
  <c r="Q39" i="56"/>
  <c r="Z38" i="56"/>
  <c r="W38" i="56"/>
  <c r="S38" i="56"/>
  <c r="Q38" i="56"/>
  <c r="Y35" i="56"/>
  <c r="X35" i="56"/>
  <c r="Z34" i="56"/>
  <c r="W34" i="56"/>
  <c r="S34" i="56"/>
  <c r="Q34" i="56"/>
  <c r="Z33" i="56"/>
  <c r="W33" i="56"/>
  <c r="S33" i="56"/>
  <c r="Q33" i="56"/>
  <c r="Z32" i="56"/>
  <c r="W32" i="56"/>
  <c r="S32" i="56"/>
  <c r="Q32" i="56"/>
  <c r="Z18" i="56"/>
  <c r="W18" i="56"/>
  <c r="S18" i="56"/>
  <c r="Q18" i="56"/>
  <c r="Z17" i="56"/>
  <c r="Z35" i="56" s="1"/>
  <c r="W17" i="56"/>
  <c r="S17" i="56"/>
  <c r="Q17" i="56"/>
  <c r="Z16" i="56"/>
  <c r="W16" i="56"/>
  <c r="S16" i="56"/>
  <c r="Q16" i="56"/>
  <c r="Z15" i="56"/>
  <c r="W15" i="56"/>
  <c r="S15" i="56"/>
  <c r="Q15" i="56"/>
  <c r="Z14" i="56"/>
  <c r="W14" i="56"/>
  <c r="S14" i="56"/>
  <c r="Q14" i="56"/>
  <c r="Z13" i="56"/>
  <c r="W13" i="56"/>
  <c r="Z12" i="56"/>
  <c r="W12" i="56"/>
  <c r="S12" i="56"/>
  <c r="Q12" i="56"/>
  <c r="Z11" i="56"/>
  <c r="W11" i="56"/>
  <c r="S11" i="56"/>
  <c r="Q11" i="56"/>
  <c r="Z10" i="56"/>
  <c r="W10" i="56"/>
  <c r="S10" i="56"/>
  <c r="Q10" i="56"/>
  <c r="Z9" i="56"/>
  <c r="W9" i="56"/>
  <c r="S9" i="56"/>
  <c r="Q9" i="56"/>
  <c r="Z8" i="56"/>
  <c r="W8" i="56"/>
  <c r="S8" i="56"/>
  <c r="Q8" i="56"/>
  <c r="Z7" i="56"/>
  <c r="W7" i="56"/>
  <c r="S7" i="56"/>
  <c r="Q7" i="56"/>
  <c r="Z6" i="56"/>
  <c r="W6" i="56"/>
  <c r="S6" i="56"/>
  <c r="Q6" i="56"/>
  <c r="Z5" i="56"/>
  <c r="W5" i="56"/>
  <c r="S5" i="56"/>
  <c r="Q5" i="56"/>
  <c r="W35" i="56" l="1"/>
  <c r="Q35" i="56"/>
  <c r="Q117" i="56"/>
  <c r="W117" i="56"/>
  <c r="S117" i="56"/>
  <c r="S35" i="56"/>
  <c r="Q183" i="56"/>
  <c r="S183" i="56"/>
  <c r="W183" i="56"/>
  <c r="Z117" i="56"/>
  <c r="Z184" i="56"/>
  <c r="V80" i="52"/>
  <c r="Q184" i="56" l="1"/>
  <c r="W184" i="56"/>
  <c r="S184" i="56"/>
  <c r="V40" i="50"/>
  <c r="R79" i="52" l="1"/>
  <c r="V39" i="50" l="1"/>
  <c r="V16" i="50"/>
  <c r="P87" i="52" l="1"/>
  <c r="P86" i="52"/>
  <c r="V104" i="50" l="1"/>
  <c r="V7" i="52"/>
  <c r="V17" i="52"/>
  <c r="V15" i="52"/>
  <c r="V90" i="50"/>
  <c r="V11" i="52"/>
  <c r="V9" i="52"/>
  <c r="V115" i="50" l="1"/>
  <c r="V92" i="50"/>
  <c r="R53" i="50" l="1"/>
  <c r="V83" i="50"/>
  <c r="V33" i="50" l="1"/>
  <c r="V42" i="50"/>
  <c r="V37" i="50"/>
  <c r="G122" i="52" l="1"/>
  <c r="N8" i="55"/>
  <c r="M8" i="55"/>
  <c r="L8" i="55"/>
  <c r="K8" i="55"/>
  <c r="J8" i="55"/>
  <c r="I8" i="55"/>
  <c r="H8" i="55"/>
  <c r="G8" i="55"/>
  <c r="F8" i="55"/>
  <c r="E8" i="55"/>
  <c r="D8" i="55"/>
  <c r="V44" i="50" l="1"/>
  <c r="V16" i="52"/>
  <c r="R80" i="52" l="1"/>
  <c r="R78" i="52"/>
  <c r="R55" i="50"/>
  <c r="R115" i="50"/>
  <c r="V95" i="50" l="1"/>
  <c r="V6" i="50"/>
  <c r="R116" i="50" l="1"/>
  <c r="V21" i="52" l="1"/>
  <c r="V45" i="52"/>
  <c r="V46" i="50"/>
  <c r="V76" i="50"/>
  <c r="V107" i="50" l="1"/>
  <c r="V117" i="50"/>
  <c r="V49" i="50"/>
  <c r="V48" i="50"/>
  <c r="V47" i="50"/>
  <c r="V36" i="50"/>
  <c r="V20" i="52"/>
  <c r="V14" i="52"/>
  <c r="V8" i="52"/>
  <c r="R95" i="50" l="1"/>
  <c r="P115" i="52" l="1"/>
  <c r="R104" i="50" l="1"/>
  <c r="R109" i="50"/>
  <c r="N8" i="54" l="1"/>
  <c r="M8" i="54"/>
  <c r="L8" i="54"/>
  <c r="K8" i="54"/>
  <c r="J8" i="54"/>
  <c r="I8" i="54"/>
  <c r="H8" i="54"/>
  <c r="G8" i="54"/>
  <c r="F8" i="54"/>
  <c r="E8" i="54"/>
  <c r="D8" i="54"/>
  <c r="V67" i="50" l="1"/>
  <c r="V65" i="48"/>
  <c r="V98" i="50"/>
  <c r="V25" i="52"/>
  <c r="V101" i="50"/>
  <c r="V78" i="50"/>
  <c r="V18" i="52"/>
  <c r="R16" i="52" l="1"/>
  <c r="R7" i="52"/>
  <c r="R45" i="52"/>
  <c r="R21" i="52"/>
  <c r="R92" i="50"/>
  <c r="R76" i="52"/>
  <c r="V69" i="50" l="1"/>
  <c r="P15" i="50" l="1"/>
  <c r="V46" i="52" l="1"/>
  <c r="V27" i="52"/>
  <c r="V24" i="52"/>
  <c r="R8" i="52" l="1"/>
  <c r="R18" i="52"/>
  <c r="R20" i="52"/>
  <c r="R101" i="50"/>
  <c r="R98" i="50"/>
  <c r="V97" i="50" l="1"/>
  <c r="V23" i="52" l="1"/>
  <c r="V89" i="50"/>
  <c r="V87" i="50"/>
  <c r="V22" i="52" l="1"/>
  <c r="R46" i="52" l="1"/>
  <c r="R24" i="52"/>
  <c r="R25" i="52"/>
  <c r="R67" i="50"/>
  <c r="R27" i="52"/>
  <c r="R84" i="50" l="1"/>
  <c r="V118" i="50"/>
  <c r="V114" i="50"/>
  <c r="V61" i="50"/>
  <c r="V57" i="50"/>
  <c r="V58" i="50"/>
  <c r="V52" i="50"/>
  <c r="V59" i="50"/>
  <c r="V43" i="50"/>
  <c r="V68" i="50"/>
  <c r="V17" i="48"/>
  <c r="V60" i="50"/>
  <c r="V5" i="50"/>
  <c r="V91" i="50" l="1"/>
  <c r="V12" i="52"/>
  <c r="V10" i="52"/>
  <c r="V105" i="50"/>
  <c r="W51" i="50" l="1"/>
  <c r="R5" i="52"/>
  <c r="R117" i="50"/>
  <c r="R78" i="50"/>
  <c r="R77" i="50"/>
  <c r="V71" i="52" l="1"/>
  <c r="V115" i="52" s="1"/>
  <c r="V54" i="50" l="1"/>
  <c r="V50" i="50"/>
  <c r="V56" i="50"/>
  <c r="V62" i="50"/>
  <c r="V63" i="50"/>
  <c r="V65" i="50"/>
  <c r="P84" i="50" l="1"/>
  <c r="R69" i="50" l="1"/>
  <c r="R74" i="52"/>
  <c r="R68" i="50"/>
  <c r="R17" i="48"/>
  <c r="V111" i="50" l="1"/>
  <c r="V100" i="50"/>
  <c r="V7" i="50"/>
  <c r="V15" i="48"/>
  <c r="V35" i="48"/>
  <c r="V110" i="50" l="1"/>
  <c r="V8" i="50"/>
  <c r="V31" i="50"/>
  <c r="R23" i="52" l="1"/>
  <c r="R22" i="52"/>
  <c r="R38" i="50" l="1"/>
  <c r="R37" i="50"/>
  <c r="R42" i="50"/>
  <c r="R41" i="50"/>
  <c r="R39" i="50"/>
  <c r="R40" i="50"/>
  <c r="R16" i="50"/>
  <c r="R17" i="50"/>
  <c r="R17" i="52"/>
  <c r="R15" i="52"/>
  <c r="R105" i="50"/>
  <c r="V35" i="50"/>
  <c r="V34" i="50"/>
  <c r="V28" i="52"/>
  <c r="V29" i="52"/>
  <c r="W86" i="50" l="1"/>
  <c r="R6" i="50"/>
  <c r="R61" i="50" l="1"/>
  <c r="R59" i="50"/>
  <c r="R56" i="50"/>
  <c r="R50" i="50"/>
  <c r="R7" i="50"/>
  <c r="R5" i="50"/>
  <c r="V13" i="50" l="1"/>
  <c r="V11" i="50"/>
  <c r="V103" i="50"/>
  <c r="V93" i="50"/>
  <c r="V96" i="50"/>
  <c r="V84" i="47"/>
  <c r="V102" i="50"/>
  <c r="V94" i="50"/>
  <c r="P116" i="50" l="1"/>
  <c r="P115" i="50"/>
  <c r="R100" i="50" l="1"/>
  <c r="R110" i="50" l="1"/>
  <c r="R107" i="50" l="1"/>
  <c r="R33" i="50"/>
  <c r="R111" i="50"/>
  <c r="R84" i="47" l="1"/>
  <c r="V18" i="48" l="1"/>
  <c r="V112" i="50" l="1"/>
  <c r="V99" i="50"/>
  <c r="R118" i="50" l="1"/>
  <c r="R12" i="52"/>
  <c r="R10" i="52"/>
  <c r="R14" i="52"/>
  <c r="R11" i="52"/>
  <c r="R9" i="52"/>
  <c r="R71" i="52"/>
  <c r="R115" i="52" s="1"/>
  <c r="R19" i="52" l="1"/>
  <c r="R13" i="52"/>
  <c r="S13" i="52" s="1"/>
  <c r="R28" i="52"/>
  <c r="S28" i="52" s="1"/>
  <c r="R29" i="52"/>
  <c r="S29" i="52" s="1"/>
  <c r="V6" i="52"/>
  <c r="V39" i="52" s="1"/>
  <c r="R6" i="52"/>
  <c r="S6" i="52" s="1"/>
  <c r="V63" i="52"/>
  <c r="R63" i="52"/>
  <c r="P63" i="52"/>
  <c r="P39" i="52"/>
  <c r="Z114" i="52"/>
  <c r="W114" i="52"/>
  <c r="S114" i="52"/>
  <c r="Q114" i="52"/>
  <c r="Z113" i="52"/>
  <c r="W113" i="52"/>
  <c r="S113" i="52"/>
  <c r="Q113" i="52"/>
  <c r="Z112" i="52"/>
  <c r="W112" i="52"/>
  <c r="S112" i="52"/>
  <c r="Q112" i="52"/>
  <c r="Z111" i="52"/>
  <c r="W111" i="52"/>
  <c r="S111" i="52"/>
  <c r="Q111" i="52"/>
  <c r="Z110" i="52"/>
  <c r="W110" i="52"/>
  <c r="S110" i="52"/>
  <c r="Q110" i="52"/>
  <c r="Z109" i="52"/>
  <c r="W109" i="52"/>
  <c r="S109" i="52"/>
  <c r="Q109" i="52"/>
  <c r="Z108" i="52"/>
  <c r="W108" i="52"/>
  <c r="S108" i="52"/>
  <c r="Q108" i="52"/>
  <c r="Z107" i="52"/>
  <c r="Z115" i="52" s="1"/>
  <c r="W107" i="52"/>
  <c r="S107" i="52"/>
  <c r="Q107" i="52"/>
  <c r="Z106" i="52"/>
  <c r="W106" i="52"/>
  <c r="S106" i="52"/>
  <c r="Q106" i="52"/>
  <c r="Z105" i="52"/>
  <c r="W105" i="52"/>
  <c r="S105" i="52"/>
  <c r="Q105" i="52"/>
  <c r="Z104" i="52"/>
  <c r="W104" i="52"/>
  <c r="S104" i="52"/>
  <c r="Q104" i="52"/>
  <c r="Z103" i="52"/>
  <c r="W103" i="52"/>
  <c r="S103" i="52"/>
  <c r="Q103" i="52"/>
  <c r="Z102" i="52"/>
  <c r="W102" i="52"/>
  <c r="S102" i="52"/>
  <c r="Q102" i="52"/>
  <c r="Z101" i="52"/>
  <c r="W101" i="52"/>
  <c r="S101" i="52"/>
  <c r="Q101" i="52"/>
  <c r="Z100" i="52"/>
  <c r="W100" i="52"/>
  <c r="S100" i="52"/>
  <c r="Q100" i="52"/>
  <c r="Z99" i="52"/>
  <c r="W99" i="52"/>
  <c r="S99" i="52"/>
  <c r="Q99" i="52"/>
  <c r="Z98" i="52"/>
  <c r="W98" i="52"/>
  <c r="S98" i="52"/>
  <c r="Q98" i="52"/>
  <c r="Z97" i="52"/>
  <c r="W97" i="52"/>
  <c r="S97" i="52"/>
  <c r="Q97" i="52"/>
  <c r="Z96" i="52"/>
  <c r="W96" i="52"/>
  <c r="S96" i="52"/>
  <c r="Q96" i="52"/>
  <c r="Z95" i="52"/>
  <c r="W95" i="52"/>
  <c r="S95" i="52"/>
  <c r="Q95" i="52"/>
  <c r="Z94" i="52"/>
  <c r="W94" i="52"/>
  <c r="S94" i="52"/>
  <c r="Q94" i="52"/>
  <c r="Z93" i="52"/>
  <c r="W93" i="52"/>
  <c r="S93" i="52"/>
  <c r="Q93" i="52"/>
  <c r="Z92" i="52"/>
  <c r="W92" i="52"/>
  <c r="S92" i="52"/>
  <c r="Q92" i="52"/>
  <c r="Z91" i="52"/>
  <c r="W91" i="52"/>
  <c r="S91" i="52"/>
  <c r="Q91" i="52"/>
  <c r="Z90" i="52"/>
  <c r="W90" i="52"/>
  <c r="S90" i="52"/>
  <c r="Q90" i="52"/>
  <c r="Z89" i="52"/>
  <c r="W89" i="52"/>
  <c r="S89" i="52"/>
  <c r="Q89" i="52"/>
  <c r="Z88" i="52"/>
  <c r="W88" i="52"/>
  <c r="S88" i="52"/>
  <c r="Q88" i="52"/>
  <c r="Z87" i="52"/>
  <c r="W87" i="52"/>
  <c r="S87" i="52"/>
  <c r="Q87" i="52"/>
  <c r="Z86" i="52"/>
  <c r="W86" i="52"/>
  <c r="S86" i="52"/>
  <c r="Q86" i="52"/>
  <c r="Z85" i="52"/>
  <c r="W85" i="52"/>
  <c r="S85" i="52"/>
  <c r="Q85" i="52"/>
  <c r="Z84" i="52"/>
  <c r="W84" i="52"/>
  <c r="S84" i="52"/>
  <c r="Q84" i="52"/>
  <c r="Z83" i="52"/>
  <c r="W83" i="52"/>
  <c r="S83" i="52"/>
  <c r="Q83" i="52"/>
  <c r="Z82" i="52"/>
  <c r="W82" i="52"/>
  <c r="S82" i="52"/>
  <c r="Q82" i="52"/>
  <c r="Z81" i="52"/>
  <c r="W81" i="52"/>
  <c r="S81" i="52"/>
  <c r="Q81" i="52"/>
  <c r="Z80" i="52"/>
  <c r="W80" i="52"/>
  <c r="S80" i="52"/>
  <c r="Q80" i="52"/>
  <c r="Z79" i="52"/>
  <c r="W79" i="52"/>
  <c r="S79" i="52"/>
  <c r="Q79" i="52"/>
  <c r="Z78" i="52"/>
  <c r="W78" i="52"/>
  <c r="S78" i="52"/>
  <c r="Q78" i="52"/>
  <c r="Z77" i="52"/>
  <c r="W77" i="52"/>
  <c r="S77" i="52"/>
  <c r="Q77" i="52"/>
  <c r="Z76" i="52"/>
  <c r="W76" i="52"/>
  <c r="S76" i="52"/>
  <c r="Q76" i="52"/>
  <c r="Z75" i="52"/>
  <c r="W75" i="52"/>
  <c r="S75" i="52"/>
  <c r="Q75" i="52"/>
  <c r="Z74" i="52"/>
  <c r="W74" i="52"/>
  <c r="S74" i="52"/>
  <c r="Q74" i="52"/>
  <c r="Z73" i="52"/>
  <c r="W73" i="52"/>
  <c r="S73" i="52"/>
  <c r="Q73" i="52"/>
  <c r="Z72" i="52"/>
  <c r="W72" i="52"/>
  <c r="S72" i="52"/>
  <c r="Q72" i="52"/>
  <c r="Z71" i="52"/>
  <c r="W71" i="52"/>
  <c r="S71" i="52"/>
  <c r="Q71" i="52"/>
  <c r="Z70" i="52"/>
  <c r="W70" i="52"/>
  <c r="S70" i="52"/>
  <c r="Q70" i="52"/>
  <c r="Z69" i="52"/>
  <c r="W69" i="52"/>
  <c r="S69" i="52"/>
  <c r="Q69" i="52"/>
  <c r="Z68" i="52"/>
  <c r="W68" i="52"/>
  <c r="S68" i="52"/>
  <c r="Q68" i="52"/>
  <c r="Z67" i="52"/>
  <c r="W67" i="52"/>
  <c r="S67" i="52"/>
  <c r="Q67" i="52"/>
  <c r="Z66" i="52"/>
  <c r="W66" i="52"/>
  <c r="S66" i="52"/>
  <c r="S115" i="52" s="1"/>
  <c r="Q66" i="52"/>
  <c r="Y63" i="52"/>
  <c r="X63" i="52"/>
  <c r="Z62" i="52"/>
  <c r="W62" i="52"/>
  <c r="S62" i="52"/>
  <c r="Q62" i="52"/>
  <c r="Z61" i="52"/>
  <c r="W61" i="52"/>
  <c r="S61" i="52"/>
  <c r="Q61" i="52"/>
  <c r="Z60" i="52"/>
  <c r="W60" i="52"/>
  <c r="S60" i="52"/>
  <c r="Q60" i="52"/>
  <c r="Z59" i="52"/>
  <c r="W59" i="52"/>
  <c r="S59" i="52"/>
  <c r="Q59" i="52"/>
  <c r="Z58" i="52"/>
  <c r="W58" i="52"/>
  <c r="S58" i="52"/>
  <c r="Q58" i="52"/>
  <c r="Z57" i="52"/>
  <c r="W57" i="52"/>
  <c r="S57" i="52"/>
  <c r="Q57" i="52"/>
  <c r="Z56" i="52"/>
  <c r="W56" i="52"/>
  <c r="S56" i="52"/>
  <c r="Q56" i="52"/>
  <c r="Z63" i="52"/>
  <c r="Z55" i="52"/>
  <c r="W55" i="52"/>
  <c r="S55" i="52"/>
  <c r="Q55" i="52"/>
  <c r="Z54" i="52"/>
  <c r="W54" i="52"/>
  <c r="S54" i="52"/>
  <c r="Q54" i="52"/>
  <c r="Z53" i="52"/>
  <c r="W53" i="52"/>
  <c r="S53" i="52"/>
  <c r="Q53" i="52"/>
  <c r="Z49" i="52"/>
  <c r="W49" i="52"/>
  <c r="S49" i="52"/>
  <c r="Q49" i="52"/>
  <c r="Z48" i="52"/>
  <c r="W48" i="52"/>
  <c r="S48" i="52"/>
  <c r="Q48" i="52"/>
  <c r="Z47" i="52"/>
  <c r="W47" i="52"/>
  <c r="S47" i="52"/>
  <c r="Q47" i="52"/>
  <c r="Z46" i="52"/>
  <c r="W46" i="52"/>
  <c r="S46" i="52"/>
  <c r="Q46" i="52"/>
  <c r="Z45" i="52"/>
  <c r="W45" i="52"/>
  <c r="S45" i="52"/>
  <c r="Q45" i="52"/>
  <c r="Z44" i="52"/>
  <c r="W44" i="52"/>
  <c r="S44" i="52"/>
  <c r="Q44" i="52"/>
  <c r="Q43" i="52"/>
  <c r="Z42" i="52"/>
  <c r="W42" i="52"/>
  <c r="S42" i="52"/>
  <c r="Q42" i="52"/>
  <c r="Y39" i="52"/>
  <c r="X39" i="52"/>
  <c r="W38" i="52"/>
  <c r="S38" i="52"/>
  <c r="Q38" i="52"/>
  <c r="Z37" i="52"/>
  <c r="W37" i="52"/>
  <c r="S37" i="52"/>
  <c r="Q37" i="52"/>
  <c r="Z36" i="52"/>
  <c r="W36" i="52"/>
  <c r="S36" i="52"/>
  <c r="Q36" i="52"/>
  <c r="Z35" i="52"/>
  <c r="W35" i="52"/>
  <c r="S35" i="52"/>
  <c r="Q35" i="52"/>
  <c r="W34" i="52"/>
  <c r="S34" i="52"/>
  <c r="Q34" i="52"/>
  <c r="Z33" i="52"/>
  <c r="Z39" i="52" s="1"/>
  <c r="W33" i="52"/>
  <c r="S33" i="52"/>
  <c r="Q33" i="52"/>
  <c r="Z32" i="52"/>
  <c r="W32" i="52"/>
  <c r="S32" i="52"/>
  <c r="Q32" i="52"/>
  <c r="Z31" i="52"/>
  <c r="W31" i="52"/>
  <c r="S31" i="52"/>
  <c r="Q31" i="52"/>
  <c r="Z30" i="52"/>
  <c r="W30" i="52"/>
  <c r="S30" i="52"/>
  <c r="Q30" i="52"/>
  <c r="Z29" i="52"/>
  <c r="W29" i="52"/>
  <c r="Q29" i="52"/>
  <c r="Z28" i="52"/>
  <c r="W28" i="52"/>
  <c r="Z27" i="52"/>
  <c r="W27" i="52"/>
  <c r="S27" i="52"/>
  <c r="Q27" i="52"/>
  <c r="Z26" i="52"/>
  <c r="W26" i="52"/>
  <c r="S26" i="52"/>
  <c r="Q26" i="52"/>
  <c r="Z25" i="52"/>
  <c r="W25" i="52"/>
  <c r="S25" i="52"/>
  <c r="Q25" i="52"/>
  <c r="Z24" i="52"/>
  <c r="W24" i="52"/>
  <c r="S24" i="52"/>
  <c r="Q24" i="52"/>
  <c r="Z23" i="52"/>
  <c r="W23" i="52"/>
  <c r="S23" i="52"/>
  <c r="Q23" i="52"/>
  <c r="Z22" i="52"/>
  <c r="W22" i="52"/>
  <c r="S22" i="52"/>
  <c r="Q22" i="52"/>
  <c r="Z21" i="52"/>
  <c r="W21" i="52"/>
  <c r="S21" i="52"/>
  <c r="Q21" i="52"/>
  <c r="Z20" i="52"/>
  <c r="W20" i="52"/>
  <c r="S20" i="52"/>
  <c r="Q20" i="52"/>
  <c r="Z19" i="52"/>
  <c r="W19" i="52"/>
  <c r="S19" i="52"/>
  <c r="Q19" i="52"/>
  <c r="Z18" i="52"/>
  <c r="W18" i="52"/>
  <c r="S18" i="52"/>
  <c r="Q18" i="52"/>
  <c r="Z17" i="52"/>
  <c r="W17" i="52"/>
  <c r="S17" i="52"/>
  <c r="Q17" i="52"/>
  <c r="Z16" i="52"/>
  <c r="W16" i="52"/>
  <c r="S16" i="52"/>
  <c r="Q16" i="52"/>
  <c r="Z15" i="52"/>
  <c r="W15" i="52"/>
  <c r="S15" i="52"/>
  <c r="Q15" i="52"/>
  <c r="Z14" i="52"/>
  <c r="W14" i="52"/>
  <c r="S14" i="52"/>
  <c r="Q14" i="52"/>
  <c r="Z13" i="52"/>
  <c r="W13" i="52"/>
  <c r="Z12" i="52"/>
  <c r="W12" i="52"/>
  <c r="S12" i="52"/>
  <c r="Q12" i="52"/>
  <c r="Z11" i="52"/>
  <c r="W11" i="52"/>
  <c r="S11" i="52"/>
  <c r="Q11" i="52"/>
  <c r="Z10" i="52"/>
  <c r="W10" i="52"/>
  <c r="S10" i="52"/>
  <c r="Q10" i="52"/>
  <c r="Z9" i="52"/>
  <c r="W9" i="52"/>
  <c r="S9" i="52"/>
  <c r="Q9" i="52"/>
  <c r="Z8" i="52"/>
  <c r="W8" i="52"/>
  <c r="S8" i="52"/>
  <c r="Q8" i="52"/>
  <c r="Z7" i="52"/>
  <c r="W7" i="52"/>
  <c r="S7" i="52"/>
  <c r="Q7" i="52"/>
  <c r="Z6" i="52"/>
  <c r="W6" i="52"/>
  <c r="Z5" i="52"/>
  <c r="W5" i="52"/>
  <c r="S5" i="52"/>
  <c r="Q5" i="52"/>
  <c r="V116" i="52" l="1"/>
  <c r="W115" i="52"/>
  <c r="Q115" i="52"/>
  <c r="P116" i="52"/>
  <c r="Z116" i="52"/>
  <c r="Q6" i="52"/>
  <c r="Q13" i="52"/>
  <c r="Q28" i="52"/>
  <c r="W39" i="52"/>
  <c r="Q63" i="52"/>
  <c r="S63" i="52"/>
  <c r="W63" i="52"/>
  <c r="S39" i="52"/>
  <c r="R39" i="52"/>
  <c r="R116" i="52" s="1"/>
  <c r="R114" i="50"/>
  <c r="R13" i="50"/>
  <c r="R11" i="50"/>
  <c r="R91" i="50"/>
  <c r="R87" i="50"/>
  <c r="R89" i="50"/>
  <c r="S116" i="52" l="1"/>
  <c r="Q39" i="52"/>
  <c r="Q116" i="52" s="1"/>
  <c r="W116" i="52"/>
  <c r="R90" i="50"/>
  <c r="R47" i="50"/>
  <c r="R88" i="50"/>
  <c r="R49" i="50"/>
  <c r="R48" i="50"/>
  <c r="R36" i="50"/>
  <c r="R86" i="50"/>
  <c r="R34" i="50"/>
  <c r="R66" i="47"/>
  <c r="V15" i="50" l="1"/>
  <c r="V66" i="47"/>
  <c r="V80" i="50"/>
  <c r="V78" i="48"/>
  <c r="V75" i="48"/>
  <c r="V9" i="50"/>
  <c r="V12" i="50"/>
  <c r="V14" i="50"/>
  <c r="V83" i="47" l="1"/>
  <c r="V32" i="50" l="1"/>
  <c r="R18" i="48" l="1"/>
  <c r="R46" i="50" l="1"/>
  <c r="R76" i="50"/>
  <c r="R97" i="50"/>
  <c r="R99" i="50"/>
  <c r="R80" i="50"/>
  <c r="R94" i="50"/>
  <c r="V79" i="50" l="1"/>
  <c r="V127" i="50" s="1"/>
  <c r="Z127" i="50" s="1"/>
  <c r="V10" i="50"/>
  <c r="R65" i="47" l="1"/>
  <c r="V66" i="48"/>
  <c r="V65" i="47"/>
  <c r="V73" i="48"/>
  <c r="R81" i="50" l="1"/>
  <c r="R64" i="48"/>
  <c r="V14" i="48" l="1"/>
  <c r="V16" i="48"/>
  <c r="R112" i="50"/>
  <c r="R102" i="50"/>
  <c r="R103" i="50"/>
  <c r="R44" i="50"/>
  <c r="R74" i="50"/>
  <c r="R83" i="50" l="1"/>
  <c r="R63" i="50"/>
  <c r="R62" i="50"/>
  <c r="R58" i="50"/>
  <c r="R57" i="50"/>
  <c r="R54" i="50"/>
  <c r="R52" i="50"/>
  <c r="R43" i="50"/>
  <c r="R65" i="50"/>
  <c r="R60" i="50"/>
  <c r="R83" i="47"/>
  <c r="R75" i="48"/>
  <c r="R78" i="48"/>
  <c r="R65" i="48" l="1"/>
  <c r="R66" i="48"/>
  <c r="S16" i="48"/>
  <c r="V69" i="48" l="1"/>
  <c r="V37" i="48"/>
  <c r="V70" i="48"/>
  <c r="V67" i="48"/>
  <c r="V71" i="48"/>
  <c r="W62" i="48" l="1"/>
  <c r="V34" i="44" l="1"/>
  <c r="V104" i="47"/>
  <c r="V103" i="47"/>
  <c r="V74" i="48" l="1"/>
  <c r="V77" i="48"/>
  <c r="V40" i="48" l="1"/>
  <c r="R34" i="44" l="1"/>
  <c r="R104" i="47"/>
  <c r="R73" i="48"/>
  <c r="V63" i="48"/>
  <c r="V36" i="48"/>
  <c r="V76" i="48"/>
  <c r="V88" i="47" l="1"/>
  <c r="R45" i="50" l="1"/>
  <c r="R75" i="50"/>
  <c r="R32" i="50"/>
  <c r="V63" i="47" l="1"/>
  <c r="V64" i="47"/>
  <c r="V62" i="48"/>
  <c r="C134" i="50" l="1"/>
  <c r="R103" i="47" l="1"/>
  <c r="V72" i="48" l="1"/>
  <c r="V39" i="48"/>
  <c r="V38" i="48"/>
  <c r="V65" i="44" l="1"/>
  <c r="R31" i="50" l="1"/>
  <c r="R93" i="50"/>
  <c r="R88" i="47"/>
  <c r="V71" i="47" l="1"/>
  <c r="R40" i="48" l="1"/>
  <c r="R96" i="50"/>
  <c r="R10" i="50" l="1"/>
  <c r="Z68" i="50"/>
  <c r="Z67" i="50"/>
  <c r="W68" i="50"/>
  <c r="W67" i="50"/>
  <c r="S68" i="50"/>
  <c r="Q68" i="50"/>
  <c r="S67" i="50"/>
  <c r="Q67" i="50"/>
  <c r="Z104" i="50"/>
  <c r="Z103" i="50"/>
  <c r="Z102" i="50"/>
  <c r="Z101" i="50"/>
  <c r="Z100" i="50"/>
  <c r="Z99" i="50"/>
  <c r="Z98" i="50"/>
  <c r="Z97" i="50"/>
  <c r="Z96" i="50"/>
  <c r="Z95" i="50"/>
  <c r="Z94" i="50"/>
  <c r="Z93" i="50"/>
  <c r="Z92" i="50"/>
  <c r="Z91" i="50"/>
  <c r="Z90" i="50"/>
  <c r="Z89" i="50"/>
  <c r="Z88" i="50"/>
  <c r="W104" i="50"/>
  <c r="W103" i="50"/>
  <c r="W102" i="50"/>
  <c r="W101" i="50"/>
  <c r="W100" i="50"/>
  <c r="W99" i="50"/>
  <c r="W98" i="50"/>
  <c r="W97" i="50"/>
  <c r="W96" i="50"/>
  <c r="W95" i="50"/>
  <c r="W94" i="50"/>
  <c r="W93" i="50"/>
  <c r="W92" i="50"/>
  <c r="W91" i="50"/>
  <c r="W90" i="50"/>
  <c r="W89" i="50"/>
  <c r="W88" i="50"/>
  <c r="S104" i="50"/>
  <c r="Q104" i="50"/>
  <c r="S103" i="50"/>
  <c r="Q103" i="50"/>
  <c r="S102" i="50"/>
  <c r="Q102" i="50"/>
  <c r="S101" i="50"/>
  <c r="Q101" i="50"/>
  <c r="S100" i="50"/>
  <c r="Q100" i="50"/>
  <c r="S99" i="50"/>
  <c r="Q99" i="50"/>
  <c r="S98" i="50"/>
  <c r="Q98" i="50"/>
  <c r="S97" i="50"/>
  <c r="Q97" i="50"/>
  <c r="S96" i="50"/>
  <c r="Q96" i="50"/>
  <c r="S95" i="50"/>
  <c r="Q95" i="50"/>
  <c r="S94" i="50"/>
  <c r="Q94" i="50"/>
  <c r="S93" i="50"/>
  <c r="Q93" i="50"/>
  <c r="S92" i="50"/>
  <c r="Q92" i="50"/>
  <c r="S91" i="50"/>
  <c r="Q91" i="50"/>
  <c r="S90" i="50"/>
  <c r="Q90" i="50"/>
  <c r="S89" i="50"/>
  <c r="Q89" i="50"/>
  <c r="S88" i="50"/>
  <c r="Q88" i="50"/>
  <c r="V68" i="48" l="1"/>
  <c r="R74" i="48" l="1"/>
  <c r="P66" i="48" l="1"/>
  <c r="P65" i="48"/>
  <c r="P64" i="48"/>
  <c r="R16" i="48" l="1"/>
  <c r="V81" i="47" l="1"/>
  <c r="V73" i="47" l="1"/>
  <c r="V72" i="47"/>
  <c r="V100" i="47"/>
  <c r="R62" i="48"/>
  <c r="V110" i="47" l="1"/>
  <c r="R63" i="48" l="1"/>
  <c r="R15" i="48"/>
  <c r="R100" i="47"/>
  <c r="R38" i="48"/>
  <c r="V47" i="47" l="1"/>
  <c r="E98" i="48" l="1"/>
  <c r="V117" i="47" l="1"/>
  <c r="V9" i="48" l="1"/>
  <c r="V49" i="47"/>
  <c r="V48" i="47"/>
  <c r="W117" i="47"/>
  <c r="V90" i="47"/>
  <c r="V67" i="47"/>
  <c r="R39" i="48" l="1"/>
  <c r="V62" i="47" l="1"/>
  <c r="V33" i="47" l="1"/>
  <c r="R79" i="50" l="1"/>
  <c r="R8" i="50"/>
  <c r="R12" i="50"/>
  <c r="R73" i="47"/>
  <c r="R34" i="47"/>
  <c r="V118" i="47"/>
  <c r="V34" i="47"/>
  <c r="R15" i="50" l="1"/>
  <c r="R35" i="48"/>
  <c r="R36" i="48"/>
  <c r="R14" i="48"/>
  <c r="R62" i="47"/>
  <c r="V96" i="47"/>
  <c r="V60" i="44"/>
  <c r="V59" i="44"/>
  <c r="V56" i="47"/>
  <c r="R56" i="47" l="1"/>
  <c r="V116" i="47"/>
  <c r="V44" i="47" l="1"/>
  <c r="V43" i="47"/>
  <c r="V42" i="47"/>
  <c r="V41" i="47"/>
  <c r="R9" i="50"/>
  <c r="R14" i="50"/>
  <c r="V28" i="50" l="1"/>
  <c r="R28" i="50"/>
  <c r="P28" i="50"/>
  <c r="V71" i="50"/>
  <c r="R71" i="50"/>
  <c r="P71" i="50"/>
  <c r="R127" i="50"/>
  <c r="P127" i="50"/>
  <c r="Y127" i="50"/>
  <c r="Y128" i="50" s="1"/>
  <c r="X127" i="50"/>
  <c r="X128" i="50" s="1"/>
  <c r="Z126" i="50"/>
  <c r="W126" i="50"/>
  <c r="S126" i="50"/>
  <c r="Q126" i="50"/>
  <c r="Z125" i="50"/>
  <c r="W125" i="50"/>
  <c r="S125" i="50"/>
  <c r="Q125" i="50"/>
  <c r="Z124" i="50"/>
  <c r="W124" i="50"/>
  <c r="S124" i="50"/>
  <c r="Q124" i="50"/>
  <c r="Z123" i="50"/>
  <c r="W123" i="50"/>
  <c r="S123" i="50"/>
  <c r="Q123" i="50"/>
  <c r="Z122" i="50"/>
  <c r="W122" i="50"/>
  <c r="S122" i="50"/>
  <c r="Q122" i="50"/>
  <c r="Z121" i="50"/>
  <c r="W121" i="50"/>
  <c r="S121" i="50"/>
  <c r="Q121" i="50"/>
  <c r="Z120" i="50"/>
  <c r="W120" i="50"/>
  <c r="S120" i="50"/>
  <c r="Q120" i="50"/>
  <c r="Z119" i="50"/>
  <c r="W119" i="50"/>
  <c r="S119" i="50"/>
  <c r="Q119" i="50"/>
  <c r="Z118" i="50"/>
  <c r="W118" i="50"/>
  <c r="S118" i="50"/>
  <c r="Q118" i="50"/>
  <c r="Z117" i="50"/>
  <c r="W117" i="50"/>
  <c r="S117" i="50"/>
  <c r="Q117" i="50"/>
  <c r="Z116" i="50"/>
  <c r="W116" i="50"/>
  <c r="S116" i="50"/>
  <c r="Q116" i="50"/>
  <c r="Z115" i="50"/>
  <c r="W115" i="50"/>
  <c r="S115" i="50"/>
  <c r="Q115" i="50"/>
  <c r="Z114" i="50"/>
  <c r="W114" i="50"/>
  <c r="S114" i="50"/>
  <c r="Q114" i="50"/>
  <c r="Z113" i="50"/>
  <c r="W113" i="50"/>
  <c r="S113" i="50"/>
  <c r="Q113" i="50"/>
  <c r="Z112" i="50"/>
  <c r="W112" i="50"/>
  <c r="S112" i="50"/>
  <c r="Q112" i="50"/>
  <c r="Z111" i="50"/>
  <c r="W111" i="50"/>
  <c r="S111" i="50"/>
  <c r="Q111" i="50"/>
  <c r="Z110" i="50"/>
  <c r="W110" i="50"/>
  <c r="S110" i="50"/>
  <c r="Q110" i="50"/>
  <c r="Z109" i="50"/>
  <c r="W109" i="50"/>
  <c r="S109" i="50"/>
  <c r="Q109" i="50"/>
  <c r="Z108" i="50"/>
  <c r="W108" i="50"/>
  <c r="S108" i="50"/>
  <c r="Q108" i="50"/>
  <c r="Z107" i="50"/>
  <c r="W107" i="50"/>
  <c r="S107" i="50"/>
  <c r="Q107" i="50"/>
  <c r="Z106" i="50"/>
  <c r="W106" i="50"/>
  <c r="S106" i="50"/>
  <c r="Q106" i="50"/>
  <c r="Z105" i="50"/>
  <c r="W105" i="50"/>
  <c r="S105" i="50"/>
  <c r="Q105" i="50"/>
  <c r="Z87" i="50"/>
  <c r="W87" i="50"/>
  <c r="S87" i="50"/>
  <c r="Q87" i="50"/>
  <c r="Z86" i="50"/>
  <c r="S86" i="50"/>
  <c r="Q86" i="50"/>
  <c r="Z85" i="50"/>
  <c r="W85" i="50"/>
  <c r="S85" i="50"/>
  <c r="Q85" i="50"/>
  <c r="Z84" i="50"/>
  <c r="W84" i="50"/>
  <c r="S84" i="50"/>
  <c r="Q84" i="50"/>
  <c r="Z83" i="50"/>
  <c r="W83" i="50"/>
  <c r="S83" i="50"/>
  <c r="Q83" i="50"/>
  <c r="Z82" i="50"/>
  <c r="W82" i="50"/>
  <c r="S82" i="50"/>
  <c r="Q82" i="50"/>
  <c r="Z81" i="50"/>
  <c r="W81" i="50"/>
  <c r="S81" i="50"/>
  <c r="Q81" i="50"/>
  <c r="Z80" i="50"/>
  <c r="W80" i="50"/>
  <c r="S80" i="50"/>
  <c r="Q80" i="50"/>
  <c r="Z79" i="50"/>
  <c r="W79" i="50"/>
  <c r="S79" i="50"/>
  <c r="Q79" i="50"/>
  <c r="Z78" i="50"/>
  <c r="W78" i="50"/>
  <c r="S78" i="50"/>
  <c r="Q78" i="50"/>
  <c r="Z77" i="50"/>
  <c r="W77" i="50"/>
  <c r="S77" i="50"/>
  <c r="Q77" i="50"/>
  <c r="Z76" i="50"/>
  <c r="W76" i="50"/>
  <c r="S76" i="50"/>
  <c r="Q76" i="50"/>
  <c r="Z75" i="50"/>
  <c r="W75" i="50"/>
  <c r="S75" i="50"/>
  <c r="Q75" i="50"/>
  <c r="Z74" i="50"/>
  <c r="W74" i="50"/>
  <c r="S74" i="50"/>
  <c r="Q74" i="50"/>
  <c r="Y71" i="50"/>
  <c r="X71" i="50"/>
  <c r="W70" i="50"/>
  <c r="S70" i="50"/>
  <c r="Q70" i="50"/>
  <c r="Z69" i="50"/>
  <c r="W69" i="50"/>
  <c r="S69" i="50"/>
  <c r="Q69" i="50"/>
  <c r="Z66" i="50"/>
  <c r="W66" i="50"/>
  <c r="S66" i="50"/>
  <c r="Q66" i="50"/>
  <c r="Z65" i="50"/>
  <c r="W65" i="50"/>
  <c r="S65" i="50"/>
  <c r="Q65" i="50"/>
  <c r="Z64" i="50"/>
  <c r="W64" i="50"/>
  <c r="S64" i="50"/>
  <c r="Q64" i="50"/>
  <c r="Z63" i="50"/>
  <c r="W63" i="50"/>
  <c r="S63" i="50"/>
  <c r="Q63" i="50"/>
  <c r="Z62" i="50"/>
  <c r="W62" i="50"/>
  <c r="S62" i="50"/>
  <c r="Q62" i="50"/>
  <c r="Z61" i="50"/>
  <c r="W61" i="50"/>
  <c r="S61" i="50"/>
  <c r="Q61" i="50"/>
  <c r="Z60" i="50"/>
  <c r="W60" i="50"/>
  <c r="S60" i="50"/>
  <c r="Q60" i="50"/>
  <c r="Z59" i="50"/>
  <c r="W59" i="50"/>
  <c r="S59" i="50"/>
  <c r="Q59" i="50"/>
  <c r="Z58" i="50"/>
  <c r="W58" i="50"/>
  <c r="S58" i="50"/>
  <c r="Q58" i="50"/>
  <c r="Z57" i="50"/>
  <c r="W57" i="50"/>
  <c r="S57" i="50"/>
  <c r="Q57" i="50"/>
  <c r="Z56" i="50"/>
  <c r="W56" i="50"/>
  <c r="S56" i="50"/>
  <c r="Q56" i="50"/>
  <c r="Z55" i="50"/>
  <c r="W55" i="50"/>
  <c r="S55" i="50"/>
  <c r="Q55" i="50"/>
  <c r="Z54" i="50"/>
  <c r="W54" i="50"/>
  <c r="S54" i="50"/>
  <c r="Q54" i="50"/>
  <c r="Z53" i="50"/>
  <c r="W53" i="50"/>
  <c r="S53" i="50"/>
  <c r="Q53" i="50"/>
  <c r="Z52" i="50"/>
  <c r="W52" i="50"/>
  <c r="S52" i="50"/>
  <c r="Q52" i="50"/>
  <c r="Z51" i="50"/>
  <c r="S51" i="50"/>
  <c r="Q51" i="50"/>
  <c r="Z50" i="50"/>
  <c r="W50" i="50"/>
  <c r="S50" i="50"/>
  <c r="Q50" i="50"/>
  <c r="Z49" i="50"/>
  <c r="W49" i="50"/>
  <c r="S49" i="50"/>
  <c r="Q49" i="50"/>
  <c r="Z48" i="50"/>
  <c r="W48" i="50"/>
  <c r="S48" i="50"/>
  <c r="Q48" i="50"/>
  <c r="Z47" i="50"/>
  <c r="W47" i="50"/>
  <c r="S47" i="50"/>
  <c r="Q47" i="50"/>
  <c r="Z46" i="50"/>
  <c r="W46" i="50"/>
  <c r="S46" i="50"/>
  <c r="Q46" i="50"/>
  <c r="Z45" i="50"/>
  <c r="W45" i="50"/>
  <c r="S45" i="50"/>
  <c r="Q45" i="50"/>
  <c r="Z44" i="50"/>
  <c r="W44" i="50"/>
  <c r="S44" i="50"/>
  <c r="Q44" i="50"/>
  <c r="Z43" i="50"/>
  <c r="W43" i="50"/>
  <c r="S43" i="50"/>
  <c r="Q43" i="50"/>
  <c r="Z42" i="50"/>
  <c r="W42" i="50"/>
  <c r="S42" i="50"/>
  <c r="Q42" i="50"/>
  <c r="Z41" i="50"/>
  <c r="W41" i="50"/>
  <c r="S41" i="50"/>
  <c r="Q41" i="50"/>
  <c r="Z40" i="50"/>
  <c r="W40" i="50"/>
  <c r="S40" i="50"/>
  <c r="Q40" i="50"/>
  <c r="Z39" i="50"/>
  <c r="W39" i="50"/>
  <c r="S39" i="50"/>
  <c r="Q39" i="50"/>
  <c r="Z38" i="50"/>
  <c r="W38" i="50"/>
  <c r="S38" i="50"/>
  <c r="Q38" i="50"/>
  <c r="Z37" i="50"/>
  <c r="W37" i="50"/>
  <c r="S37" i="50"/>
  <c r="Q37" i="50"/>
  <c r="Z36" i="50"/>
  <c r="W36" i="50"/>
  <c r="S36" i="50"/>
  <c r="Q36" i="50"/>
  <c r="Z35" i="50"/>
  <c r="W35" i="50"/>
  <c r="S35" i="50"/>
  <c r="Q35" i="50"/>
  <c r="Z34" i="50"/>
  <c r="W34" i="50"/>
  <c r="S34" i="50"/>
  <c r="Q34" i="50"/>
  <c r="Z33" i="50"/>
  <c r="W33" i="50"/>
  <c r="S33" i="50"/>
  <c r="Q33" i="50"/>
  <c r="Z32" i="50"/>
  <c r="W32" i="50"/>
  <c r="S32" i="50"/>
  <c r="Q32" i="50"/>
  <c r="Z31" i="50"/>
  <c r="W31" i="50"/>
  <c r="S31" i="50"/>
  <c r="Q31" i="50"/>
  <c r="Y28" i="50"/>
  <c r="X28" i="50"/>
  <c r="Z27" i="50"/>
  <c r="W27" i="50"/>
  <c r="S27" i="50"/>
  <c r="Q27" i="50"/>
  <c r="Z26" i="50"/>
  <c r="W26" i="50"/>
  <c r="S26" i="50"/>
  <c r="Q26" i="50"/>
  <c r="Z25" i="50"/>
  <c r="W25" i="50"/>
  <c r="S25" i="50"/>
  <c r="Q25" i="50"/>
  <c r="Z24" i="50"/>
  <c r="W24" i="50"/>
  <c r="S24" i="50"/>
  <c r="Q24" i="50"/>
  <c r="Z23" i="50"/>
  <c r="W23" i="50"/>
  <c r="S23" i="50"/>
  <c r="Q23" i="50"/>
  <c r="Z22" i="50"/>
  <c r="W22" i="50"/>
  <c r="S22" i="50"/>
  <c r="Q22" i="50"/>
  <c r="Z21" i="50"/>
  <c r="W21" i="50"/>
  <c r="S21" i="50"/>
  <c r="Q21" i="50"/>
  <c r="Z20" i="50"/>
  <c r="W20" i="50"/>
  <c r="S20" i="50"/>
  <c r="Q20" i="50"/>
  <c r="Z19" i="50"/>
  <c r="W19" i="50"/>
  <c r="S19" i="50"/>
  <c r="Q19" i="50"/>
  <c r="Z18" i="50"/>
  <c r="W18" i="50"/>
  <c r="S18" i="50"/>
  <c r="Q18" i="50"/>
  <c r="Z17" i="50"/>
  <c r="W17" i="50"/>
  <c r="S17" i="50"/>
  <c r="Q17" i="50"/>
  <c r="Z16" i="50"/>
  <c r="W16" i="50"/>
  <c r="S16" i="50"/>
  <c r="Q16" i="50"/>
  <c r="Z15" i="50"/>
  <c r="W15" i="50"/>
  <c r="S15" i="50"/>
  <c r="Q15" i="50"/>
  <c r="Z14" i="50"/>
  <c r="W14" i="50"/>
  <c r="S14" i="50"/>
  <c r="Q14" i="50"/>
  <c r="Z13" i="50"/>
  <c r="W13" i="50"/>
  <c r="S13" i="50"/>
  <c r="Q13" i="50"/>
  <c r="Z12" i="50"/>
  <c r="W12" i="50"/>
  <c r="S12" i="50"/>
  <c r="Q12" i="50"/>
  <c r="Z11" i="50"/>
  <c r="W11" i="50"/>
  <c r="S11" i="50"/>
  <c r="Q11" i="50"/>
  <c r="Z10" i="50"/>
  <c r="W10" i="50"/>
  <c r="S10" i="50"/>
  <c r="Q10" i="50"/>
  <c r="Z9" i="50"/>
  <c r="W9" i="50"/>
  <c r="S9" i="50"/>
  <c r="Q9" i="50"/>
  <c r="Z8" i="50"/>
  <c r="W8" i="50"/>
  <c r="S8" i="50"/>
  <c r="Q8" i="50"/>
  <c r="Z7" i="50"/>
  <c r="W7" i="50"/>
  <c r="S7" i="50"/>
  <c r="Q7" i="50"/>
  <c r="Z6" i="50"/>
  <c r="W6" i="50"/>
  <c r="S6" i="50"/>
  <c r="Q6" i="50"/>
  <c r="Z5" i="50"/>
  <c r="W5" i="50"/>
  <c r="S5" i="50"/>
  <c r="Q5" i="50"/>
  <c r="Z71" i="50" l="1"/>
  <c r="W71" i="50"/>
  <c r="W127" i="50"/>
  <c r="Q71" i="50"/>
  <c r="W28" i="50"/>
  <c r="Q127" i="50"/>
  <c r="V128" i="50"/>
  <c r="Z128" i="50" s="1"/>
  <c r="Z28" i="50"/>
  <c r="S71" i="50"/>
  <c r="P128" i="50"/>
  <c r="R128" i="50"/>
  <c r="S127" i="50"/>
  <c r="S28" i="50"/>
  <c r="Q28" i="50"/>
  <c r="W128" i="50" l="1"/>
  <c r="Q128" i="50"/>
  <c r="S128" i="50"/>
  <c r="V37" i="44"/>
  <c r="R72" i="47" l="1"/>
  <c r="R71" i="47"/>
  <c r="V114" i="47" l="1"/>
  <c r="V112" i="47"/>
  <c r="V11" i="48" l="1"/>
  <c r="V86" i="47"/>
  <c r="V87" i="47"/>
  <c r="V102" i="47"/>
  <c r="V101" i="47"/>
  <c r="V46" i="47"/>
  <c r="V115" i="47"/>
  <c r="V45" i="47"/>
  <c r="R69" i="48" l="1"/>
  <c r="R72" i="48"/>
  <c r="R97" i="47"/>
  <c r="R96" i="47"/>
  <c r="R59" i="44"/>
  <c r="R71" i="48"/>
  <c r="R67" i="48"/>
  <c r="Z58" i="48"/>
  <c r="Z87" i="44"/>
  <c r="R60" i="44"/>
  <c r="R67" i="47"/>
  <c r="R117" i="47" l="1"/>
  <c r="R33" i="47"/>
  <c r="V40" i="47" l="1"/>
  <c r="V105" i="47"/>
  <c r="V10" i="48"/>
  <c r="V107" i="47"/>
  <c r="V6" i="48"/>
  <c r="V7" i="48"/>
  <c r="V106" i="47"/>
  <c r="V109" i="47"/>
  <c r="V108" i="47"/>
  <c r="V5" i="48"/>
  <c r="V29" i="47" l="1"/>
  <c r="R28" i="47" l="1"/>
  <c r="V30" i="47" l="1"/>
  <c r="V31" i="47"/>
  <c r="V32" i="47"/>
  <c r="R118" i="47" l="1"/>
  <c r="V92" i="47"/>
  <c r="V98" i="47"/>
  <c r="V94" i="47"/>
  <c r="V70" i="47"/>
  <c r="V77" i="47"/>
  <c r="V89" i="47"/>
  <c r="V12" i="48"/>
  <c r="V8" i="48"/>
  <c r="R9" i="48" l="1"/>
  <c r="R90" i="47"/>
  <c r="R68" i="48" l="1"/>
  <c r="R87" i="47"/>
  <c r="R86" i="47"/>
  <c r="V8" i="47"/>
  <c r="V9" i="47"/>
  <c r="V84" i="44"/>
  <c r="V83" i="44"/>
  <c r="V57" i="47" l="1"/>
  <c r="V28" i="47"/>
  <c r="V61" i="47" l="1"/>
  <c r="V60" i="47"/>
  <c r="V64" i="44" l="1"/>
  <c r="R84" i="44" l="1"/>
  <c r="R83" i="44"/>
  <c r="R8" i="47"/>
  <c r="R9" i="47"/>
  <c r="P84" i="47" l="1"/>
  <c r="R64" i="47"/>
  <c r="R116" i="47" l="1"/>
  <c r="V74" i="47" l="1"/>
  <c r="V75" i="47"/>
  <c r="R57" i="47" l="1"/>
  <c r="R32" i="47"/>
  <c r="V7" i="47" l="1"/>
  <c r="V6" i="47"/>
  <c r="V85" i="47"/>
  <c r="V44" i="44"/>
  <c r="V93" i="47"/>
  <c r="V99" i="47"/>
  <c r="V95" i="47"/>
  <c r="V91" i="47"/>
  <c r="V13" i="48"/>
  <c r="R115" i="47" l="1"/>
  <c r="R70" i="47"/>
  <c r="R5" i="48"/>
  <c r="R7" i="48"/>
  <c r="R37" i="48"/>
  <c r="S37" i="48" s="1"/>
  <c r="R7" i="47" l="1"/>
  <c r="R61" i="47" l="1"/>
  <c r="V69" i="47" l="1"/>
  <c r="V40" i="44"/>
  <c r="V54" i="47"/>
  <c r="V55" i="47"/>
  <c r="V82" i="47"/>
  <c r="V36" i="47"/>
  <c r="R36" i="47"/>
  <c r="R45" i="47"/>
  <c r="R89" i="47"/>
  <c r="R77" i="47"/>
  <c r="R98" i="47"/>
  <c r="V51" i="47" l="1"/>
  <c r="V39" i="47" l="1"/>
  <c r="V53" i="47"/>
  <c r="V38" i="47"/>
  <c r="V50" i="47"/>
  <c r="V52" i="47"/>
  <c r="V37" i="47"/>
  <c r="V113" i="47" l="1"/>
  <c r="V111" i="47"/>
  <c r="V12" i="44"/>
  <c r="V11" i="44"/>
  <c r="R6" i="47"/>
  <c r="R85" i="47"/>
  <c r="R44" i="44"/>
  <c r="V38" i="44" l="1"/>
  <c r="V39" i="44"/>
  <c r="R39" i="44"/>
  <c r="V59" i="47" l="1"/>
  <c r="V58" i="47"/>
  <c r="R30" i="47" l="1"/>
  <c r="R31" i="47"/>
  <c r="R29" i="47"/>
  <c r="R11" i="44" l="1"/>
  <c r="R49" i="47" l="1"/>
  <c r="R48" i="47"/>
  <c r="R47" i="47"/>
  <c r="R46" i="47"/>
  <c r="R40" i="47"/>
  <c r="R74" i="47"/>
  <c r="R106" i="47"/>
  <c r="R92" i="47"/>
  <c r="R108" i="47"/>
  <c r="R110" i="47"/>
  <c r="R109" i="47"/>
  <c r="R94" i="47"/>
  <c r="V41" i="44" l="1"/>
  <c r="R12" i="44" l="1"/>
  <c r="R76" i="48"/>
  <c r="R54" i="47"/>
  <c r="R55" i="47"/>
  <c r="R11" i="48"/>
  <c r="R75" i="47"/>
  <c r="R38" i="47"/>
  <c r="R39" i="47"/>
  <c r="R37" i="47"/>
  <c r="V35" i="47"/>
  <c r="V36" i="44" l="1"/>
  <c r="R10" i="48" l="1"/>
  <c r="R8" i="48"/>
  <c r="R6" i="48"/>
  <c r="R12" i="48"/>
  <c r="R81" i="47"/>
  <c r="V72" i="44"/>
  <c r="R70" i="48" l="1"/>
  <c r="R42" i="47"/>
  <c r="R41" i="47"/>
  <c r="R44" i="47"/>
  <c r="R43" i="47"/>
  <c r="R101" i="47"/>
  <c r="R102" i="47"/>
  <c r="R41" i="44" l="1"/>
  <c r="R22" i="44" l="1"/>
  <c r="R53" i="47"/>
  <c r="R52" i="47"/>
  <c r="V22" i="44" l="1"/>
  <c r="V7" i="44" l="1"/>
  <c r="R13" i="48" l="1"/>
  <c r="V91" i="48"/>
  <c r="R91" i="48"/>
  <c r="P91" i="48"/>
  <c r="V59" i="48"/>
  <c r="R59" i="48"/>
  <c r="P59" i="48"/>
  <c r="V32" i="48"/>
  <c r="Z32" i="48" s="1"/>
  <c r="R32" i="48"/>
  <c r="P32" i="48"/>
  <c r="Z38" i="48"/>
  <c r="W38" i="48"/>
  <c r="S38" i="48"/>
  <c r="Q38" i="48"/>
  <c r="Z59" i="48" l="1"/>
  <c r="Z91" i="48"/>
  <c r="V92" i="48"/>
  <c r="P92" i="48"/>
  <c r="R92" i="48"/>
  <c r="Q37" i="48"/>
  <c r="Z92" i="48" l="1"/>
  <c r="Z90" i="48"/>
  <c r="W90" i="48"/>
  <c r="S90" i="48"/>
  <c r="Q90" i="48"/>
  <c r="Z89" i="48"/>
  <c r="W89" i="48"/>
  <c r="S89" i="48"/>
  <c r="Q89" i="48"/>
  <c r="Z88" i="48"/>
  <c r="W88" i="48"/>
  <c r="S88" i="48"/>
  <c r="Q88" i="48"/>
  <c r="Z87" i="48"/>
  <c r="W87" i="48"/>
  <c r="S87" i="48"/>
  <c r="Q87" i="48"/>
  <c r="Z86" i="48"/>
  <c r="W86" i="48"/>
  <c r="S86" i="48"/>
  <c r="Q86" i="48"/>
  <c r="Z85" i="48"/>
  <c r="W85" i="48"/>
  <c r="S85" i="48"/>
  <c r="Q85" i="48"/>
  <c r="Z84" i="48"/>
  <c r="W84" i="48"/>
  <c r="S84" i="48"/>
  <c r="Q84" i="48"/>
  <c r="Z83" i="48"/>
  <c r="W83" i="48"/>
  <c r="S83" i="48"/>
  <c r="Q83" i="48"/>
  <c r="Z82" i="48"/>
  <c r="W82" i="48"/>
  <c r="S82" i="48"/>
  <c r="Q82" i="48"/>
  <c r="Z81" i="48"/>
  <c r="W81" i="48"/>
  <c r="S81" i="48"/>
  <c r="Q81" i="48"/>
  <c r="Z80" i="48"/>
  <c r="W80" i="48"/>
  <c r="S80" i="48"/>
  <c r="Q80" i="48"/>
  <c r="W79" i="48"/>
  <c r="S79" i="48"/>
  <c r="Q79" i="48"/>
  <c r="Z78" i="48"/>
  <c r="W78" i="48"/>
  <c r="S78" i="48"/>
  <c r="Q78" i="48"/>
  <c r="Z77" i="48"/>
  <c r="W77" i="48"/>
  <c r="S77" i="48"/>
  <c r="Q77" i="48"/>
  <c r="Z76" i="48"/>
  <c r="W76" i="48"/>
  <c r="S76" i="48"/>
  <c r="Q76" i="48"/>
  <c r="Z75" i="48"/>
  <c r="W75" i="48"/>
  <c r="S75" i="48"/>
  <c r="Q75" i="48"/>
  <c r="Z74" i="48"/>
  <c r="W74" i="48"/>
  <c r="S74" i="48"/>
  <c r="Q74" i="48"/>
  <c r="Z73" i="48"/>
  <c r="W73" i="48"/>
  <c r="S73" i="48"/>
  <c r="Q73" i="48"/>
  <c r="Z72" i="48"/>
  <c r="W72" i="48"/>
  <c r="S72" i="48"/>
  <c r="Q72" i="48"/>
  <c r="Z71" i="48"/>
  <c r="W71" i="48"/>
  <c r="S71" i="48"/>
  <c r="Q71" i="48"/>
  <c r="Z70" i="48"/>
  <c r="W70" i="48"/>
  <c r="S70" i="48"/>
  <c r="Q70" i="48"/>
  <c r="Z69" i="48"/>
  <c r="W69" i="48"/>
  <c r="S69" i="48"/>
  <c r="Q69" i="48"/>
  <c r="Z68" i="48"/>
  <c r="W68" i="48"/>
  <c r="S68" i="48"/>
  <c r="Q68" i="48"/>
  <c r="Z67" i="48"/>
  <c r="W67" i="48"/>
  <c r="S67" i="48"/>
  <c r="Q67" i="48"/>
  <c r="Z66" i="48"/>
  <c r="W66" i="48"/>
  <c r="S66" i="48"/>
  <c r="Q66" i="48"/>
  <c r="Z65" i="48"/>
  <c r="W65" i="48"/>
  <c r="S65" i="48"/>
  <c r="Q65" i="48"/>
  <c r="Z64" i="48"/>
  <c r="W64" i="48"/>
  <c r="S64" i="48"/>
  <c r="Q64" i="48"/>
  <c r="Z63" i="48"/>
  <c r="W63" i="48"/>
  <c r="S63" i="48"/>
  <c r="Q63" i="48"/>
  <c r="Z62" i="48"/>
  <c r="S62" i="48"/>
  <c r="Q62" i="48"/>
  <c r="W58" i="48"/>
  <c r="S58" i="48"/>
  <c r="Q58" i="48"/>
  <c r="Z57" i="48"/>
  <c r="W57" i="48"/>
  <c r="S57" i="48"/>
  <c r="Q57" i="48"/>
  <c r="Z56" i="48"/>
  <c r="W56" i="48"/>
  <c r="S56" i="48"/>
  <c r="Q56" i="48"/>
  <c r="Z55" i="48"/>
  <c r="W55" i="48"/>
  <c r="S55" i="48"/>
  <c r="Q55" i="48"/>
  <c r="Z54" i="48"/>
  <c r="W54" i="48"/>
  <c r="S54" i="48"/>
  <c r="Q54" i="48"/>
  <c r="Z53" i="48"/>
  <c r="W53" i="48"/>
  <c r="S53" i="48"/>
  <c r="Q53" i="48"/>
  <c r="Z52" i="48"/>
  <c r="W52" i="48"/>
  <c r="S52" i="48"/>
  <c r="Q52" i="48"/>
  <c r="Z51" i="48"/>
  <c r="W51" i="48"/>
  <c r="S51" i="48"/>
  <c r="Q51" i="48"/>
  <c r="Z50" i="48"/>
  <c r="W50" i="48"/>
  <c r="S50" i="48"/>
  <c r="Q50" i="48"/>
  <c r="Z49" i="48"/>
  <c r="W49" i="48"/>
  <c r="S49" i="48"/>
  <c r="Q49" i="48"/>
  <c r="Z48" i="48"/>
  <c r="W48" i="48"/>
  <c r="S48" i="48"/>
  <c r="Q48" i="48"/>
  <c r="Z47" i="48"/>
  <c r="W47" i="48"/>
  <c r="S47" i="48"/>
  <c r="Q47" i="48"/>
  <c r="Z46" i="48"/>
  <c r="W46" i="48"/>
  <c r="S46" i="48"/>
  <c r="Q46" i="48"/>
  <c r="Z45" i="48"/>
  <c r="W45" i="48"/>
  <c r="S45" i="48"/>
  <c r="Q45" i="48"/>
  <c r="Z44" i="48"/>
  <c r="W44" i="48"/>
  <c r="S44" i="48"/>
  <c r="Q44" i="48"/>
  <c r="Z43" i="48"/>
  <c r="W43" i="48"/>
  <c r="S43" i="48"/>
  <c r="Q43" i="48"/>
  <c r="Z42" i="48"/>
  <c r="W42" i="48"/>
  <c r="S42" i="48"/>
  <c r="Q42" i="48"/>
  <c r="Z41" i="48"/>
  <c r="W41" i="48"/>
  <c r="S41" i="48"/>
  <c r="Q41" i="48"/>
  <c r="Z40" i="48"/>
  <c r="W40" i="48"/>
  <c r="S40" i="48"/>
  <c r="Q40" i="48"/>
  <c r="Z39" i="48"/>
  <c r="W39" i="48"/>
  <c r="S39" i="48"/>
  <c r="Q39" i="48"/>
  <c r="Z37" i="48"/>
  <c r="W37" i="48"/>
  <c r="Z36" i="48"/>
  <c r="W36" i="48"/>
  <c r="S36" i="48"/>
  <c r="Q36" i="48"/>
  <c r="Z35" i="48"/>
  <c r="W35" i="48"/>
  <c r="S35" i="48"/>
  <c r="Q35" i="48"/>
  <c r="Z31" i="48"/>
  <c r="W31" i="48"/>
  <c r="S31" i="48"/>
  <c r="Q31" i="48"/>
  <c r="Z30" i="48"/>
  <c r="W30" i="48"/>
  <c r="S30" i="48"/>
  <c r="Q30" i="48"/>
  <c r="Z29" i="48"/>
  <c r="W29" i="48"/>
  <c r="S29" i="48"/>
  <c r="Q29" i="48"/>
  <c r="Z28" i="48"/>
  <c r="W28" i="48"/>
  <c r="S28" i="48"/>
  <c r="Q28" i="48"/>
  <c r="Z27" i="48"/>
  <c r="W27" i="48"/>
  <c r="S27" i="48"/>
  <c r="Q27" i="48"/>
  <c r="Z26" i="48"/>
  <c r="W26" i="48"/>
  <c r="S26" i="48"/>
  <c r="Q26" i="48"/>
  <c r="Z25" i="48"/>
  <c r="W25" i="48"/>
  <c r="S25" i="48"/>
  <c r="Q25" i="48"/>
  <c r="Z24" i="48"/>
  <c r="W24" i="48"/>
  <c r="S24" i="48"/>
  <c r="Q24" i="48"/>
  <c r="Z23" i="48"/>
  <c r="W23" i="48"/>
  <c r="S23" i="48"/>
  <c r="Q23" i="48"/>
  <c r="Z22" i="48"/>
  <c r="W22" i="48"/>
  <c r="S22" i="48"/>
  <c r="Q22" i="48"/>
  <c r="Z21" i="48"/>
  <c r="W21" i="48"/>
  <c r="S21" i="48"/>
  <c r="Q21" i="48"/>
  <c r="Z20" i="48"/>
  <c r="W20" i="48"/>
  <c r="S20" i="48"/>
  <c r="Q20" i="48"/>
  <c r="Z19" i="48"/>
  <c r="W19" i="48"/>
  <c r="S19" i="48"/>
  <c r="Q19" i="48"/>
  <c r="Z18" i="48"/>
  <c r="W18" i="48"/>
  <c r="S18" i="48"/>
  <c r="Q18" i="48"/>
  <c r="Z17" i="48"/>
  <c r="W17" i="48"/>
  <c r="S17" i="48"/>
  <c r="Q17" i="48"/>
  <c r="Z16" i="48"/>
  <c r="W16" i="48"/>
  <c r="Q16" i="48"/>
  <c r="Z15" i="48"/>
  <c r="W15" i="48"/>
  <c r="S15" i="48"/>
  <c r="Q15" i="48"/>
  <c r="Z14" i="48"/>
  <c r="W14" i="48"/>
  <c r="S14" i="48"/>
  <c r="Q14" i="48"/>
  <c r="Z13" i="48"/>
  <c r="W13" i="48"/>
  <c r="S13" i="48"/>
  <c r="Q13" i="48"/>
  <c r="Z12" i="48"/>
  <c r="W12" i="48"/>
  <c r="S12" i="48"/>
  <c r="Q12" i="48"/>
  <c r="Z11" i="48"/>
  <c r="W11" i="48"/>
  <c r="S11" i="48"/>
  <c r="Q11" i="48"/>
  <c r="Z10" i="48"/>
  <c r="W10" i="48"/>
  <c r="S10" i="48"/>
  <c r="Q10" i="48"/>
  <c r="Z9" i="48"/>
  <c r="W9" i="48"/>
  <c r="S9" i="48"/>
  <c r="Q9" i="48"/>
  <c r="Z8" i="48"/>
  <c r="W8" i="48"/>
  <c r="S8" i="48"/>
  <c r="Q8" i="48"/>
  <c r="Z7" i="48"/>
  <c r="W7" i="48"/>
  <c r="S7" i="48"/>
  <c r="Q7" i="48"/>
  <c r="Z6" i="48"/>
  <c r="W6" i="48"/>
  <c r="S6" i="48"/>
  <c r="Q6" i="48"/>
  <c r="Z5" i="48"/>
  <c r="W5" i="48"/>
  <c r="S5" i="48"/>
  <c r="Q5" i="48"/>
  <c r="W32" i="48" l="1"/>
  <c r="W59" i="48"/>
  <c r="Q59" i="48"/>
  <c r="S59" i="48"/>
  <c r="W91" i="48"/>
  <c r="Q91" i="48"/>
  <c r="S91" i="48"/>
  <c r="S32" i="48"/>
  <c r="Q32" i="48"/>
  <c r="V52" i="44"/>
  <c r="V53" i="44"/>
  <c r="Q92" i="48" l="1"/>
  <c r="W92" i="48"/>
  <c r="S92" i="48"/>
  <c r="R51" i="47"/>
  <c r="R50" i="47"/>
  <c r="R60" i="47"/>
  <c r="V27" i="47" l="1"/>
  <c r="V85" i="44"/>
  <c r="R58" i="47"/>
  <c r="R26" i="44" l="1"/>
  <c r="R35" i="47"/>
  <c r="R63" i="44" l="1"/>
  <c r="R63" i="47"/>
  <c r="R107" i="47"/>
  <c r="R105" i="47"/>
  <c r="R95" i="47" l="1"/>
  <c r="R93" i="47"/>
  <c r="R91" i="47"/>
  <c r="R99" i="47"/>
  <c r="R69" i="47"/>
  <c r="R82" i="47"/>
  <c r="V5" i="44" l="1"/>
  <c r="V9" i="44"/>
  <c r="V6" i="44"/>
  <c r="V73" i="44" l="1"/>
  <c r="V71" i="44"/>
  <c r="V13" i="44" l="1"/>
  <c r="V51" i="44" l="1"/>
  <c r="R112" i="47" l="1"/>
  <c r="R114" i="47"/>
  <c r="R111" i="47"/>
  <c r="R113" i="47"/>
  <c r="V63" i="44"/>
  <c r="P74" i="47" l="1"/>
  <c r="W74" i="47" s="1"/>
  <c r="Z75" i="47"/>
  <c r="W75" i="47"/>
  <c r="S75" i="47"/>
  <c r="Q75" i="47"/>
  <c r="Z74" i="47"/>
  <c r="Z21" i="47"/>
  <c r="W21" i="47"/>
  <c r="S21" i="47"/>
  <c r="Q21" i="47"/>
  <c r="Z76" i="47"/>
  <c r="W76" i="47"/>
  <c r="S76" i="47"/>
  <c r="Q76" i="47"/>
  <c r="Q74" i="47" l="1"/>
  <c r="S74" i="47"/>
  <c r="Z123" i="47"/>
  <c r="W123" i="47"/>
  <c r="S123" i="47"/>
  <c r="Q123" i="47"/>
  <c r="Z122" i="47"/>
  <c r="W122" i="47"/>
  <c r="S122" i="47"/>
  <c r="Q122" i="47"/>
  <c r="Z121" i="47"/>
  <c r="W121" i="47"/>
  <c r="S121" i="47"/>
  <c r="Q121" i="47"/>
  <c r="Z120" i="47"/>
  <c r="W120" i="47"/>
  <c r="S120" i="47"/>
  <c r="Q120" i="47"/>
  <c r="Z119" i="47"/>
  <c r="W119" i="47"/>
  <c r="S119" i="47"/>
  <c r="Q119" i="47"/>
  <c r="Z118" i="47"/>
  <c r="W118" i="47"/>
  <c r="S118" i="47"/>
  <c r="Q118" i="47"/>
  <c r="V11" i="47" l="1"/>
  <c r="V10" i="47"/>
  <c r="R85" i="44" l="1"/>
  <c r="V46" i="44" l="1"/>
  <c r="R36" i="44"/>
  <c r="V66" i="44" l="1"/>
  <c r="V17" i="44" l="1"/>
  <c r="P117" i="47" l="1"/>
  <c r="S117" i="47" s="1"/>
  <c r="P82" i="47"/>
  <c r="Q117" i="47" l="1"/>
  <c r="Z117" i="47"/>
  <c r="R7" i="44" l="1"/>
  <c r="R5" i="44"/>
  <c r="V67" i="44"/>
  <c r="V69" i="44"/>
  <c r="V70" i="44"/>
  <c r="V18" i="44"/>
  <c r="V20" i="44"/>
  <c r="V15" i="44" l="1"/>
  <c r="W85" i="47" l="1"/>
  <c r="Z85" i="47"/>
  <c r="Q85" i="47"/>
  <c r="S85" i="47" l="1"/>
  <c r="V31" i="44" l="1"/>
  <c r="V16" i="44"/>
  <c r="V26" i="44"/>
  <c r="V25" i="44"/>
  <c r="P73" i="47" l="1"/>
  <c r="P72" i="47"/>
  <c r="P83" i="47" l="1"/>
  <c r="P71" i="47"/>
  <c r="S71" i="47" s="1"/>
  <c r="W71" i="47" l="1"/>
  <c r="Z71" i="47"/>
  <c r="Q71" i="47"/>
  <c r="V61" i="44"/>
  <c r="R11" i="47" l="1"/>
  <c r="R10" i="47"/>
  <c r="R13" i="44"/>
  <c r="R10" i="44"/>
  <c r="R65" i="44" l="1"/>
  <c r="P59" i="47"/>
  <c r="P58" i="47"/>
  <c r="R70" i="44" l="1"/>
  <c r="R69" i="44"/>
  <c r="R27" i="47"/>
  <c r="R73" i="44" l="1"/>
  <c r="V45" i="44" l="1"/>
  <c r="V35" i="44"/>
  <c r="V21" i="44"/>
  <c r="V19" i="44"/>
  <c r="V24" i="44" l="1"/>
  <c r="R71" i="44" l="1"/>
  <c r="R72" i="44"/>
  <c r="R53" i="44" l="1"/>
  <c r="R67" i="44"/>
  <c r="R51" i="44"/>
  <c r="R52" i="44"/>
  <c r="R64" i="44"/>
  <c r="V56" i="44" l="1"/>
  <c r="V68" i="44"/>
  <c r="V32" i="44"/>
  <c r="V29" i="44"/>
  <c r="R59" i="47" l="1"/>
  <c r="R37" i="44"/>
  <c r="R35" i="44"/>
  <c r="R46" i="44"/>
  <c r="R45" i="44"/>
  <c r="R5" i="47" l="1"/>
  <c r="V5" i="47"/>
  <c r="Z115" i="47"/>
  <c r="W115" i="47"/>
  <c r="S115" i="47"/>
  <c r="Q115" i="47"/>
  <c r="Z116" i="47"/>
  <c r="W116" i="47"/>
  <c r="S116" i="47"/>
  <c r="Q116" i="47"/>
  <c r="Q13" i="47"/>
  <c r="Q12" i="47"/>
  <c r="Z73" i="47" l="1"/>
  <c r="W73" i="47"/>
  <c r="S73" i="47"/>
  <c r="Q73" i="47"/>
  <c r="Z72" i="47"/>
  <c r="W72" i="47"/>
  <c r="S72" i="47"/>
  <c r="Q72" i="47"/>
  <c r="Z70" i="47"/>
  <c r="W70" i="47"/>
  <c r="S70" i="47"/>
  <c r="Q70" i="47"/>
  <c r="Z69" i="47"/>
  <c r="W69" i="47"/>
  <c r="S69" i="47"/>
  <c r="Q69" i="47"/>
  <c r="Z68" i="47"/>
  <c r="W68" i="47"/>
  <c r="S68" i="47"/>
  <c r="Q68" i="47"/>
  <c r="Z67" i="47"/>
  <c r="W67" i="47"/>
  <c r="S67" i="47"/>
  <c r="Q67" i="47"/>
  <c r="Z66" i="47"/>
  <c r="W66" i="47"/>
  <c r="S66" i="47"/>
  <c r="Q66" i="47"/>
  <c r="Z65" i="47"/>
  <c r="W65" i="47"/>
  <c r="S65" i="47"/>
  <c r="Q65" i="47"/>
  <c r="Z64" i="47"/>
  <c r="W64" i="47"/>
  <c r="S64" i="47"/>
  <c r="Q64" i="47"/>
  <c r="Z63" i="47"/>
  <c r="W63" i="47"/>
  <c r="S63" i="47"/>
  <c r="Q63" i="47"/>
  <c r="Z62" i="47"/>
  <c r="W62" i="47"/>
  <c r="S62" i="47"/>
  <c r="Q62" i="47"/>
  <c r="Z61" i="47"/>
  <c r="W61" i="47"/>
  <c r="S61" i="47"/>
  <c r="Q61" i="47"/>
  <c r="V30" i="44" l="1"/>
  <c r="V33" i="44"/>
  <c r="V54" i="44"/>
  <c r="R18" i="44" l="1"/>
  <c r="R20" i="44"/>
  <c r="Y124" i="47" l="1"/>
  <c r="X124" i="47"/>
  <c r="V124" i="47"/>
  <c r="U124" i="47"/>
  <c r="T124" i="47"/>
  <c r="T125" i="47" s="1"/>
  <c r="R124" i="47"/>
  <c r="P124" i="47"/>
  <c r="Z114" i="47"/>
  <c r="W114" i="47"/>
  <c r="S114" i="47"/>
  <c r="Q114" i="47"/>
  <c r="Z113" i="47"/>
  <c r="W113" i="47"/>
  <c r="S113" i="47"/>
  <c r="Q113" i="47"/>
  <c r="Z112" i="47"/>
  <c r="W112" i="47"/>
  <c r="S112" i="47"/>
  <c r="Q112" i="47"/>
  <c r="Z111" i="47"/>
  <c r="W111" i="47"/>
  <c r="S111" i="47"/>
  <c r="Q111" i="47"/>
  <c r="Z110" i="47"/>
  <c r="W110" i="47"/>
  <c r="S110" i="47"/>
  <c r="Q110" i="47"/>
  <c r="Z109" i="47"/>
  <c r="W109" i="47"/>
  <c r="S109" i="47"/>
  <c r="Q109" i="47"/>
  <c r="Z108" i="47"/>
  <c r="W108" i="47"/>
  <c r="S108" i="47"/>
  <c r="Q108" i="47"/>
  <c r="Z107" i="47"/>
  <c r="W107" i="47"/>
  <c r="S107" i="47"/>
  <c r="Q107" i="47"/>
  <c r="Z106" i="47"/>
  <c r="W106" i="47"/>
  <c r="S106" i="47"/>
  <c r="Q106" i="47"/>
  <c r="Z105" i="47"/>
  <c r="W105" i="47"/>
  <c r="S105" i="47"/>
  <c r="Q105" i="47"/>
  <c r="Z104" i="47"/>
  <c r="W104" i="47"/>
  <c r="S104" i="47"/>
  <c r="Q104" i="47"/>
  <c r="Z103" i="47"/>
  <c r="W103" i="47"/>
  <c r="S103" i="47"/>
  <c r="Q103" i="47"/>
  <c r="Z102" i="47"/>
  <c r="W102" i="47"/>
  <c r="S102" i="47"/>
  <c r="Q102" i="47"/>
  <c r="Z101" i="47"/>
  <c r="W101" i="47"/>
  <c r="S101" i="47"/>
  <c r="Q101" i="47"/>
  <c r="Z100" i="47"/>
  <c r="W100" i="47"/>
  <c r="S100" i="47"/>
  <c r="Q100" i="47"/>
  <c r="Z99" i="47"/>
  <c r="W99" i="47"/>
  <c r="S99" i="47"/>
  <c r="Q99" i="47"/>
  <c r="Z98" i="47"/>
  <c r="W98" i="47"/>
  <c r="S98" i="47"/>
  <c r="Q98" i="47"/>
  <c r="Z97" i="47"/>
  <c r="W97" i="47"/>
  <c r="S97" i="47"/>
  <c r="Q97" i="47"/>
  <c r="Z96" i="47"/>
  <c r="W96" i="47"/>
  <c r="S96" i="47"/>
  <c r="Q96" i="47"/>
  <c r="Z95" i="47"/>
  <c r="W95" i="47"/>
  <c r="S95" i="47"/>
  <c r="Q95" i="47"/>
  <c r="Z94" i="47"/>
  <c r="W94" i="47"/>
  <c r="S94" i="47"/>
  <c r="Q94" i="47"/>
  <c r="Z93" i="47"/>
  <c r="W93" i="47"/>
  <c r="S93" i="47"/>
  <c r="Q93" i="47"/>
  <c r="Z92" i="47"/>
  <c r="W92" i="47"/>
  <c r="S92" i="47"/>
  <c r="Q92" i="47"/>
  <c r="Z91" i="47"/>
  <c r="W91" i="47"/>
  <c r="S91" i="47"/>
  <c r="Q91" i="47"/>
  <c r="Z90" i="47"/>
  <c r="W90" i="47"/>
  <c r="S90" i="47"/>
  <c r="Q90" i="47"/>
  <c r="Z89" i="47"/>
  <c r="W89" i="47"/>
  <c r="S89" i="47"/>
  <c r="Q89" i="47"/>
  <c r="Z88" i="47"/>
  <c r="W88" i="47"/>
  <c r="S88" i="47"/>
  <c r="Q88" i="47"/>
  <c r="Z87" i="47"/>
  <c r="W87" i="47"/>
  <c r="S87" i="47"/>
  <c r="Q87" i="47"/>
  <c r="Z86" i="47"/>
  <c r="W86" i="47"/>
  <c r="S86" i="47"/>
  <c r="Q86" i="47"/>
  <c r="Z84" i="47"/>
  <c r="W84" i="47"/>
  <c r="S84" i="47"/>
  <c r="Q84" i="47"/>
  <c r="Z83" i="47"/>
  <c r="W83" i="47"/>
  <c r="S83" i="47"/>
  <c r="Q83" i="47"/>
  <c r="Z82" i="47"/>
  <c r="W82" i="47"/>
  <c r="S82" i="47"/>
  <c r="Q82" i="47"/>
  <c r="W81" i="47"/>
  <c r="S81" i="47"/>
  <c r="Q81" i="47"/>
  <c r="Y78" i="47"/>
  <c r="X78" i="47"/>
  <c r="V78" i="47"/>
  <c r="U78" i="47"/>
  <c r="T78" i="47"/>
  <c r="R78" i="47"/>
  <c r="P78" i="47"/>
  <c r="Z77" i="47"/>
  <c r="W77" i="47"/>
  <c r="S77" i="47"/>
  <c r="Q77" i="47"/>
  <c r="Z60" i="47"/>
  <c r="W60" i="47"/>
  <c r="S60" i="47"/>
  <c r="Q60" i="47"/>
  <c r="Z59" i="47"/>
  <c r="W59" i="47"/>
  <c r="S59" i="47"/>
  <c r="Q59" i="47"/>
  <c r="Z58" i="47"/>
  <c r="W58" i="47"/>
  <c r="S58" i="47"/>
  <c r="Q58" i="47"/>
  <c r="Z57" i="47"/>
  <c r="W57" i="47"/>
  <c r="S57" i="47"/>
  <c r="Q57" i="47"/>
  <c r="Z56" i="47"/>
  <c r="W56" i="47"/>
  <c r="S56" i="47"/>
  <c r="Q56" i="47"/>
  <c r="Z55" i="47"/>
  <c r="W55" i="47"/>
  <c r="S55" i="47"/>
  <c r="Q55" i="47"/>
  <c r="Z54" i="47"/>
  <c r="W54" i="47"/>
  <c r="S54" i="47"/>
  <c r="Q54" i="47"/>
  <c r="Z53" i="47"/>
  <c r="W53" i="47"/>
  <c r="S53" i="47"/>
  <c r="Q53" i="47"/>
  <c r="Z52" i="47"/>
  <c r="W52" i="47"/>
  <c r="S52" i="47"/>
  <c r="Q52" i="47"/>
  <c r="Z51" i="47"/>
  <c r="W51" i="47"/>
  <c r="S51" i="47"/>
  <c r="Q51" i="47"/>
  <c r="Z50" i="47"/>
  <c r="W50" i="47"/>
  <c r="S50" i="47"/>
  <c r="Q50" i="47"/>
  <c r="Z49" i="47"/>
  <c r="W49" i="47"/>
  <c r="S49" i="47"/>
  <c r="Q49" i="47"/>
  <c r="Z48" i="47"/>
  <c r="W48" i="47"/>
  <c r="S48" i="47"/>
  <c r="Q48" i="47"/>
  <c r="Z47" i="47"/>
  <c r="W47" i="47"/>
  <c r="S47" i="47"/>
  <c r="Q47" i="47"/>
  <c r="Z46" i="47"/>
  <c r="W46" i="47"/>
  <c r="S46" i="47"/>
  <c r="Q46" i="47"/>
  <c r="Z45" i="47"/>
  <c r="W45" i="47"/>
  <c r="S45" i="47"/>
  <c r="Q45" i="47"/>
  <c r="Z44" i="47"/>
  <c r="W44" i="47"/>
  <c r="S44" i="47"/>
  <c r="Q44" i="47"/>
  <c r="Z43" i="47"/>
  <c r="W43" i="47"/>
  <c r="S43" i="47"/>
  <c r="Q43" i="47"/>
  <c r="Z42" i="47"/>
  <c r="W42" i="47"/>
  <c r="S42" i="47"/>
  <c r="Q42" i="47"/>
  <c r="Z41" i="47"/>
  <c r="W41" i="47"/>
  <c r="S41" i="47"/>
  <c r="Q41" i="47"/>
  <c r="Z40" i="47"/>
  <c r="W40" i="47"/>
  <c r="S40" i="47"/>
  <c r="Q40" i="47"/>
  <c r="Z39" i="47"/>
  <c r="W39" i="47"/>
  <c r="S39" i="47"/>
  <c r="Q39" i="47"/>
  <c r="Z38" i="47"/>
  <c r="W38" i="47"/>
  <c r="S38" i="47"/>
  <c r="Q38" i="47"/>
  <c r="Z37" i="47"/>
  <c r="W37" i="47"/>
  <c r="S37" i="47"/>
  <c r="Q37" i="47"/>
  <c r="Z36" i="47"/>
  <c r="W36" i="47"/>
  <c r="S36" i="47"/>
  <c r="Q36" i="47"/>
  <c r="Z35" i="47"/>
  <c r="W35" i="47"/>
  <c r="S35" i="47"/>
  <c r="Q35" i="47"/>
  <c r="Z34" i="47"/>
  <c r="W34" i="47"/>
  <c r="S34" i="47"/>
  <c r="Q34" i="47"/>
  <c r="Z33" i="47"/>
  <c r="W33" i="47"/>
  <c r="S33" i="47"/>
  <c r="Q33" i="47"/>
  <c r="Z32" i="47"/>
  <c r="W32" i="47"/>
  <c r="S32" i="47"/>
  <c r="Q32" i="47"/>
  <c r="Z31" i="47"/>
  <c r="W31" i="47"/>
  <c r="S31" i="47"/>
  <c r="Q31" i="47"/>
  <c r="Z30" i="47"/>
  <c r="W30" i="47"/>
  <c r="S30" i="47"/>
  <c r="Q30" i="47"/>
  <c r="Z29" i="47"/>
  <c r="W29" i="47"/>
  <c r="S29" i="47"/>
  <c r="Q29" i="47"/>
  <c r="Z28" i="47"/>
  <c r="W28" i="47"/>
  <c r="S28" i="47"/>
  <c r="Q28" i="47"/>
  <c r="Z27" i="47"/>
  <c r="W27" i="47"/>
  <c r="S27" i="47"/>
  <c r="Q27" i="47"/>
  <c r="Y24" i="47"/>
  <c r="X24" i="47"/>
  <c r="V24" i="47"/>
  <c r="U24" i="47"/>
  <c r="T24" i="47"/>
  <c r="R24" i="47"/>
  <c r="P24" i="47"/>
  <c r="Z23" i="47"/>
  <c r="W23" i="47"/>
  <c r="S23" i="47"/>
  <c r="Q23" i="47"/>
  <c r="Z19" i="47"/>
  <c r="W19" i="47"/>
  <c r="S19" i="47"/>
  <c r="Q19" i="47"/>
  <c r="Z18" i="47"/>
  <c r="W18" i="47"/>
  <c r="S18" i="47"/>
  <c r="Q18" i="47"/>
  <c r="Z17" i="47"/>
  <c r="W17" i="47"/>
  <c r="S17" i="47"/>
  <c r="Q17" i="47"/>
  <c r="Z16" i="47"/>
  <c r="W16" i="47"/>
  <c r="S16" i="47"/>
  <c r="Q16" i="47"/>
  <c r="Z15" i="47"/>
  <c r="W15" i="47"/>
  <c r="S15" i="47"/>
  <c r="Q15" i="47"/>
  <c r="Z14" i="47"/>
  <c r="W14" i="47"/>
  <c r="S14" i="47"/>
  <c r="Q14" i="47"/>
  <c r="Z13" i="47"/>
  <c r="W13" i="47"/>
  <c r="S13" i="47"/>
  <c r="Z12" i="47"/>
  <c r="W12" i="47"/>
  <c r="S12" i="47"/>
  <c r="Z11" i="47"/>
  <c r="W11" i="47"/>
  <c r="S11" i="47"/>
  <c r="Q11" i="47"/>
  <c r="Z10" i="47"/>
  <c r="W10" i="47"/>
  <c r="S10" i="47"/>
  <c r="Q10" i="47"/>
  <c r="Z9" i="47"/>
  <c r="W9" i="47"/>
  <c r="S9" i="47"/>
  <c r="Q9" i="47"/>
  <c r="Z8" i="47"/>
  <c r="W8" i="47"/>
  <c r="S8" i="47"/>
  <c r="Q8" i="47"/>
  <c r="Z7" i="47"/>
  <c r="W7" i="47"/>
  <c r="S7" i="47"/>
  <c r="Q7" i="47"/>
  <c r="Z6" i="47"/>
  <c r="W6" i="47"/>
  <c r="S6" i="47"/>
  <c r="Q6" i="47"/>
  <c r="Z5" i="47"/>
  <c r="W5" i="47"/>
  <c r="S5" i="47"/>
  <c r="Q5" i="47"/>
  <c r="Q124" i="47" l="1"/>
  <c r="Z78" i="47"/>
  <c r="Z124" i="47"/>
  <c r="Q78" i="47"/>
  <c r="W124" i="47"/>
  <c r="U125" i="47"/>
  <c r="V125" i="47"/>
  <c r="R125" i="47"/>
  <c r="X125" i="47"/>
  <c r="Y125" i="47"/>
  <c r="Z24" i="47"/>
  <c r="P125" i="47"/>
  <c r="S24" i="47"/>
  <c r="Q24" i="47"/>
  <c r="W24" i="47"/>
  <c r="S124" i="47"/>
  <c r="W78" i="47"/>
  <c r="S78" i="47"/>
  <c r="V62" i="44"/>
  <c r="Z125" i="47" l="1"/>
  <c r="Q125" i="47"/>
  <c r="W125" i="47"/>
  <c r="S125" i="47"/>
  <c r="V43" i="44" l="1"/>
  <c r="V58" i="44" l="1"/>
  <c r="R29" i="44" l="1"/>
  <c r="R32" i="44"/>
  <c r="R56" i="44"/>
  <c r="R68" i="44"/>
  <c r="R43" i="44"/>
  <c r="V55" i="44" l="1"/>
  <c r="V57" i="44"/>
  <c r="R30" i="44" l="1"/>
  <c r="R33" i="44"/>
  <c r="R54" i="44" l="1"/>
  <c r="R24" i="44"/>
  <c r="R38" i="44" l="1"/>
  <c r="V23" i="44"/>
  <c r="V14" i="44"/>
  <c r="V27" i="44" l="1"/>
  <c r="Z46" i="44" l="1"/>
  <c r="W46" i="44"/>
  <c r="S46" i="44"/>
  <c r="Q46" i="44"/>
  <c r="Z45" i="44"/>
  <c r="W45" i="44"/>
  <c r="S45" i="44"/>
  <c r="Q45" i="44"/>
  <c r="R66" i="44" l="1"/>
  <c r="V28" i="44"/>
  <c r="V78" i="44" l="1"/>
  <c r="V75" i="44" l="1"/>
  <c r="V76" i="44"/>
  <c r="V8" i="44" l="1"/>
  <c r="R57" i="44" l="1"/>
  <c r="R55" i="44"/>
  <c r="V79" i="44" l="1"/>
  <c r="Z79" i="44" s="1"/>
  <c r="R79" i="44"/>
  <c r="S79" i="44" s="1"/>
  <c r="Z78" i="44"/>
  <c r="R78" i="44"/>
  <c r="S78" i="44" s="1"/>
  <c r="V77" i="44"/>
  <c r="R77" i="44"/>
  <c r="P77" i="44"/>
  <c r="Q77" i="44" s="1"/>
  <c r="Q78" i="44" l="1"/>
  <c r="W79" i="44"/>
  <c r="W77" i="44"/>
  <c r="Q79" i="44"/>
  <c r="Z77" i="44"/>
  <c r="S77" i="44"/>
  <c r="W78" i="44"/>
  <c r="R61" i="44"/>
  <c r="R75" i="44"/>
  <c r="R76" i="44"/>
  <c r="Z76" i="44" l="1"/>
  <c r="Z75" i="44"/>
  <c r="Z74" i="44"/>
  <c r="W76" i="44"/>
  <c r="S76" i="44"/>
  <c r="Q76" i="44"/>
  <c r="W75" i="44"/>
  <c r="S75" i="44"/>
  <c r="Q75" i="44"/>
  <c r="W74" i="44"/>
  <c r="S74" i="44"/>
  <c r="Q74" i="44"/>
  <c r="P86" i="44" l="1"/>
  <c r="R86" i="44"/>
  <c r="T86" i="44"/>
  <c r="U86" i="44"/>
  <c r="V86" i="44"/>
  <c r="X86" i="44"/>
  <c r="Y86" i="44"/>
  <c r="R28" i="44" l="1"/>
  <c r="R27" i="44"/>
  <c r="V42" i="44"/>
  <c r="P64" i="44" l="1"/>
  <c r="R25" i="44"/>
  <c r="R23" i="44"/>
  <c r="R14" i="44"/>
  <c r="R58" i="44"/>
  <c r="R40" i="44" l="1"/>
  <c r="R62" i="44" l="1"/>
  <c r="R9" i="44" l="1"/>
  <c r="Y80" i="44" l="1"/>
  <c r="X80" i="44"/>
  <c r="V80" i="44"/>
  <c r="U80" i="44"/>
  <c r="T80" i="44"/>
  <c r="R80" i="44"/>
  <c r="P80" i="44"/>
  <c r="V48" i="44"/>
  <c r="P48" i="44"/>
  <c r="U87" i="44" l="1"/>
  <c r="T87" i="44"/>
  <c r="Y87" i="44"/>
  <c r="V87" i="44"/>
  <c r="P87" i="44"/>
  <c r="X87" i="44"/>
  <c r="R8" i="44" l="1"/>
  <c r="R17" i="44" l="1"/>
  <c r="R31" i="44" l="1"/>
  <c r="R16" i="44"/>
  <c r="R15" i="44"/>
  <c r="R42" i="44" l="1"/>
  <c r="R21" i="44"/>
  <c r="R19" i="44"/>
  <c r="R6" i="44" l="1"/>
  <c r="R48" i="44" s="1"/>
  <c r="R87" i="44" s="1"/>
  <c r="Z85" i="44" l="1"/>
  <c r="W85" i="44"/>
  <c r="S85" i="44"/>
  <c r="Q85" i="44"/>
  <c r="Z84" i="44"/>
  <c r="W84" i="44"/>
  <c r="S84" i="44"/>
  <c r="Q84" i="44"/>
  <c r="Z83" i="44"/>
  <c r="Z86" i="44" s="1"/>
  <c r="W83" i="44"/>
  <c r="S83" i="44"/>
  <c r="Q83" i="44"/>
  <c r="Z73" i="44"/>
  <c r="W73" i="44"/>
  <c r="S73" i="44"/>
  <c r="Q73" i="44"/>
  <c r="Z72" i="44"/>
  <c r="W72" i="44"/>
  <c r="S72" i="44"/>
  <c r="Q72" i="44"/>
  <c r="Z71" i="44"/>
  <c r="W71" i="44"/>
  <c r="S71" i="44"/>
  <c r="Q71" i="44"/>
  <c r="Z70" i="44"/>
  <c r="W70" i="44"/>
  <c r="S70" i="44"/>
  <c r="Q70" i="44"/>
  <c r="Z69" i="44"/>
  <c r="W69" i="44"/>
  <c r="S69" i="44"/>
  <c r="Q69" i="44"/>
  <c r="Z68" i="44"/>
  <c r="W68" i="44"/>
  <c r="S68" i="44"/>
  <c r="Q68" i="44"/>
  <c r="Z67" i="44"/>
  <c r="W67" i="44"/>
  <c r="S67" i="44"/>
  <c r="Q67" i="44"/>
  <c r="Z66" i="44"/>
  <c r="W66" i="44"/>
  <c r="S66" i="44"/>
  <c r="Q66" i="44"/>
  <c r="Z65" i="44"/>
  <c r="W65" i="44"/>
  <c r="S65" i="44"/>
  <c r="Q65" i="44"/>
  <c r="Z64" i="44"/>
  <c r="W64" i="44"/>
  <c r="S64" i="44"/>
  <c r="Q64" i="44"/>
  <c r="Z63" i="44"/>
  <c r="W63" i="44"/>
  <c r="S63" i="44"/>
  <c r="Q63" i="44"/>
  <c r="Z62" i="44"/>
  <c r="W62" i="44"/>
  <c r="S62" i="44"/>
  <c r="Q62" i="44"/>
  <c r="Z61" i="44"/>
  <c r="W61" i="44"/>
  <c r="S61" i="44"/>
  <c r="Q61" i="44"/>
  <c r="Z60" i="44"/>
  <c r="W60" i="44"/>
  <c r="S60" i="44"/>
  <c r="Q60" i="44"/>
  <c r="Z59" i="44"/>
  <c r="W59" i="44"/>
  <c r="S59" i="44"/>
  <c r="Q59" i="44"/>
  <c r="Z58" i="44"/>
  <c r="W58" i="44"/>
  <c r="S58" i="44"/>
  <c r="Q58" i="44"/>
  <c r="Z57" i="44"/>
  <c r="W57" i="44"/>
  <c r="S57" i="44"/>
  <c r="Q57" i="44"/>
  <c r="Z56" i="44"/>
  <c r="W56" i="44"/>
  <c r="S56" i="44"/>
  <c r="Q56" i="44"/>
  <c r="Z55" i="44"/>
  <c r="W55" i="44"/>
  <c r="S55" i="44"/>
  <c r="Q55" i="44"/>
  <c r="Z54" i="44"/>
  <c r="W54" i="44"/>
  <c r="S54" i="44"/>
  <c r="Q54" i="44"/>
  <c r="Z53" i="44"/>
  <c r="W53" i="44"/>
  <c r="S53" i="44"/>
  <c r="Q53" i="44"/>
  <c r="Z52" i="44"/>
  <c r="W52" i="44"/>
  <c r="S52" i="44"/>
  <c r="Q52" i="44"/>
  <c r="Z51" i="44"/>
  <c r="W51" i="44"/>
  <c r="S51" i="44"/>
  <c r="Q51" i="44"/>
  <c r="Z47" i="44"/>
  <c r="W47" i="44"/>
  <c r="S47" i="44"/>
  <c r="Q47" i="44"/>
  <c r="Z44" i="44"/>
  <c r="W44" i="44"/>
  <c r="S44" i="44"/>
  <c r="Q44" i="44"/>
  <c r="Z43" i="44"/>
  <c r="W43" i="44"/>
  <c r="S43" i="44"/>
  <c r="Q43" i="44"/>
  <c r="Z42" i="44"/>
  <c r="W42" i="44"/>
  <c r="S42" i="44"/>
  <c r="Q42" i="44"/>
  <c r="Z41" i="44"/>
  <c r="W41" i="44"/>
  <c r="S41" i="44"/>
  <c r="Q41" i="44"/>
  <c r="Z40" i="44"/>
  <c r="W40" i="44"/>
  <c r="S40" i="44"/>
  <c r="Q40" i="44"/>
  <c r="Z39" i="44"/>
  <c r="W39" i="44"/>
  <c r="S39" i="44"/>
  <c r="Q39" i="44"/>
  <c r="Z38" i="44"/>
  <c r="W38" i="44"/>
  <c r="S38" i="44"/>
  <c r="Q38" i="44"/>
  <c r="Z37" i="44"/>
  <c r="W37" i="44"/>
  <c r="S37" i="44"/>
  <c r="Q37" i="44"/>
  <c r="Z36" i="44"/>
  <c r="W36" i="44"/>
  <c r="S36" i="44"/>
  <c r="Q36" i="44"/>
  <c r="Z35" i="44"/>
  <c r="W35" i="44"/>
  <c r="S35" i="44"/>
  <c r="Q35" i="44"/>
  <c r="Z34" i="44"/>
  <c r="W34" i="44"/>
  <c r="S34" i="44"/>
  <c r="Q34" i="44"/>
  <c r="Z33" i="44"/>
  <c r="W33" i="44"/>
  <c r="S33" i="44"/>
  <c r="Q33" i="44"/>
  <c r="Z32" i="44"/>
  <c r="W32" i="44"/>
  <c r="S32" i="44"/>
  <c r="Q32" i="44"/>
  <c r="Z31" i="44"/>
  <c r="W31" i="44"/>
  <c r="S31" i="44"/>
  <c r="Q31" i="44"/>
  <c r="Z30" i="44"/>
  <c r="W30" i="44"/>
  <c r="S30" i="44"/>
  <c r="Q30" i="44"/>
  <c r="Z29" i="44"/>
  <c r="W29" i="44"/>
  <c r="S29" i="44"/>
  <c r="Q29" i="44"/>
  <c r="Z28" i="44"/>
  <c r="W28" i="44"/>
  <c r="S28" i="44"/>
  <c r="Q28" i="44"/>
  <c r="Z27" i="44"/>
  <c r="W27" i="44"/>
  <c r="S27" i="44"/>
  <c r="Q27" i="44"/>
  <c r="Z26" i="44"/>
  <c r="W26" i="44"/>
  <c r="S26" i="44"/>
  <c r="Q26" i="44"/>
  <c r="Z25" i="44"/>
  <c r="W25" i="44"/>
  <c r="S25" i="44"/>
  <c r="Q25" i="44"/>
  <c r="Z24" i="44"/>
  <c r="W24" i="44"/>
  <c r="S24" i="44"/>
  <c r="Q24" i="44"/>
  <c r="Z23" i="44"/>
  <c r="W23" i="44"/>
  <c r="S23" i="44"/>
  <c r="Q23" i="44"/>
  <c r="Z22" i="44"/>
  <c r="W22" i="44"/>
  <c r="S22" i="44"/>
  <c r="Q22" i="44"/>
  <c r="Z21" i="44"/>
  <c r="W21" i="44"/>
  <c r="S21" i="44"/>
  <c r="Q21" i="44"/>
  <c r="Z20" i="44"/>
  <c r="W20" i="44"/>
  <c r="S20" i="44"/>
  <c r="Q20" i="44"/>
  <c r="Z19" i="44"/>
  <c r="W19" i="44"/>
  <c r="S19" i="44"/>
  <c r="Q19" i="44"/>
  <c r="Z18" i="44"/>
  <c r="W18" i="44"/>
  <c r="S18" i="44"/>
  <c r="Q18" i="44"/>
  <c r="Z17" i="44"/>
  <c r="W17" i="44"/>
  <c r="S17" i="44"/>
  <c r="Q17" i="44"/>
  <c r="Z16" i="44"/>
  <c r="W16" i="44"/>
  <c r="S16" i="44"/>
  <c r="Q16" i="44"/>
  <c r="Z15" i="44"/>
  <c r="W15" i="44"/>
  <c r="S15" i="44"/>
  <c r="Q15" i="44"/>
  <c r="Z14" i="44"/>
  <c r="W14" i="44"/>
  <c r="S14" i="44"/>
  <c r="Q14" i="44"/>
  <c r="Z13" i="44"/>
  <c r="W13" i="44"/>
  <c r="S13" i="44"/>
  <c r="Q13" i="44"/>
  <c r="Z12" i="44"/>
  <c r="W12" i="44"/>
  <c r="S12" i="44"/>
  <c r="Q12" i="44"/>
  <c r="Z11" i="44"/>
  <c r="W11" i="44"/>
  <c r="S11" i="44"/>
  <c r="Q11" i="44"/>
  <c r="Z10" i="44"/>
  <c r="W10" i="44"/>
  <c r="S10" i="44"/>
  <c r="Q10" i="44"/>
  <c r="Z9" i="44"/>
  <c r="W9" i="44"/>
  <c r="S9" i="44"/>
  <c r="Q9" i="44"/>
  <c r="Z8" i="44"/>
  <c r="W8" i="44"/>
  <c r="S8" i="44"/>
  <c r="Q8" i="44"/>
  <c r="Z7" i="44"/>
  <c r="W7" i="44"/>
  <c r="S7" i="44"/>
  <c r="Q7" i="44"/>
  <c r="Z6" i="44"/>
  <c r="W6" i="44"/>
  <c r="S6" i="44"/>
  <c r="Q6" i="44"/>
  <c r="Z5" i="44"/>
  <c r="W5" i="44"/>
  <c r="S5" i="44"/>
  <c r="Q5" i="44"/>
  <c r="W86" i="44" l="1"/>
  <c r="Z80" i="44"/>
  <c r="S86" i="44"/>
  <c r="Q86" i="44"/>
  <c r="Q80" i="44"/>
  <c r="W80" i="44"/>
  <c r="Z48" i="44"/>
  <c r="S48" i="44"/>
  <c r="S80" i="44"/>
  <c r="Q48" i="44"/>
  <c r="W48" i="44"/>
  <c r="Q87" i="44" l="1"/>
  <c r="W87" i="44"/>
  <c r="S87" i="44"/>
  <c r="L8" i="21" l="1"/>
  <c r="N8" i="21" l="1"/>
  <c r="M8" i="21"/>
  <c r="K8" i="21"/>
  <c r="J8" i="21"/>
  <c r="I8" i="21"/>
  <c r="H8" i="21"/>
  <c r="G8" i="21"/>
  <c r="F8" i="21"/>
  <c r="E8" i="21"/>
  <c r="D8" i="21"/>
  <c r="D8" i="19" l="1"/>
  <c r="F8" i="19"/>
  <c r="G8" i="19"/>
  <c r="H8" i="19"/>
  <c r="I8" i="19"/>
  <c r="J8" i="19"/>
  <c r="E8" i="19"/>
  <c r="N8" i="19" l="1"/>
  <c r="M8" i="19"/>
  <c r="K8" i="19"/>
  <c r="N11" i="19"/>
  <c r="M11" i="19"/>
</calcChain>
</file>

<file path=xl/comments1.xml><?xml version="1.0" encoding="utf-8"?>
<comments xmlns="http://schemas.openxmlformats.org/spreadsheetml/2006/main">
  <authors>
    <author>RAFI</author>
  </authors>
  <commentList>
    <comment ref="F61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Newage to NFL
</t>
        </r>
      </text>
    </comment>
  </commentList>
</comments>
</file>

<file path=xl/comments2.xml><?xml version="1.0" encoding="utf-8"?>
<comments xmlns="http://schemas.openxmlformats.org/spreadsheetml/2006/main">
  <authors>
    <author>RAFI</author>
  </authors>
  <commentList>
    <comment ref="F29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Return from Rupa-19.05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Return from Rupa-19.05</t>
        </r>
      </text>
    </comment>
    <comment ref="F84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Return from Scandex 08.07</t>
        </r>
      </text>
    </comment>
  </commentList>
</comments>
</file>

<file path=xl/comments3.xml><?xml version="1.0" encoding="utf-8"?>
<comments xmlns="http://schemas.openxmlformats.org/spreadsheetml/2006/main">
  <authors>
    <author>RAFI</author>
  </authors>
  <commentList>
    <comment ref="F14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Return from Giant-11.06</t>
        </r>
      </text>
    </comment>
  </commentList>
</comments>
</file>

<file path=xl/comments4.xml><?xml version="1.0" encoding="utf-8"?>
<comments xmlns="http://schemas.openxmlformats.org/spreadsheetml/2006/main">
  <authors>
    <author>RAFI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Giant to NFL</t>
        </r>
      </text>
    </comment>
    <comment ref="F93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Newage to NFL-confirm by Imran Boss</t>
        </r>
      </text>
    </comment>
    <comment ref="F96" authorId="0" shapeId="0">
      <text>
        <r>
          <rPr>
            <b/>
            <sz val="9"/>
            <color indexed="81"/>
            <rFont val="Tahoma"/>
            <family val="2"/>
          </rPr>
          <t>RAFI:</t>
        </r>
        <r>
          <rPr>
            <sz val="9"/>
            <color indexed="81"/>
            <rFont val="Tahoma"/>
            <family val="2"/>
          </rPr>
          <t xml:space="preserve">
Newage to NFL-confirm by Imran Boss</t>
        </r>
      </text>
    </comment>
  </commentList>
</comments>
</file>

<file path=xl/sharedStrings.xml><?xml version="1.0" encoding="utf-8"?>
<sst xmlns="http://schemas.openxmlformats.org/spreadsheetml/2006/main" count="6537" uniqueCount="1414">
  <si>
    <t xml:space="preserve">NORTHERN FASHION LTD. </t>
  </si>
  <si>
    <t>update</t>
  </si>
  <si>
    <t>DESINGN</t>
  </si>
  <si>
    <t>Buyer</t>
  </si>
  <si>
    <t>Job no.</t>
  </si>
  <si>
    <t>Req: GSM</t>
  </si>
  <si>
    <t>Req: Dia</t>
  </si>
  <si>
    <t>Combo</t>
  </si>
  <si>
    <t>Fabric Type</t>
  </si>
  <si>
    <t>Req. Qty (Kg)</t>
  </si>
  <si>
    <t>Dyeing Bal. Qty (Kg)</t>
  </si>
  <si>
    <t>Aop Send. (Kg)</t>
  </si>
  <si>
    <t>Send Balance. (Kg)</t>
  </si>
  <si>
    <t>Aop Send Date</t>
  </si>
  <si>
    <t>In-house Qty (Kg)</t>
  </si>
  <si>
    <t>BALANCE</t>
  </si>
  <si>
    <t>Process Loss</t>
  </si>
  <si>
    <t>REMARKS</t>
  </si>
  <si>
    <t>BS-NMT</t>
  </si>
  <si>
    <t>74"</t>
  </si>
  <si>
    <t>S/J</t>
  </si>
  <si>
    <t>76"</t>
  </si>
  <si>
    <t>Vis L/S/J</t>
  </si>
  <si>
    <t>NFL</t>
  </si>
  <si>
    <t>Kamruzzaman</t>
  </si>
  <si>
    <t>Newage</t>
  </si>
  <si>
    <t>52"</t>
  </si>
  <si>
    <t>Cloud Dancer Aop</t>
  </si>
  <si>
    <t>2x2 L/Rib</t>
  </si>
  <si>
    <t>Haider</t>
  </si>
  <si>
    <t>Rony</t>
  </si>
  <si>
    <t>Bashir</t>
  </si>
  <si>
    <t>Salam</t>
  </si>
  <si>
    <t>UTG</t>
  </si>
  <si>
    <t>OVS</t>
  </si>
  <si>
    <t>72"</t>
  </si>
  <si>
    <t>Vis H/L/J</t>
  </si>
  <si>
    <t>Bright White Aop</t>
  </si>
  <si>
    <t>Pakiza</t>
  </si>
  <si>
    <t>Jafar</t>
  </si>
  <si>
    <t>Corsage Aop</t>
  </si>
  <si>
    <t>Terry</t>
  </si>
  <si>
    <t>68"</t>
  </si>
  <si>
    <t>56"</t>
  </si>
  <si>
    <t>Rupa</t>
  </si>
  <si>
    <t>54"</t>
  </si>
  <si>
    <t>RFD Aop</t>
  </si>
  <si>
    <t>64"</t>
  </si>
  <si>
    <t>Merchandiser</t>
  </si>
  <si>
    <t>DB-Tex</t>
  </si>
  <si>
    <t>Giant-Tex</t>
  </si>
  <si>
    <t>Sabikun</t>
  </si>
  <si>
    <t>L/S/J</t>
  </si>
  <si>
    <t>L/Terry</t>
  </si>
  <si>
    <t>Burnished Lilac Aop</t>
  </si>
  <si>
    <t>Pointal L/Rib</t>
  </si>
  <si>
    <t>70"</t>
  </si>
  <si>
    <t>Dark Sapphire Aop (Discharge Dye)</t>
  </si>
  <si>
    <t>Sparkle</t>
  </si>
  <si>
    <t>Navy Blazer Aop (Discharge Dye)</t>
  </si>
  <si>
    <t>66"</t>
  </si>
  <si>
    <t>L/Fleece</t>
  </si>
  <si>
    <t>Unifill</t>
  </si>
  <si>
    <t>Morad</t>
  </si>
  <si>
    <t>G.Sarwar</t>
  </si>
  <si>
    <t>GT-Miss Selfridge</t>
  </si>
  <si>
    <t>Interlock</t>
  </si>
  <si>
    <t>77"</t>
  </si>
  <si>
    <t>Pointal Rib</t>
  </si>
  <si>
    <t>Mainul</t>
  </si>
  <si>
    <t>Total</t>
  </si>
  <si>
    <t>5x2 L/Rib</t>
  </si>
  <si>
    <t>Slot Wise</t>
  </si>
  <si>
    <t>No of Job</t>
  </si>
  <si>
    <t>Order Qty-kg</t>
  </si>
  <si>
    <t>Fabric Sent Qty-kg</t>
  </si>
  <si>
    <t>Fabric Sent Combo</t>
  </si>
  <si>
    <t>Sent Balance Qty-kg</t>
  </si>
  <si>
    <t>Sent Balance Combo</t>
  </si>
  <si>
    <t>Fabric In-house Qty-kg</t>
  </si>
  <si>
    <t>Fabric In-house Combo</t>
  </si>
  <si>
    <t>In-house Balance Qty-kg</t>
  </si>
  <si>
    <t>In-house Balance Combo</t>
  </si>
  <si>
    <t>Work Order</t>
  </si>
  <si>
    <t>Design / Artwork</t>
  </si>
  <si>
    <t xml:space="preserve">Strike-off </t>
  </si>
  <si>
    <t xml:space="preserve">Knitting </t>
  </si>
  <si>
    <t>Dyeing</t>
  </si>
  <si>
    <t>Received-Combo</t>
  </si>
  <si>
    <t>Dues-Combo</t>
  </si>
  <si>
    <t>Submitted-Combo</t>
  </si>
  <si>
    <t>Approval-combo</t>
  </si>
  <si>
    <t>Complete-KG</t>
  </si>
  <si>
    <t>Dues-KG</t>
  </si>
  <si>
    <t>Design / Artwork Received Balance Style No/ job</t>
  </si>
  <si>
    <t>Strike-off Approvel Due Style No/ job</t>
  </si>
  <si>
    <t>Knitting Due Style No/ job</t>
  </si>
  <si>
    <t>Dyeing dues Style No/ job</t>
  </si>
  <si>
    <t>Strike-off Submission Due Style No/Job</t>
  </si>
  <si>
    <t>DBTex</t>
  </si>
  <si>
    <t>Pale Mauve Aop</t>
  </si>
  <si>
    <t>Black Aop</t>
  </si>
  <si>
    <t>50"</t>
  </si>
  <si>
    <t>Tradewinds Aop</t>
  </si>
  <si>
    <t>Island Fossil Aop</t>
  </si>
  <si>
    <t>Knit Plus</t>
  </si>
  <si>
    <t>Egret Aop</t>
  </si>
  <si>
    <t>Mauve Shadows Aop</t>
  </si>
  <si>
    <t>Afroza Jannat</t>
  </si>
  <si>
    <t>Rhythmic Red Aop (Discharge Dye)</t>
  </si>
  <si>
    <t>Fleece</t>
  </si>
  <si>
    <t>Rhythmic Red Aop</t>
  </si>
  <si>
    <t>Sanaulla</t>
  </si>
  <si>
    <t>White Alyssum Aop</t>
  </si>
  <si>
    <t>Scooter Aop</t>
  </si>
  <si>
    <t>Dyeing Factory</t>
  </si>
  <si>
    <t>Dbtex</t>
  </si>
  <si>
    <t>Print 
Factory</t>
  </si>
  <si>
    <t>In House Date</t>
  </si>
  <si>
    <t>Challan No</t>
  </si>
  <si>
    <t>Sub Total -</t>
  </si>
  <si>
    <t>Knitex</t>
  </si>
  <si>
    <t>60"</t>
  </si>
  <si>
    <t>4x4 L/Rib</t>
  </si>
  <si>
    <t>Early Hours Aop</t>
  </si>
  <si>
    <t>Alloy Aop</t>
  </si>
  <si>
    <t>Peyote Melange Aop</t>
  </si>
  <si>
    <t>Tomal</t>
  </si>
  <si>
    <t>Shamoly</t>
  </si>
  <si>
    <t>Orchid Ice Aop</t>
  </si>
  <si>
    <t>Aop plan &amp; Execution Report Summary, July-25</t>
  </si>
  <si>
    <t>Country Air Aop</t>
  </si>
  <si>
    <t>Work Order Received Balance Month Of - July Style No/Job</t>
  </si>
  <si>
    <t>1st Slot (01.07.25 to 10.07.25)</t>
  </si>
  <si>
    <t>2nd slot (11.07.25 to 20.07.25)</t>
  </si>
  <si>
    <t>3rd Slot (21.07.25 to 31.07.25)</t>
  </si>
  <si>
    <t>Crystal Pink Aop</t>
  </si>
  <si>
    <t>Sugar Swizzle Aop</t>
  </si>
  <si>
    <t>Khairul</t>
  </si>
  <si>
    <t>Aop plan &amp; Execution Report Summary, Agust-25</t>
  </si>
  <si>
    <t xml:space="preserve">Dyeing Start Date </t>
  </si>
  <si>
    <t>Dyeing End Date</t>
  </si>
  <si>
    <t xml:space="preserve">Aop Start Date </t>
  </si>
  <si>
    <t>Aop End date</t>
  </si>
  <si>
    <t>Knit plus</t>
  </si>
  <si>
    <t>Whitecap Gray Aop</t>
  </si>
  <si>
    <t>F/Terry</t>
  </si>
  <si>
    <t>58"</t>
  </si>
  <si>
    <t>Antique White Aop</t>
  </si>
  <si>
    <t>Brilliant White Aop</t>
  </si>
  <si>
    <t>Masud Rana</t>
  </si>
  <si>
    <t>Red Aop (Discharge Dye)</t>
  </si>
  <si>
    <t>Light Grey Melange 5% Aop</t>
  </si>
  <si>
    <t>18.08.25</t>
  </si>
  <si>
    <t>Baritone Blue Aop</t>
  </si>
  <si>
    <t>03.09.25</t>
  </si>
  <si>
    <t>Ditsy Print Aop</t>
  </si>
  <si>
    <t>2x1 L/Rib</t>
  </si>
  <si>
    <t>Lavender Fog Aop</t>
  </si>
  <si>
    <t>Black Ditsy Aop</t>
  </si>
  <si>
    <t>Peyote Aop</t>
  </si>
  <si>
    <t>Zahirul</t>
  </si>
  <si>
    <t>BS-ONL-Main</t>
  </si>
  <si>
    <t>1x1 Rib</t>
  </si>
  <si>
    <t>BS-ONL-Sub</t>
  </si>
  <si>
    <t>Wild Ginger Aop (Discharge Dye)</t>
  </si>
  <si>
    <t>Lotus Aop</t>
  </si>
  <si>
    <t>L/Fleece (20% Rec-Ctn)</t>
  </si>
  <si>
    <t>Sesame Aop</t>
  </si>
  <si>
    <t>Lilas Aop</t>
  </si>
  <si>
    <t>Atik</t>
  </si>
  <si>
    <t>60/40 CVC Terry (Rec-Poly)</t>
  </si>
  <si>
    <t>Peyote Melange 1% Aop</t>
  </si>
  <si>
    <t>Top Ctn, CVC Terry</t>
  </si>
  <si>
    <t>Jet Stream Aop</t>
  </si>
  <si>
    <t>Ifrat</t>
  </si>
  <si>
    <t>Pristine Aop</t>
  </si>
  <si>
    <t>Blue Mirage Aop (Discharge Dye)</t>
  </si>
  <si>
    <t>Mermaid Aop (Discharge Dye)</t>
  </si>
  <si>
    <t>Mosaddik</t>
  </si>
  <si>
    <t>3rd Slots (21.05.26 to 31.05.26)</t>
  </si>
  <si>
    <t>2nd Slots (11.05.26 to 20.05.26)</t>
  </si>
  <si>
    <t>Aop Bulk plan &amp; Execution Report Bulk -May-2026</t>
  </si>
  <si>
    <t>1st Slots (01.05.26 to 10.05.26)</t>
  </si>
  <si>
    <t>Lavender Icing Aop (Discharge Dye)</t>
  </si>
  <si>
    <t>Cherry Blossom Aop</t>
  </si>
  <si>
    <t>Overture Aop (Discharge Dye)</t>
  </si>
  <si>
    <t>Lilac Aop</t>
  </si>
  <si>
    <t>Peyote Melange (Ctn Melange)</t>
  </si>
  <si>
    <t>Heirloom Lilac Aop</t>
  </si>
  <si>
    <t>Needle Drop Rib</t>
  </si>
  <si>
    <t>Chocolate Brown Aop</t>
  </si>
  <si>
    <t>PK Interlock (20% Rec-Ctn)</t>
  </si>
  <si>
    <t>Peyote</t>
  </si>
  <si>
    <t>44842 8th</t>
  </si>
  <si>
    <t>43319 19th</t>
  </si>
  <si>
    <t>43317 16th</t>
  </si>
  <si>
    <t>Fig Aop</t>
  </si>
  <si>
    <t>Top G.Mel, CVC Terry</t>
  </si>
  <si>
    <t>47242 2nd</t>
  </si>
  <si>
    <t>47247 1st</t>
  </si>
  <si>
    <t>46615 4th</t>
  </si>
  <si>
    <t>Red Aop</t>
  </si>
  <si>
    <t>Print Cream Aop</t>
  </si>
  <si>
    <t>CM 2x1 L/Rib</t>
  </si>
  <si>
    <t>Vis 1x1 L/Rib</t>
  </si>
  <si>
    <t>Pageant Blue Aop</t>
  </si>
  <si>
    <t>Vanila Cream Aop</t>
  </si>
  <si>
    <t>Vanila Cream Aop (Stripe)</t>
  </si>
  <si>
    <t>Pearled Ivory Aop</t>
  </si>
  <si>
    <t>Chocolate Torte Aop (Discharge Dye)</t>
  </si>
  <si>
    <t>Dark Grey Melange Aop</t>
  </si>
  <si>
    <t>PC S/J</t>
  </si>
  <si>
    <t>Off White Aop</t>
  </si>
  <si>
    <t>Bark Aop</t>
  </si>
  <si>
    <t>43317 17th</t>
  </si>
  <si>
    <t>Cream Ditsy Aop</t>
  </si>
  <si>
    <t>Animal Print Aop</t>
  </si>
  <si>
    <t>Ditry Print Aop</t>
  </si>
  <si>
    <t>18.04.26</t>
  </si>
  <si>
    <t>20.04.26</t>
  </si>
  <si>
    <t>21.04.26</t>
  </si>
  <si>
    <t>2111+2116</t>
  </si>
  <si>
    <t>13.04.26+15.04.26</t>
  </si>
  <si>
    <t>2116+2098</t>
  </si>
  <si>
    <t>15.04.26+16.04.26</t>
  </si>
  <si>
    <t>2098+2711</t>
  </si>
  <si>
    <t>16.04.26+21.04.26</t>
  </si>
  <si>
    <t>22.04.26</t>
  </si>
  <si>
    <t>2139+2142</t>
  </si>
  <si>
    <t>22.04.26+22.04</t>
  </si>
  <si>
    <t>24.04.26</t>
  </si>
  <si>
    <t>25.04.26</t>
  </si>
  <si>
    <t>2731+2734+2878</t>
  </si>
  <si>
    <t>25.04.26+25.04+30.04.26</t>
  </si>
  <si>
    <t>Scandex</t>
  </si>
  <si>
    <t>45092 5th</t>
  </si>
  <si>
    <t>05.05.26</t>
  </si>
  <si>
    <t>988+997</t>
  </si>
  <si>
    <t>04.05.26+06.05.26</t>
  </si>
  <si>
    <t>06.05.26</t>
  </si>
  <si>
    <t>04.05.26+05.05.26+06.05.26</t>
  </si>
  <si>
    <t>2896+3654+3615</t>
  </si>
  <si>
    <t>08.05.26</t>
  </si>
  <si>
    <t>877+977+947</t>
  </si>
  <si>
    <t>26.04.26+02.05.26+08.05.26</t>
  </si>
  <si>
    <t>(Cutting Fillup No Need Aop Con by-Alomgir vai &amp; Saju sir)</t>
  </si>
  <si>
    <t>09.05.26</t>
  </si>
  <si>
    <t>948+898</t>
  </si>
  <si>
    <t>08.05.26+09.05.26</t>
  </si>
  <si>
    <t>w.or rec ok 12.04.26-1st pso sub ok 02.04.26-Bulk App rec ok 20.04.26--Test roll in 09.05.26 50.0 kg</t>
  </si>
  <si>
    <t>3660+3625</t>
  </si>
  <si>
    <t>w.or rec 06.04.26-Bulk App rec ok 27.04.26-B-4 SK -5.7 -2.9 1.0%</t>
  </si>
  <si>
    <t>SMS kora knit plus w.or due-Bulk App rec 30.04.26-w.or rec ok 04.05.26-B-4 SK -0.6 -1.4. 1.0%</t>
  </si>
  <si>
    <t>w.or rec 20.04.26-Fab send 21.04.26-Bulk App rec ok 07.05.26-B-4 SK -10.0  +0.9 1.0%</t>
  </si>
  <si>
    <t>w.or rec ok 12.04.26-1st pso sub ok 02.04.26-App rec ok 20.04.26 With comments--8.0 kg fab sample use dv 26.04.26--comments follow or shade sub 26.04--Bulk App rec ok 27.04.26--Test roll in 08.05.26 54.0 kg-B-4 SK -0.3 -1.4 1.0% LOT-26855013- LOT-26855011 B-4 SK -7.9 -2.9 1.0%--LOT-26855022 -4.3 -5.7 2.0</t>
  </si>
  <si>
    <t>w.or rec ok 12.04.26-1st pso sub ok 06.04.26-1st com rec 20.04.26 comments follow with strike off and pp-Rev pso sub due-9.0 kg fab sample a Delivery 27.04.26--comments follow or shade sub 26.04--Bulk App rec ok 27.04.26--56 kg test rolli 08.05.26-B-4 SK -5.7 -1.4 1.0%LOT-26855003--LOT-526855001 -7.1 -2.9 1.0</t>
  </si>
  <si>
    <t>w.or rec ok-27.03.26--Bulk App rec 09.05.26(Old Des Ly-Fleece)-B-4 SK -7.1 0.9 1.0%</t>
  </si>
  <si>
    <t>w.or rec ok 04.05.26--BULK APP REC 09.05.26-B-4 SK -10  -4.3 4.0 %--Fab send 10.05.26</t>
  </si>
  <si>
    <t>w.or rec ok 04.05.26-B-4 SK -10  -4.3 4.0 %--Bulk App rec 09.05.26-Fab send 10.05.26</t>
  </si>
  <si>
    <t>11.05.26</t>
  </si>
  <si>
    <t>13.05.26</t>
  </si>
  <si>
    <t>14.05.26</t>
  </si>
  <si>
    <t>15.05.26</t>
  </si>
  <si>
    <t>w.or rec ok 08.05.26--Short Qty in ok m11.05.26</t>
  </si>
  <si>
    <t>877+988+947+1159</t>
  </si>
  <si>
    <t>26.04.26+04.05.26+08.05.26+12.05.26</t>
  </si>
  <si>
    <t>T&amp;A Missing</t>
  </si>
  <si>
    <t>47250 1st</t>
  </si>
  <si>
    <t>Leopard Aop</t>
  </si>
  <si>
    <t>SMS kora knit plus w.or due-Bulk App rec 30.04.26-w.or rec ok 04.05.26-B-4 SK -0.6 -1.4. 1.0%--GSM-202/204/212/202/213--4.6 kg Sample a use 13262142</t>
  </si>
  <si>
    <t>2875+3647</t>
  </si>
  <si>
    <t>30.04.26+14.05.26</t>
  </si>
  <si>
    <t>w.or rec 06.04.26-Bulk App rec ok 07.04.26-Fab send 14.05 Unifill</t>
  </si>
  <si>
    <t>16.05.26</t>
  </si>
  <si>
    <t>218217+218653</t>
  </si>
  <si>
    <t>07.05.26+15.05.26</t>
  </si>
  <si>
    <t>w.or rec ok 23.04.26-Bulk App rec ok 04.05.26-B-4 SK -5.7 -2.9 2.0%--135 kg short qty send 14.05.26--113 kg short qty in ok 15.05.26</t>
  </si>
  <si>
    <t>18.05.26</t>
  </si>
  <si>
    <t>19.05.26</t>
  </si>
  <si>
    <t>1210+1219</t>
  </si>
  <si>
    <t>14.05.26+19.05.26</t>
  </si>
  <si>
    <t>1st pso sub ok 02.04.26--Bulk App rec ok 28.04.26 with comments colour swatch follow--Test roll in ok 19.05.26 44.0 kg</t>
  </si>
  <si>
    <t>20.05.26</t>
  </si>
  <si>
    <t>w.or rec ok 15.05.26-PP App rec 25.04.26 SMS Comments follow with pp print---Bulk app rec ok 19.05.26--B/4 SK -8.6 -0.3 1.0 %-GSM-291,292,</t>
  </si>
  <si>
    <t>Aop Bulk plan &amp; Execution Report Bulk -June-2026</t>
  </si>
  <si>
    <t>1st Slots (01.06.26 to 10.06.26)</t>
  </si>
  <si>
    <t>w.or rec ok 15.05.26-Bulk App rec ok 25.04.26--B/4 SK -6.9 -7.1 1.0 %-GSM-305,310,315</t>
  </si>
  <si>
    <t>w.or rec ok 04.05.26-Bulk App rec ok 05.05.26--B/4 SK -2.9 -5.7 2.0 %</t>
  </si>
  <si>
    <t>w.or rec ok 04.05.26-Bulk App rec ok 07.05.26-Fab send 14.05 Unifill--B/4 SK 4.9 -0.6 2.0</t>
  </si>
  <si>
    <t>w.or rec ok 04.05.26-Bulk App rec ok 07.05.26 B/4 SK -5.1 -2.9 7.0 %</t>
  </si>
  <si>
    <t>w.or rec 24.02.26--Bulk App rec 15.02.26-B/4 SK -8.9 -5.1 1.0%</t>
  </si>
  <si>
    <t>w.or rec ok 04.05.26-Bulk App rec ok 07.05.26-B/4 SK -5.1 -2.9 7.0%</t>
  </si>
  <si>
    <t>w.or rec 06.04.26-w.or lilas col-Bulk App rec ok 27.04.26-B/4 SK -5.7 -2.9 1.0% GSM-272,</t>
  </si>
  <si>
    <t>fab 26.04.26 send-1st pso sub ok 30.04.26--B/4 SK -9.6 -2.9 3.0%-BULK APP REC 18.05.26 WITH COMMENTS</t>
  </si>
  <si>
    <t>44025 4th</t>
  </si>
  <si>
    <t>Botanical Gardern Aop (Discharge Dye)</t>
  </si>
  <si>
    <t>Red Dahlia Aop (Discharge Dye)</t>
  </si>
  <si>
    <t>Light Lilac Aop (Discharge Dye)</t>
  </si>
  <si>
    <t>Top Ctn, CVC Fleece (Rec-Poly)</t>
  </si>
  <si>
    <t>Navy Cosmos Aop (Discharge Dye)</t>
  </si>
  <si>
    <t>43319 20th</t>
  </si>
  <si>
    <t>Wild Rose Aop (Discharge Dye)</t>
  </si>
  <si>
    <t>Abyss Aop</t>
  </si>
  <si>
    <t>Red Dahlia Aop</t>
  </si>
  <si>
    <t>Catawba Grape Aop</t>
  </si>
  <si>
    <t>L/S/J (20% Rec-Ctn)</t>
  </si>
  <si>
    <t>46861 2nd</t>
  </si>
  <si>
    <t>Turtledove Aop</t>
  </si>
  <si>
    <t>Light Grey Melange 2% AOP</t>
  </si>
  <si>
    <t>Rosewater Aop</t>
  </si>
  <si>
    <t>46770 2nd</t>
  </si>
  <si>
    <t>Winetasting Aop</t>
  </si>
  <si>
    <t>Len Modal Heavy/J</t>
  </si>
  <si>
    <t>Emboldened Aop</t>
  </si>
  <si>
    <t>June Bug Aop</t>
  </si>
  <si>
    <t>71"</t>
  </si>
  <si>
    <t>Big Dipper Aop (Discharge Dye)</t>
  </si>
  <si>
    <t>Catawba Grape Aop (Discharge Dye)</t>
  </si>
  <si>
    <t>Olive Night (Ctn Part Dye)</t>
  </si>
  <si>
    <t>Full Blooming Pink</t>
  </si>
  <si>
    <t>Coca Mocha Aop</t>
  </si>
  <si>
    <t>L/Fleece ( 20% Rec-Ctn)</t>
  </si>
  <si>
    <t>Peyote Melange Aop (Ctn Melange)</t>
  </si>
  <si>
    <t>Mauve Shadows Aop (Discharge Dye)</t>
  </si>
  <si>
    <t>Peyote Melange Aop (Ctn Melange) (Discharge Dye)</t>
  </si>
  <si>
    <t>Peyote Melange Aop (Cotton Melange)</t>
  </si>
  <si>
    <t>Sepia Aop (Discharge Dye)</t>
  </si>
  <si>
    <t>Parfait Pink Aop</t>
  </si>
  <si>
    <t>w.or rec ok 04.05.26-Bulk App rec ok 07.05.26</t>
  </si>
  <si>
    <t>w.or rec ok 20.05.26-1st pso sub ok 06.05.26--B/4 SK -4.3 -1.4 1.0 %--21.05.26 fab send dbtex</t>
  </si>
  <si>
    <t>W.or rec 20.05.26 -1st pso sub ok 06.05.26--Bulk App rec ok 13.05.26--B/4 SK -4.3 -1.4 1.0 %-21.05.26 fab send dbtex</t>
  </si>
  <si>
    <t>w.or due--Bulk App rec ok 13.05.26-B-4 SK -5.7 -4.9 1.0 -21.05.26 fab send dbtex</t>
  </si>
  <si>
    <t>21.05.26</t>
  </si>
  <si>
    <t>219025+219089</t>
  </si>
  <si>
    <t>20.05.26+21.05.26</t>
  </si>
  <si>
    <t>w.or rec ok 04.05.26-Bulk App rec ok 07.05.26-(43319 20th App rec 07.05.26)-B/4 SK -6.6 -4.3 3.0 %</t>
  </si>
  <si>
    <t>w.or rec 06.04.26-Bulk App rec ok 27.04.26-B/4 SK -5.7 -2.9  1.0</t>
  </si>
  <si>
    <t>w.or rec 24.02.26-Test roll in ok 06.05.26--Bulk App rec ok 19.02.26-B/4 SK -2.9 -2.9 1.0</t>
  </si>
  <si>
    <t>w.or rec 20.04.26--1ST PSO Sub OK 22.05.26-B/4 SK -5.7 -8.6 1.0%GSM-211,205GSM-211,205</t>
  </si>
  <si>
    <t>23.05.26</t>
  </si>
  <si>
    <t>4003+4102</t>
  </si>
  <si>
    <t>16.05.26+21.05.26</t>
  </si>
  <si>
    <t>22.05.26</t>
  </si>
  <si>
    <t>3676+4109</t>
  </si>
  <si>
    <t>12.05.26+22.05.26</t>
  </si>
  <si>
    <t>w.or rec 20.04.26-1st com rec 07.05.26 Antiqe white sms kora bulk orde Peyote Need rev pso -1st pso sub ok 13.05.26-B/4 SK -4.9 -9.6 3.0% GSM-192.201,186-Bulk App rec ok 23.05.26</t>
  </si>
  <si>
    <t>w.or rec ok 04.05.26-Bulk App rec ok 16.05.26</t>
  </si>
  <si>
    <t xml:space="preserve">w.or rec ok 20.05.26-1st pso sub ok 08.05.26 Bulk App rec ok 16.05.26-B/4 SK -8.6 -7.1 2.5 </t>
  </si>
  <si>
    <t>24.05.26</t>
  </si>
  <si>
    <t>w.or rec 20.04.26-Fab send 21.04.26-Bulk App rec ok 07.05.26-B-4 SK -10.0  +0.9 1.0%--3.0 kg sample</t>
  </si>
  <si>
    <t>25.05.26</t>
  </si>
  <si>
    <t>05.06.26</t>
  </si>
  <si>
    <t>BULK App rec ok 05.06.26</t>
  </si>
  <si>
    <t>w.or rec 20.04.26-1ST PSO Sub OK 22.05.26-- B/4 SK -5.7 -8.6 1.0%GSM-211,205 app rec- 06.06</t>
  </si>
  <si>
    <t>w.or rec 21.04.26-1st pso sub ok 24.05.26--4.0 KG FAB SAMPLE PURPOSE USE-BULK APP REC OK 06.06.26</t>
  </si>
  <si>
    <t>w.or rec 21.04.26---2nd time sample Fab send ok 16.05.26 ch-4003 Qty-6.0 kg from bulk fab 46353-1st pso sub ok 24.05.26--B/4 SK -8.6 -7.1 1.0 B/4 GSM HIGH-230,230,231-BULK HOTE 3.0 KG SAMPLE FAB IN 24.05.26 CH-1308 QTY-3.0 KG -BULK APP REC OK 06.06.26</t>
  </si>
  <si>
    <t>w.or rec 05.05.26 Bulk App rec-06.05.26-B/4 SK -5.7 -4.3 1.0 GSM-177/172</t>
  </si>
  <si>
    <t>SMS kora Knit plus-w.or rec 05.05.26 Bulk App rec-06.05.26-B/4 SK -5.7 -4.3 1.0 GSM-178/178</t>
  </si>
  <si>
    <t>06.06.26</t>
  </si>
  <si>
    <t>w.or rec 20.04.26-1st com rec 07.05.26 Antiqe white sms kora bulk orde Peyote Need rev pso -1st pso sub ok 13.05.26-B/4 SK -4.9 -9.6 3.0% GSM-192.201,186-Bulk App rec ok 23.05.26-6.0 kg fabric sample purpose use Mer/Mosaddik vai 06.06.26 hand over by Mosadik vai</t>
  </si>
  <si>
    <t>3699+4046</t>
  </si>
  <si>
    <t>19.05.26+06.06.26</t>
  </si>
  <si>
    <t>44842 9th</t>
  </si>
  <si>
    <t>Keepsake Lilac AOP</t>
  </si>
  <si>
    <t>VP 2x2 L/Rib</t>
  </si>
  <si>
    <t>Linen Aop</t>
  </si>
  <si>
    <t>w.or rec 20.05.26-B/4 SK -6.6 -5.7 1.0--Bulk App rec ok 08.06.26</t>
  </si>
  <si>
    <t>08.06.26</t>
  </si>
  <si>
    <t>41132+41178</t>
  </si>
  <si>
    <t>06.06.26+08.06.26</t>
  </si>
  <si>
    <t>Tango Red  Aop (Discharge Dye)</t>
  </si>
  <si>
    <t>w.or rec ok 09.06.26-BULK APP REC OK 06.06.26</t>
  </si>
  <si>
    <t xml:space="preserve">w.or rec ok-27.03.26--B-4 SK -2.9 -2.9 1.0%-GSM-235,237,227---Need new pso sub korte hobe New artwork 05.05.26--New strike off sub ok 20.05.26 Unifill choto print con by nazmulBulk app rec- 10.06 </t>
  </si>
  <si>
    <t>w.or rec ok-27.03.26---Need new pso sub korte hobe New artwork 05.05.26--New strike off sub ok 20.05.26 Unifill-B/4 SK -4.3 -2.9 1.0% GSM-192.201,186 Bulk app rec- 10.06 chot print con by nazmul</t>
  </si>
  <si>
    <t>41178+41201</t>
  </si>
  <si>
    <t>08.06.26+10.06.26</t>
  </si>
  <si>
    <t>10.06.26</t>
  </si>
  <si>
    <t>1184+1320</t>
  </si>
  <si>
    <t>09.06.26+10.06.26</t>
  </si>
  <si>
    <t>w.or rec ok 06.05.26-B-4 SK -8.6 -0.9 1.0%--1st pso sub ok 07.05.26-BULK APP REC OK-12.05.26--LOT-261-3526 B/4 SK -5.0  -3.2 1.0-test roll in ok 10.06.26 53 kg</t>
  </si>
  <si>
    <t>1311+1184+1320</t>
  </si>
  <si>
    <t>06.06.26+09.06.26+10.06.26</t>
  </si>
  <si>
    <t>Tango Red Aop</t>
  </si>
  <si>
    <t>W.OR rec ok 11.06.26--Acc pp fab hote 1ST pso sub 07.05.26-AOP PP FAB IN OK 08.05.26 CH-947 QTY-7.0 KG-Bulk App rec ok 12.05.26</t>
  </si>
  <si>
    <t>w.or rec 20.05.26-B/4 SKLOT-106521 -2.9 -4.3 1.0% 618.0 KG-LOT-106457 -9.1 -6.6 1.5%1100.0 KG-1st pso sub 02.05.26-1st com rec 15.05.26 Rev 2nd pso sub 22.05.26 knit plus-Bulk App rec ok 05.06.26 with comments Dot need round-Knit plus App-1ST BULK SHADE SUB 09.06.26 UNIFILL--Bulk App rec-12.06.26</t>
  </si>
  <si>
    <t>4138+4147</t>
  </si>
  <si>
    <t>10.06.26+12.06.26</t>
  </si>
  <si>
    <t>12.06.26</t>
  </si>
  <si>
    <t>w.or rec ok-27.03.26-Bulk App rec 09.05.26(Old Des Ly-Fleece)-B/4 SK -5.7 -0.6 1.0 % GSM-225/223/235/248</t>
  </si>
  <si>
    <t>w.or rec ok 06.05.26--1st pso sub ok 06.05.26-BULK APP REC OK-12.05.26--Stenter Aop send-test roll in ok 10.06.26 52 kg B/4 SK -8.6 -0.9 1.0 % LOT-3247 QTY-650 KG</t>
  </si>
  <si>
    <t xml:space="preserve">w.or rec ok-27.03.26---Bulk App Rec ok 15.05.26 Old Des Cotton Fleece dye fab in ok sparkel-B/4 SK -7.4 -5.7 4.0 % GSM-251/244 </t>
  </si>
  <si>
    <t xml:space="preserve">w.or rec 06.06.26-1st Pso sub ok 11.06.26 Bulk App rec-11.06.26-2.0 kg fab need sample use tomal vai B/4 SK </t>
  </si>
  <si>
    <t>w.or rec 06.06.26-1st Pso sub ok 11.06.26 Bulk App rec-11.06.26 B/4 SK -7.1 -7.1 2.0  % GSM-198/180/198</t>
  </si>
  <si>
    <t>w.or rec ok  04.05.26-BULK APP REC OK-12.05.26-B/4 SK -6.3 -2.9 1.0% GSM-170/173/171/169</t>
  </si>
  <si>
    <t>w.or rec 20.05.26--Bulk App rec ok 13.05.26 B/4 SK -2.9 -1.4 1.0 % GSM-223/233/215/216/220 LOT- 106779 -3.1 -1.1 1.0 GSM-233/258</t>
  </si>
  <si>
    <t>13.06.26</t>
  </si>
  <si>
    <t>41226+41252</t>
  </si>
  <si>
    <t>12.06.26+13.06.26</t>
  </si>
  <si>
    <t xml:space="preserve"> knit plus w.or rec ok 06.05.26-Only Stenter ---1st pso sub ok 16.04.26-Bulk App rec ok 15.05.26 Unifill App--54 kg test roll in 13.06.26</t>
  </si>
  <si>
    <t>Afroza Jannati</t>
  </si>
  <si>
    <t>w.or rec 20.04.26--195 kg 23.04.26 send-1st com rec 07.05.26 Antiqe white sms kora bulk orde Peyote Need rev pso -1st pso sub ok 13.05.26-B/4 SK -4.9 -9.6 3.0% GSM-192.201,186-Bulk App rec ok 23.05.26--Cutting a paper hand over ok others job wise fillup</t>
  </si>
  <si>
    <r>
      <t xml:space="preserve">46615 5th </t>
    </r>
    <r>
      <rPr>
        <b/>
        <sz val="11"/>
        <color theme="1"/>
        <rFont val="Arial"/>
        <family val="2"/>
      </rPr>
      <t xml:space="preserve">before aop test fail without discus no print </t>
    </r>
  </si>
  <si>
    <t>w.or rec ok 20.05.26-1st pso sub ok 08.05.26- Bulk App rec ok 16.05.26--Bulk shade sub 12.06.26-B/4 SK -4.3 -4.3 1.0</t>
  </si>
  <si>
    <t>w.or rec 21.04.26-1st pso sub ok 05.05.26-Bulk App rec ok 13.05.26--Rev shade sub 08.06.26--Rev App 10.06.26 rec B/4 SK 6.6 -4.3 2.0</t>
  </si>
  <si>
    <t>1321+1325</t>
  </si>
  <si>
    <t>13.06.26+14.06.26</t>
  </si>
  <si>
    <t xml:space="preserve"> knit plus w.or rec ok 06.05.26-Only Stenter -26.04 fab send-ch-2734---1st pso sub ok 16.04.26-PP App Rec 16.04.26--1st com rec 06.05.26 Need rev pso-10 kg fab ret NFL ch-900 10.05.26 unifill sample purpose-10 kg fab unifill send 11.05.26 ch-3670 sample purpose 262PJA1015---Rev 2nd pso sub ok 13.05.26 Unifill--BULK APP REC OK 20.05.26 UNIFILL APP-31.0 kg test roll in ok 14.06.26</t>
  </si>
  <si>
    <t>w.or rec ok 15.06.26-Bulk App rec ok 10.06.26-19.0 kg fab sample style a send kora hoy-13258653 w.or due er jonno 1 roll print korte hobe</t>
  </si>
  <si>
    <t>w.or rec ok 10.06.26-B/4 SK -9.0 -4.3 1.0-Fab send-14.06-Bulk App rec ok 15.06.26</t>
  </si>
  <si>
    <t>W.OR REC 10.06.26 B/4 SK -9.0 -4.3 1.0-Fab send-14.06-Bulk App rec ok 15.06.26</t>
  </si>
  <si>
    <t>15.06.26</t>
  </si>
  <si>
    <t>16.06.26</t>
  </si>
  <si>
    <t>219958+220250</t>
  </si>
  <si>
    <t>11.06.26+16.06.26</t>
  </si>
  <si>
    <t>17.06.26</t>
  </si>
  <si>
    <t>4149+4711</t>
  </si>
  <si>
    <t>13.06.26+17.06.26</t>
  </si>
  <si>
    <t>W.OR rec ok 11.06.26--Acc fab pp hote pso sub 07.05.26-AOP PP FAB IN OK 08.05.26 CH-947 QTY-7.0 KG-Bulk App rec ok 12.05.26/646 KG FAB STENTER AOP SEND</t>
  </si>
  <si>
    <t>w.or rec ok-27.03.26----Need new pso sub korte hobe New artwork 05.05.26 dye fab in - 05.06 need to send brush--New 1st pso sub ok 08.06.26 B/4 SK -7.1 -2.9 1.0 % GSM-230/237-BULK APP REC 17.06.26</t>
  </si>
  <si>
    <t>w.or rec ok 15.06.26-1st pso sub ok 25.05.26 Knit plus-1ST COM REC 05.06.26 REV 2ND PSO SUB -10.06.26-Bulk App rec ok 16.06.26</t>
  </si>
  <si>
    <t>4766+4716</t>
  </si>
  <si>
    <t>stenter Aop send w.or rec ok 06.05.26-1st pso sub 27.04 1st com rec 28.04-Rev 2nd pso sub ok 30.04.26-2nd com rec 06.05.26 swatch follow new pso-Rev 3rd pso sub ok 24.05.26-Bulk App rec ok 09.06.26--47.0 kg test roll in ok 14.06--80.0 KG GREY FAB RET NFL CH-1336 17.06.26</t>
  </si>
  <si>
    <t>4119+4762</t>
  </si>
  <si>
    <t>06.06.26+17.06.26</t>
  </si>
  <si>
    <t>3636+4762</t>
  </si>
  <si>
    <t>09.05.26+17.06.26</t>
  </si>
  <si>
    <t>w.or rec 06.04.26-Bulk App rec ok 27.04.26-B-4 SK -4.3 -4.3 1.0%--38 KG FAB SEND 17.06.26</t>
  </si>
  <si>
    <t>w.or rec 20.05.26--1st pso sub ok 07.05.26-Bulk App Rec ok 16.05.26-21.05.26 fab send dbtex-B/4 SK -2.9 +1.4 1.0--Bulk shade sub 19.06.26</t>
  </si>
  <si>
    <t>4026+4119+4768</t>
  </si>
  <si>
    <t>21.05.26+06.06.26+19.06.26</t>
  </si>
  <si>
    <t>19.06.26</t>
  </si>
  <si>
    <t>220348+220433</t>
  </si>
  <si>
    <t>18.06.26+19.06.26</t>
  </si>
  <si>
    <t>20.06.26</t>
  </si>
  <si>
    <t>4126+4769</t>
  </si>
  <si>
    <t>08.06.26+20.06.26</t>
  </si>
  <si>
    <t>1341+1248</t>
  </si>
  <si>
    <t>18.06.26+20.06.26</t>
  </si>
  <si>
    <t>w.or rec ok 06.05.26--1st pso sub ok 07.05.26-BULK APP REC OK-12.05.26--B/4 SK LOT-265-8584 -9.1 +4.3 1.0 % GSM-185/187/184--LOT-265-8585 -11.4 +4.3 1.0 %--TEST ROLL IN 20.06.26</t>
  </si>
  <si>
    <t>1308+1341+1248</t>
  </si>
  <si>
    <t>24.05.26+18.06.26+20.06.26</t>
  </si>
  <si>
    <t>Mauve Shadow Aop</t>
  </si>
  <si>
    <t>44"</t>
  </si>
  <si>
    <t>GT-New Look</t>
  </si>
  <si>
    <t>Navy Aop (Discharge Dye)</t>
  </si>
  <si>
    <t>Shofi</t>
  </si>
  <si>
    <t>46615 6th</t>
  </si>
  <si>
    <t>Blanc De Blanc Aop</t>
  </si>
  <si>
    <t>Winter White Aop</t>
  </si>
  <si>
    <t>Flushing Pink Aop</t>
  </si>
  <si>
    <t>Lavender Aop</t>
  </si>
  <si>
    <t>45092 8th</t>
  </si>
  <si>
    <t>RFD AOP</t>
  </si>
  <si>
    <t>42965 16th</t>
  </si>
  <si>
    <t>C.M Heavy/J</t>
  </si>
  <si>
    <t>Bridal Blush Aop</t>
  </si>
  <si>
    <t>Ink Well Aop</t>
  </si>
  <si>
    <t>41178+1198</t>
  </si>
  <si>
    <t>08.06.26+22.06.26</t>
  </si>
  <si>
    <t>2148+4760+4774</t>
  </si>
  <si>
    <t>24.04.26+15.06.26+20.06.26</t>
  </si>
  <si>
    <t>23.06.26</t>
  </si>
  <si>
    <t>24.06.26</t>
  </si>
  <si>
    <t>25.06.26</t>
  </si>
  <si>
    <t>27.06.26</t>
  </si>
  <si>
    <t>29.06.26</t>
  </si>
  <si>
    <t>30.06.26</t>
  </si>
  <si>
    <t>220516+220701</t>
  </si>
  <si>
    <t>20.06.26+24.06.26</t>
  </si>
  <si>
    <t>w.or rec ok 25.05.26-1st pso sub ok 05.05.26--Aop PP fab in ok 10.05.26 1COM REC 22.05.26 --FAB STENTER AOP SEND--Rev 2nd pso sub 18.06.26--Bulk App rec ok 19.06.26--9.0 KG FAB SAMPLE USE-test roll in ok 25.06.26</t>
  </si>
  <si>
    <t>4046+4133+4747</t>
  </si>
  <si>
    <t>06.06.26+09.06.26+25.06.26</t>
  </si>
  <si>
    <t>3635+4747</t>
  </si>
  <si>
    <t>09.05.26+25.06.26</t>
  </si>
  <si>
    <t>Pale Mauve Aop--52 kg fab 25.06.26 send knit plus</t>
  </si>
  <si>
    <t>4119+4782</t>
  </si>
  <si>
    <t>w.or REC 20.06.26-App due sms kora knit plus B/4 SK -10.0 -7.1 1.0 % GSM-195/192/196-Bulk App rec ok 23.06.26--172 kg grey fab ret nfl 25.06.26 ch-41458-25.06.26 fab knit plus send</t>
  </si>
  <si>
    <t>w.or REC 20.06.26- B/4 SK -10.0 -7.1 1.0 % GSM-195/192/196-Bulk App rec ok 23.06.26--330 kg grey fab ret nfl 25.06.26 ch-41458-25.06.26 fab knit plus send</t>
  </si>
  <si>
    <t>4747+4779</t>
  </si>
  <si>
    <t>25.06.26+25.06</t>
  </si>
  <si>
    <t>4017+4787</t>
  </si>
  <si>
    <t>20.05.26+27.06.26</t>
  </si>
  <si>
    <t>Full Blooming Pink Aop</t>
  </si>
  <si>
    <t>w.or rec ok 05.05.26-1st pso sub ok 15.04.26 PP app rec 18.04.26 with coments--rev 2nd pso sub 22.04-pp App rec 22.04.26-Bulk App due--Stenter Aop send--2nd com rec 12.06.26 need 10.0 kg print kore Bulk app nite hobe--5.0 kg fab sample purpose use-19.06.26--Rev Pso sub ok 19.06.26-5 KG FAB KNIT PLUS RETURN DUE TO SK HIGH CH-4769 20.06.26--13.0 kg fab in ok 24.06.26 sample use purpose.--Bulk App rec 27.06.26 with com</t>
  </si>
  <si>
    <t>W.OR rec 11.06.26-Stenter Aop send-Bulk App rec ok 12.05.26--65 kg test roll in ok 27.06.26</t>
  </si>
  <si>
    <t xml:space="preserve">w.or rec ok 15.06.26-1st pso sub ok 25.05.26 Knit plus-1ST COM REC 05.06.26 REV 2ND PSO SUB -10.06.26-Bulk App rec ok 16.06.26--5.0 kg need size set use </t>
  </si>
  <si>
    <t>1240+1321+1325+1564</t>
  </si>
  <si>
    <t>11.06.26+13.06.26+14.06.26+27.06.26</t>
  </si>
  <si>
    <t>4149+54</t>
  </si>
  <si>
    <t>13.06.26+27.06.26</t>
  </si>
  <si>
    <t>w.or rec ok 27.06.26-1st pso sub ok 16.06.26 app rec- 25.06-Bulk App rec ok 26.06.26</t>
  </si>
  <si>
    <t>w.or rec ok 27.06.26--1st pso sub ok 16.06.26 app rec- 25.06-Bulk App rec ok 26.06.26</t>
  </si>
  <si>
    <t>w.or rec ok 27.06.26- B/4 SK -8.5 -3.5 1.0 % GSM-218-1ST PSO SUB OK 17.06.26 dye fab +brush ok - 10.06 app rec- 25.06-Bulk App rec ok 26.06.26</t>
  </si>
  <si>
    <t>w.or rec 19.06.26 Bulk App rec 20.06.26-B/4 SK +0.6 -6.9 1.0 -0.6 -5.1 1.0</t>
  </si>
  <si>
    <t>w.or rec ok 15.06.26-1st pso sub ok 25.05.26 Knit plus-1ST COM REC 05.06.26 REV 2ND PSO SUB -10.06.26-Bulk App rec ok 16.06.26-B/4 SK -7.1 -4.3 1.0</t>
  </si>
  <si>
    <t>w.or rec ok 15.06.26-1st pso sub ok-13.06.26--Bulk App rec ok 23.06.26-B/4 SK -6.6 -4.3 1.0 B/4 GSM-224,218,230,227</t>
  </si>
  <si>
    <t>W.OR REC OK 11.06.26-1st pso sub ok-13.06.26--Bulk App rec ok 23.06.26-B/4 SK -6.6 -4.3 1.0 B/4 GSM-224,218,230,227</t>
  </si>
  <si>
    <t>w.or rec ok 11.05.26-BULK APP REC OK 24.06.26-B/4 SK -2.9 -10.4 1.0 B/4 GSM-205,194,197,208</t>
  </si>
  <si>
    <t>w.or rec ok 06.05.26--1st pso sub ok 07.05.26-BULK APP REC OK-12.05.26 test roll in-35 kg 1184-09.06-B/4 SK -8.6 -2.9 1.0 % GSM-176/183--KOT-107211 -8.6 -5.7 1.0</t>
  </si>
  <si>
    <t>w.or rec ok 15.06.26-1st pso sub ok-09.12.25-SMS App rec ok-15.12.25--PP Fab in ok 22.12.25-BULK APP REC OK-20.06.26-B/4 SK- NAI B/4 GSM-206</t>
  </si>
  <si>
    <t>W.OR rec ok 11.06.26-Stenter fab send 06.06.26-ch-4046-//1st pso sub ok 09.05.26--1st com rec 12.05.26 over lap com others ok--Aop PP in ok 12.05.26 ch-1159 Qty-4.0 kg-Bulk App rec ok 12.05.26-With comments colour bleade---Stenter fab send--5.0 kg fab sample use hobe-B/4 SK-5.7 -5.7 2.0 LOT-106997 84.0 KG</t>
  </si>
  <si>
    <t>w.or rec 20.05.26-B/4 SK LOT-106479 -4.3 -4.3 1.0% 1108.0 KG-1st pso sub ok 04.05.26-1st com rec 15.05.26 Rev 2nd pso sub 22.05.26 knit plus--Bulk App rec ok 05.06.26 with comments Dot need round-Knit plus App-REV W.OR REC 06.06.26 BUT QTY ADD--1ST BULK SHADE SUB 09.06.26 UNIFILL---5.5 kg sample purpose use--528 KG GREY FAB RETURN NFL DUE TO B/4 GSM low CH-41315 17.06.26--508 kg fab send 19.06.26--LOT-106563 B/4 SK -8.0 +1.4 1.0 GSM-193,200,193,186,192</t>
  </si>
  <si>
    <t>w.or rec ok 15.06.26--1st pso sub ok-14.11.25--PP App Rec ok-21.11.25-PP Fab in ok 01.12.25-BULK APP REC OK 20.06.26-B/4 SK-8.3 -5.7 1.0 LOT-106975/76/77/74 B/4 GSM-184,182,183</t>
  </si>
  <si>
    <t>w.or rec ok 15.06.26-Bulk App rec ok 23.06.26-B/4 SK-8.3 -5.7 1.0 LOT-106975/76/77/74 B/4 GSM-184,182,183</t>
  </si>
  <si>
    <t>w.or rec ok 15.06.26--Bulk App rec ok 23.06.26-B/4 SK-8.3 -5.7 1.0 LOT-106975/76/77/74 B/4 GSM-184,182,183</t>
  </si>
  <si>
    <t>W.OR REC OK 11.06.26-SMS Fab in ok 08.12.25-BULK APP REC OK 20.06.26-B/4 SK-8.6 -7.4 1.0 LOT-106986/83/84/85 B/4 GSM-201,190,196</t>
  </si>
  <si>
    <t>w.or rec ok 15.06.26--1st pso sub ok-14.11.25-1st com rec-21.11.25-SMS App rec-25.11.25-SAMPLE Fab in ok 01.12.25-Bulk App rec ok 23.06.26-B/4 SK-4.3 -4.3 2.0</t>
  </si>
  <si>
    <t>w.or rec ok 15.06.26-BULK APP REC OK-20.06.26-B/4 SK-4.3 -3.6 2.0 B/4 GSM-175,180</t>
  </si>
  <si>
    <t>w.or rec ok 15.06.26-NEED PSO-BULK APP REC OK 20.06.26-B/4 SK-5.7 -1.4 1.0</t>
  </si>
  <si>
    <t>W.OR REC OK 11.06.26--1ST PSO SUB OK 10.06.26-BULK APP REC OK 20.06.26-B/4 SK-5.7 -1.4 1.0 GSM-178,190</t>
  </si>
  <si>
    <t>W.OR REC OK 11.06.26--1ST PSO SUB OK 10.06.26-BULK APP REC OK 20.06.26-B/4 SK-5.7 -1.4 1.0 B/4 GSM-187,180</t>
  </si>
  <si>
    <t>W.OR REC OK 11.06.26--1st pso sub ok 25.05.26-BULK App rec ok 05.06.26-B/4 SK-6.9 -2.9 3.0</t>
  </si>
  <si>
    <t>W.OR REC OK 11.06.26- DUE-1st pso sub ok 25.05.26-BULK App rec ok 05.06.26-B/4 SK-6.9 -2.9 3.0</t>
  </si>
  <si>
    <t>W.OR REC OK 11.06.26-1st pso sub ok 25.05.26-BULK App rec ok 05.06.26-B/4 SK-6.9 -2.9 3.0</t>
  </si>
  <si>
    <t>w.or rec ok 15.06.26---1st pso sub ok-09.12.25-SMS App rec ok-15.12.25--PP Fab in ok 22.12.25-B/4 SK-5.7 -1.4 1.0 B/4 GSM-173,180,174,184-BULK APP REC 20.06.26</t>
  </si>
  <si>
    <t>w.or rec ok 15.06.26--1st pso sub ok-09.12.25-SMS App rec ok-15.12.25--PP Fab in ok 22.12.25-B/4 SK-5.7 -1.4 1.0 B4 GSM-189,179,182,176-BULK APP REC 20.06.26</t>
  </si>
  <si>
    <t>w.or rec ok 15.06.26---1st pso sub ok-09.12.25-SMS App rec ok-15.12.25--PP Fab in ok 22.12.25-B/4 SK-5.7 -1.4 1.0 B/4 GSM-DAW A NAI-BULK APP REC 20.06.26</t>
  </si>
  <si>
    <t>w.or rec ok 15.06.26---1st pso sub ok-09.12.25-SMS App rec ok-15.12.25--PP Fab in ok 22.12.25-BULK APP REC 20.06.26</t>
  </si>
  <si>
    <t>3695+4775+4789</t>
  </si>
  <si>
    <t>16.05.26+20.06.26+27.06.26</t>
  </si>
  <si>
    <t>41405+41450+41470+41508</t>
  </si>
  <si>
    <t>22.06.26+25.06.26+28.06.26</t>
  </si>
  <si>
    <t>41450+41508</t>
  </si>
  <si>
    <t>24.06.26+28.06.26</t>
  </si>
  <si>
    <t>41278+41415+41508</t>
  </si>
  <si>
    <t>15.06.26+22.06.26+28.06.26</t>
  </si>
  <si>
    <t>w.or rec ok-27.03.26-New Des Need Rev 1st pso sub ok 25.05.26(Cotton Fleece)---Need new pso sub ok 25.05.26 New artwork--B/4 SK -9.4 -7.4 1.0 %-GSM-230,229,238 Bulk app rec- 10.06 boro print--32.0 KG SHORT QTY SEND 20.06.26--32 KG SHORT QTY IN OK 22.06.26--41.0 KG SHORT QTY SEND 27.06.26--42 kg short Qty in ok 28.06.26</t>
  </si>
  <si>
    <t>w.or rec ok 18.06.26-1st pso sub ok 12.04.26-B/4 SK -7.4 4.3 1.0-BULK APP REC OK 29.06.26</t>
  </si>
  <si>
    <t>w.or rec ok 18.06.26-1st pso sub ok 12.04.26-B/4 SK -7.4 -4.3 1.0-BULK APP REC OK 29.06.26</t>
  </si>
  <si>
    <t>w.or rec ok 18.06.26-1st pso sub ok 12.04.26-BULK APP REC OK 29.06.26</t>
  </si>
  <si>
    <t>27.06.26+29.06.26</t>
  </si>
  <si>
    <t>2878+2887+4102+4794</t>
  </si>
  <si>
    <t>30.04.26+02.05.26+21.05.26+29.06.26</t>
  </si>
  <si>
    <t>2887+2896+3654+3659+1244+4794</t>
  </si>
  <si>
    <t>02.05.26+04.05.26+05.05.26+06.05.26+15.06.26+29.06.26</t>
  </si>
  <si>
    <t>w.or rec ok 25.05.261st pso sub ok 05.05.26-PP Aop Fab in ok 06.05.26-BULK APP REC 22.05.26--STENTER AOP SEND--59 KG TEST ROLL IN OK 23.06.26-4.0 KG FAB 29.06.26 SEND</t>
  </si>
  <si>
    <t>41278+41519</t>
  </si>
  <si>
    <t>15.06.26+29.06.26</t>
  </si>
  <si>
    <t>w.or rec ok-27.03.26--Bulk App rec ok 09.05.26 (Old Des Ctn Fleece)-B/4 SK -7.1 -2.9 1.0% GSM-224,225--13.0 kg short Qty send 27.06.26--SHORT QTY-13.0 KG IN OK 29.06.26</t>
  </si>
  <si>
    <t>1564+1604</t>
  </si>
  <si>
    <t>W.OR REC OK 11.06.26-SMS Fab in ok 08.12.25-BULK APP REC OK 20.06.26-B/4 SK-8.6 -7.4 1.0 LOT-106986/83/84/85 B/4 GSM-201,190,196--5.0 KG FAB SAMPLE PURPOSE USE-13261551</t>
  </si>
  <si>
    <t>w.or rec ok 15.06.26-1st pso sub ok 25.05.26 Knit plus-1ST COM REC 05.06.26 REV 2ND PSO SUB -10.06.26-Bulk App rec ok 16.06.26-B/4 SK -7.1 -4.3 1.0--7.0 KG FAB USE FROM 47550 JOB HOTE</t>
  </si>
  <si>
    <t>w.or rec ok 27.06.26--1st pso sub ok 16.06.26-B/4 SK-7.1 -6.3 3.0--REV 2ND PSO SUB OK 30.06.26</t>
  </si>
  <si>
    <t>46615 7th</t>
  </si>
  <si>
    <t>w.or rec ok 15.06.26--Bulk App rec ok 10.06.26-B/4 SK -4.3 +2.9 1.0 % B/4 GSM HIGH-291/288/290/292--29.06.26 CH-4795 QTY-18.0 KG SHORT QTY SEND UNIFILL SAMPLE STYLE A SEND-13258652//19.0 KG SHORT QTY IN 30.06.26</t>
  </si>
  <si>
    <t>4768+4795</t>
  </si>
  <si>
    <t>19.06.26+29.06</t>
  </si>
  <si>
    <t>41446+41485+41519+41530</t>
  </si>
  <si>
    <t>24.06.26+27.06.26+29.06.26+30.06.26</t>
  </si>
  <si>
    <t>1604+1571</t>
  </si>
  <si>
    <t>29.06.26+30.06.26</t>
  </si>
  <si>
    <t>1184+1320+1240+1321+1571</t>
  </si>
  <si>
    <t>09.06.26+10.06.26+11.06.26+13.06.26+30.06.26</t>
  </si>
  <si>
    <t>W.OR REC OK 11.06.26-1st pso sub ok-13.06.26-BULK APP REC OK-20.06.26--B/4 SK -2.9 -2.9 1.0</t>
  </si>
  <si>
    <t>w.or rec ok 27.06.26--1st Pso sub ok 19.06.26-Bulk App rec ok 26.06.26--B/4 SK -8.6 -8.6 2.0</t>
  </si>
  <si>
    <t>W.or REC OK 28.06.26-BULK APP REC OK 30.06.26-B/4 SK -5.7 -1.4 1.0</t>
  </si>
  <si>
    <t>w.or rec ok 27.06.26--1st pso sub ok 15.06.26--BULK HOTE-NEW SAMPLE-FAB SEND DBTEX 7.0 KG 20.06.26 CH-4773-1st com rec 26.06.26-Aop New sample in ok Bulk hote- 27.06.26 ch-221031 Qty-5.0 kg Dbtex--Dbtex 1st pso sub 28.06.26--B/4 SK -4.3 -5.7 1.5--BULK APP REC OK 01.07.26</t>
  </si>
  <si>
    <t>w.or rec ok 27.06.26-B/4 SK -7.1 -7.1 1.5 % GSM-237/230/235/242 B-4 TEST PROBLEM-1ST PSO SUB OK 17.06.26---1st com rec 26.06.26-DBTEX HOTE 4.0 SAMPLE FAB IN 28.06.26 CH-221080-REV 1ST PSO SUB OK 29.06.26 DBTEX--BULK APP REC OK 01.07.26</t>
  </si>
  <si>
    <t>w.or rec ok 27.06.26--1st pso sub ok 15.06.26-1st com rec 26.06.26-Aop New sample in ok Bulk hote- 27.06.26 ch-221031 Qty-5.0 kg Dbtex-Dbtex 1st pso sub 28.06.26--B/4 SK -4.3 -5.7 1.5--BULK APP REC OK 01.07.26</t>
  </si>
  <si>
    <t>01.07.26</t>
  </si>
  <si>
    <t>29.06.26+01.07.26</t>
  </si>
  <si>
    <t>1604+1607</t>
  </si>
  <si>
    <t>1233+1320+1240+1607</t>
  </si>
  <si>
    <t>23.05.26+10.06.26+11.06.26+01.07.26</t>
  </si>
  <si>
    <t xml:space="preserve"> w.or rec ok 06.05.26-stenter fin send-1st pso sub ok 15.04.26-1st com rec 06.05.26 Need rev pso swatch follow or coverage hobe-Rev 2nd pso sub ok 18.05.26--10 kg fab in 22.05 4kg fabric sample use purpose hand over Mer/Ifrat key…22.05.26Stenter Aop send-Bulk App rec ok 05.06.26--52 KG TEST ROLL IN OK 11.06.26---56.0 kg grey fabric ret NFl ch-1565 Date-27.06.26--120 KG ADDITIONAL QTY SEND 29.06.26 CH-4794--SHORT QTY 115 KG IN OK 01.07.26</t>
  </si>
  <si>
    <t>1233+1321+1325+1607</t>
  </si>
  <si>
    <t>23.05.26+13.06.26+14.06.26+01.07.26</t>
  </si>
  <si>
    <t xml:space="preserve"> w.or rec ok 06.05.26-stenter fin send-1st pso sub ok 15.04.26 -1st com rec 06.05.26 Need rev pso swatch follow or coverage hobe-Rev 2nd pso sub ok 18.05.26--17 kg fab in 22.05 5kg fabric sample use purpose hand over Mer/Ifrat key…22.05.26-Bulk App rec ok 05.06.26--56 kg test roll in ok 14.06.26--48 kg grey fabric ret nfl ch-1244 15.06.26-371 KG ADDITIONAL QTY SEND 29.06.26 CH-4794--360 KG SHORT QTY IN OK 01.07.26</t>
  </si>
  <si>
    <t>02.07.26</t>
  </si>
  <si>
    <t>w.or rec ok 27.06.26--1ST PSO SUB OK 17.06.26--1st com rec 26.06.26-REV 1ST PSO SUB OK 29.06.26 DBTEX--BULK APP REC OK 01.07.26-B/4 SK -7.1 -7.1 4.0 B/4 AOP COL FASTNESS ALL TEST OK HABIB VI</t>
  </si>
  <si>
    <t>w.or rec ok 11.05.26-BULK APP REC OK 24.06.26 B/4 SK 1ST TIME -5.4 -14.6 2.0 GSM-201/201/194 2ND TIME SK -1.4 -1.4 1.0 GSM-217,207,202</t>
  </si>
  <si>
    <t>w.or rec ok 18.06.26-1st pso sub ok 12.04.26-1st com rec-18.05.26-Rev 2nd pso sub ok 24.05.26-2nd com rec 10.06.26-Rev 2nd pso sub ok 17.06.26-B/4 SK -6.6 -5.7 1.0-BULK APP REC OK 02.07.26</t>
  </si>
  <si>
    <t>w.or rec ok 18.06.26-1st pso sub ok 17.03.26-1st com rec-18.05.26-Rev 2nd pso sub ok 24.05.26-2nd com rec 10.06.26-Rev 2nd pso sub ok 17.06.26-B/4 SK -7.1 -4.3 1.0-BULK APP REC OK 02.07.26</t>
  </si>
  <si>
    <t>w.or rec ok 18.06.26-1st pso sub ok 16.03.26-1st com rec-18.05.26-Rev 2nd pso sub ok 24.05.26-2nd com rec 10.06.26-Rev 2nd pso sub ok 17.06.26--B/4 SK -8.0 -2.9 1.0  B/4 GSM-219,230,229,218-BULK APP REC OK 02.07.26</t>
  </si>
  <si>
    <t>w.or rec ok 18.06.26-1st pso sub ok 16.03.26-1st com rec-18.05.26-Rev 2nd pso sub ok 24.05.26-2nd com rec 10.06.26-Rev 2nd pso sub ok 17.06.26-BULK APP REC OK 02.07.26</t>
  </si>
  <si>
    <t>1311+1184+1575</t>
  </si>
  <si>
    <t>06.06.26+09.06.26+02.07.26</t>
  </si>
  <si>
    <t>1341+1248+1575</t>
  </si>
  <si>
    <t>18.06.26+20.06.26+02.07.26</t>
  </si>
  <si>
    <t>w.or rec ok 05.05.26-1st pso sub ok 15.04.26 PP App rec ok-18.04.26-For Stenter Aop fab send-Bulk App rec ok 12.06.26--6.0 kg fab sample purpose use-19.06.26--5 KG FAB KNIT PLUS RETURN DUE TO SK HIGH CH-4769 20.06.26--10.0 KG FAB FROM SAMPLE USE BY MER/22.06.26--602+485=1087 KG FIN FAB RET KNIT PLUS DUE TO SK PROBLEM CH-64 DATE-30.06.26---1077.0 KG RE PROCESS FAB IN OK 02.07.26</t>
  </si>
  <si>
    <t>03.07.26</t>
  </si>
  <si>
    <t xml:space="preserve">w.or rec ok 18.06.26-1st pso sub ok 12.04.26-B/4 SK-6.6 -4.3 10.0-BULK APP REC OK 29.06.26 POK- </t>
  </si>
  <si>
    <t>Design</t>
  </si>
  <si>
    <t>4762+4733+77</t>
  </si>
  <si>
    <t>4762+77</t>
  </si>
  <si>
    <t>17.06.26+25.06.26+03.07.26</t>
  </si>
  <si>
    <t>17.06.26+03.07.26</t>
  </si>
  <si>
    <t>4760+77</t>
  </si>
  <si>
    <t>15.06.26+03.07.26</t>
  </si>
  <si>
    <t>4793+60+103</t>
  </si>
  <si>
    <t>27.06.26+29.06.26+04.07.26</t>
  </si>
  <si>
    <t>4768+81</t>
  </si>
  <si>
    <t>19.06.26+04.07.26</t>
  </si>
  <si>
    <t>1555+1575+1578</t>
  </si>
  <si>
    <t>24.06.26+02.07.26+04.07.26</t>
  </si>
  <si>
    <t>05.07.26</t>
  </si>
  <si>
    <t>1341+1347+1564+1614</t>
  </si>
  <si>
    <t>18.06.26+25.06.26+27.06.26+05.07.26</t>
  </si>
  <si>
    <t>06.07.26</t>
  </si>
  <si>
    <t>41405+41622</t>
  </si>
  <si>
    <t>22.06.26+06.07.26</t>
  </si>
  <si>
    <t>w.or rec ok 05.05.26-1st  pso sub ok 08.05.26-Bulk App rec ok 23.05.26 B/4 SK -8.6 -7.1 1.0% GSM-194/203/186/190 B/4 Shade ok by Dy-Manager sir confirm by Dulal vai--7.5 KG FAB SIZE SET PURPOSE USE CUTTING SALAM BHI 22.06.26- short qty 38.0 kg send 03.07.26//38 kg short qty in ok 06.07.26</t>
  </si>
  <si>
    <t>w.or rec ok 05.05.26-1st  pso sub ok 08.05.26-Bulk App rec ok 23.05.26-B/4 SK -8.6 -7.1 1.0% GSM-194/203/186/190 -short qty 18.0 kg send 03.07.26/18 kg short qty in ok 06.07.26</t>
  </si>
  <si>
    <t>41446+41622</t>
  </si>
  <si>
    <t>24.06.26+06.07.26</t>
  </si>
  <si>
    <t>w.or rec ok 15.06.26--Bulk App rec ok 10.06.26-B/4 SK-0.6 -1.4 1.0 short qty 33.0 kg send 03.07.26//33.0 kg short qty in ok 06.07.26</t>
  </si>
  <si>
    <t>41485+41622</t>
  </si>
  <si>
    <t>27.06.26+06.07.26</t>
  </si>
  <si>
    <t>w.or rec ok 15.06.26--Bulk App rec ok 10.06.26--24.06.26-ch-41446---331 KG GREY FAB RETURN nfl Due to softner out purpose--re process fab 25.06.26 send unifill--B/4 SK -2.9 -1.4 1.0- short qty 27.0 kg send 03.07.26//28.0 kg short qty in ok 06.07.26</t>
  </si>
  <si>
    <t>67+110</t>
  </si>
  <si>
    <t>02.07.26+06.07.26</t>
  </si>
  <si>
    <t>67"</t>
  </si>
  <si>
    <t>07.07.26</t>
  </si>
  <si>
    <t>W.OR REC OK 06.07.26-1ST PSO SUB OK 20.06.26-AOP FAB IN OK 21.06.26 CH-1197 QTY-18.0 KG-BULK APP REC OK-30.06.26-B/4 SK -5.7 -5.7 1.0 LOT-107340</t>
  </si>
  <si>
    <t>W.OR REC OK 06.07.26-1ST PSO SUB OK 20.06.26-AOP FAB IN OK 21.06.26 CH-1197 QTY-18.0 KG-BULK APP REC OK-30.06.26-B/4 SK -5.8 -4.3 2.0 LOT-107418---4.3 -5.7 5.7 LOT-107410</t>
  </si>
  <si>
    <t>W.OR REC OK 06.07.26-B/4 SK -6.6 -6.6 2.5 LOT-107113 B/4 GSM-204,200,198,196 LOT-107112 -6.6 -5.7 2.5-1ST PSO SUB OK 20.06.26-AOP SAMPLE FAB IN OK 21.06.26 CH-1197 QTY-14 KG-BULK APP REC OK 30.06.26</t>
  </si>
  <si>
    <t>W.OR REC OK 06.07.26-1ST PSO SUB OK 20.06.26-AOP FAB IN OK 21.06.26 CH-1197 QTY-18.0 KG-BULK APP REC OK-30.06.26--B/4 SK -4.3 -5.7 6.0 LOT-107337//-4.0 -6.3 3.5 LOT-107388</t>
  </si>
  <si>
    <t>w.or rec ok 10.06.26-Bulk App rec ok 15.06.26-B/4 SK -2.9 -4.3 1.0</t>
  </si>
  <si>
    <t>W.OR REC OK 06.07.26-B/4 SK-5.7 -8.6 2.0 LOT-107129-1ST PSO SUB OK 25.06.26--BULK APP REC OK 01.07.26-B/4 SK -5.7 -5.7 1.0 LOT-107171+72</t>
  </si>
  <si>
    <t>W.OR REC OK 06.07.26-1ST PSO SUB OK 25.06.26--BULK APP REC OK 01.07.26-B/4 SK -6.6 -5.7 1.0 LOT-107160-B/4 SK -5.7 -5.7 1.0 LOT-107171+72</t>
  </si>
  <si>
    <t>W.OR REC OK 06.07.26-1ST PSO SUB OK 20.06.26-AOP SAMPLE FAB IN OK 21.06.26 CH-1197 QTY-14 KG-BULK APP REC OK 30.06.26-B/4 SK -5.7 -3.4 1.0 LOT-107514/B/4 SK -5.7 -5.7 2.5 LOT-107515</t>
  </si>
  <si>
    <t>w.or rec ok 04.05.26-Bulk App rec ok 08.05.26--B/4 SK -8.6 -2.9 1.0 % GSM-224/225/227--B/4 SK -6.3 -4.3 1.0-284 KG FAB KNIT PLUS SEND 04.07.26--Knit plus Aop fab in ok 06.07.26</t>
  </si>
  <si>
    <t>W.OR REC OK 06.07.26-1ST PSO SUB OK 20.06.26-AOP SAMPLE FAB IN OK 21.06.26 CH-1197 QTY-14 KG-BULK APP REC OK 30.06.26-B/4 SK -4.3 -5.7 1.5 LOT-107469</t>
  </si>
  <si>
    <t xml:space="preserve"> W.OR REC OK 11.06.26--1ST PSO SUB OK 10.06.26-BULK APP REC OK 20.06.26-B/4 SK -5.7 -2.0 1.0</t>
  </si>
  <si>
    <t>W.OR REC OK 11.06.26-1st pso sub ok-13.06.26-BULK APP REC OK-20.06.26--B/4 SK -5.5 -1.6 1.0</t>
  </si>
  <si>
    <r>
      <t xml:space="preserve">W.OR Rec ok 23.06.26-1st pso sub ok 05.12.25-knit plus--pp App rec ok-08.12.25---Fab in ok 01.01.26--B/4 SK 70/72-72.5 GSM-280/260,258,248,242 SK -6.6 -5.7 1.5 %-BULK APP REC OK 28.06.26-B/4 SK -6.6 -5.7 1.5 </t>
    </r>
    <r>
      <rPr>
        <b/>
        <sz val="11"/>
        <color rgb="FF00B050"/>
        <rFont val="Calibri"/>
        <family val="2"/>
        <scheme val="minor"/>
      </rPr>
      <t>B/4 GSM/242,248,258,260</t>
    </r>
  </si>
  <si>
    <t>08.07.26</t>
  </si>
  <si>
    <t>w.or rec ok 10.06.26- B/4 SK -9.1 +1.4 1.0 % GSM-191/190/192-Fab send-14.06-1st pso sub ok 16.06.26-1ST COM REC 25.06.26-REV 2ND PSO SUB OK 30.06.26--Bulk App rec ok 08.07.26</t>
  </si>
  <si>
    <t>W.OR DUE B/4 SK -9.1 +1.4 1.0 % GSM-191/190/192-Fab send-14.06-1st pso sub ok 16.06.26-1ST COM REC 25.06.26-REV 2ND PSO SUB OK 30.06.26-Bulk App rec ok 08.07.26</t>
  </si>
  <si>
    <t>W.OR REC OK 11.06.26---SMS Fab in ok 08.12.25-1st com rec 22.05.26 comments follow or pp proceed-Rev 2nd pso sub ok 23.04.26-PP Hote-Bulk App rec ok 08.07.26</t>
  </si>
  <si>
    <t>Date-09.07.26</t>
  </si>
  <si>
    <t>4102+54+89</t>
  </si>
  <si>
    <t>21.05.26+27.06.26+08.07.26</t>
  </si>
  <si>
    <t>3699+89</t>
  </si>
  <si>
    <t>19.05.26+08.07.26</t>
  </si>
  <si>
    <t>110+121</t>
  </si>
  <si>
    <t>06.07.26+09.07.26</t>
  </si>
  <si>
    <t>4732+121</t>
  </si>
  <si>
    <t>23.06.26+09.07.26</t>
  </si>
  <si>
    <t>09.07.26</t>
  </si>
  <si>
    <t>117+121</t>
  </si>
  <si>
    <t>07.07.26+09.07.26</t>
  </si>
  <si>
    <t>68+121</t>
  </si>
  <si>
    <t>01.07.26+09.07.26</t>
  </si>
  <si>
    <t>1623+1624</t>
  </si>
  <si>
    <t>10.07.26</t>
  </si>
  <si>
    <t>68+67+112+92</t>
  </si>
  <si>
    <t>01.07.26+02.07.26+06.07.26+10.07.26</t>
  </si>
  <si>
    <t>4761+4716+4794+92</t>
  </si>
  <si>
    <t>15.06.26+17.06.26+29.06.26+10.07.26</t>
  </si>
  <si>
    <t>11.07.26</t>
  </si>
  <si>
    <t>2nd Slots (11.08.26 to 20.08.26)</t>
  </si>
  <si>
    <t>43317 18th</t>
  </si>
  <si>
    <t>44020 12th</t>
  </si>
  <si>
    <t>44023 12th</t>
  </si>
  <si>
    <t>46499 2nd</t>
  </si>
  <si>
    <t>Ballerina Aop</t>
  </si>
  <si>
    <t>Chocolate Plum Aop (Discharge Dye)</t>
  </si>
  <si>
    <t>43319 21th</t>
  </si>
  <si>
    <t>Mulled Basil Aop</t>
  </si>
  <si>
    <t>L/Terry (20% Rec-Ctn)</t>
  </si>
  <si>
    <t>Spellbound Aop</t>
  </si>
  <si>
    <t>Nosegay Aop</t>
  </si>
  <si>
    <t>Mole Aop</t>
  </si>
  <si>
    <t>Spellbound Aop (Discharge Dye)</t>
  </si>
  <si>
    <t>Tapestry Aop (Discharge Dye)</t>
  </si>
  <si>
    <t>Winter Twig Aop</t>
  </si>
  <si>
    <t>Fragrant Lilac Aop</t>
  </si>
  <si>
    <t>Med Grey Melange 30% Aop</t>
  </si>
  <si>
    <t>Stretch L/S/J</t>
  </si>
  <si>
    <t>4732+127</t>
  </si>
  <si>
    <t>23.06.26+11.07.26</t>
  </si>
  <si>
    <t>1590+1634</t>
  </si>
  <si>
    <t>07.07.26+12.07.26</t>
  </si>
  <si>
    <t>12.07.26</t>
  </si>
  <si>
    <t>1325+1634</t>
  </si>
  <si>
    <t>14.06.26+12.07.26</t>
  </si>
  <si>
    <t>Bulk App rec ok-24.04.26-w or rec 25.04.26--29.0 kg short Qty send 08.07.26--25.0 kg short qty in ok 12.07.26</t>
  </si>
  <si>
    <t>4794+68+121+92+131</t>
  </si>
  <si>
    <t>29.06.26+01.07.26+09.07.26+10.07.26+11.07.26</t>
  </si>
  <si>
    <t>11.07.236</t>
  </si>
  <si>
    <t>13.07.26</t>
  </si>
  <si>
    <t>69+84+130</t>
  </si>
  <si>
    <t>02.07.26+09.07.26+11.07.26</t>
  </si>
  <si>
    <t>w.or rec ok 27.06.26--1st pso sub ok 16.06.26-1st com rec 26.06.26-REV 2ND PSO SUB 01.07.26-6.0 kg grey fab ret nfl ch-7010 07.07.26-Bulk App rec ok 08.07.26 2nd sub op--Style-13260636  A 21.0 kg fab knit plus send 11.07.26 ch-127-21.0 kg grey fab ret NFL ch-1630 11.07.26 Style-13260636--Ata direct dbtex return kore kobir vai 11.07.26--11.07.26 21 kg fab dbtex send</t>
  </si>
  <si>
    <t>4761+4711+4716+100</t>
  </si>
  <si>
    <t>15.06.26+17.06.26+17.06.26+13.07.26</t>
  </si>
  <si>
    <t>1578+1590+1634+1600</t>
  </si>
  <si>
    <t>04.07.26+07.07.26+12.07.26+13.07.26</t>
  </si>
  <si>
    <t>221732+222015+1600</t>
  </si>
  <si>
    <t>07.07.26+13.07.26+13.07.26</t>
  </si>
  <si>
    <t xml:space="preserve">w.or rec ok 27.06.26--1ST PSO SUB OK 17.06.26---Bulk App rec ok with com 27.06.26--REV 2ND PSO SUB 01.07.26--BULK APP REC OK 01.07.26---11.0 kg short Qty knit plus send 11.07.26 ch-127 style-13260636--9.0 kg fab in ok 13.07.26 ch-1600 knit plus </t>
  </si>
  <si>
    <t>14.07.26</t>
  </si>
  <si>
    <t>1564+1587+1600+1705</t>
  </si>
  <si>
    <t>27.06.26+06.07.26+13.07.26+14.07.26</t>
  </si>
  <si>
    <t>1558+1564+1604+1614+1586+1705</t>
  </si>
  <si>
    <t>25.06.26+27.06.26+29.06.26+05.07.26+06.07.26+14.07.26</t>
  </si>
  <si>
    <t>18.06.26+21.06.26+23.06.26///02.07.26+04.07.26+14.07.26</t>
  </si>
  <si>
    <t>Summary</t>
  </si>
  <si>
    <t>Qty Kg</t>
  </si>
  <si>
    <t>Factory</t>
  </si>
  <si>
    <t>DB Tex</t>
  </si>
  <si>
    <t>w.or rec ok 18.06.26-1st pso sub ok 16.03.26-1st com rec-18.05.26-Rev 2nd pso sub ok 24.05.26-2nd com rec 10.06.26-Rev 2nd pso sub ok 17.06.26--B/4 SK -8.0 -2.9 1.0  B/4 GSM-219,230,229,218-BULK APP REC OK 02.07.26--3.0 kg fab use from job-47594</t>
  </si>
  <si>
    <t>w.or rec ok 18.06.26-1st pso sub ok 16.03.26-1st com rec-18.05.26-Rev 2nd pso sub ok 24.05.26-2nd com rec 10.06.26-Rev 2nd pso sub ok 17.06.26--B/4 SK -8.0 -2.9 1.0  B/4 GSM-219,230,229,218-BULK APP REC OK 02.07.26-3.0 kg fab use from job-47593</t>
  </si>
  <si>
    <t>15.07.26</t>
  </si>
  <si>
    <t>w.or rec ok 15.06.26--1ST PSO SUB OK-24.06.26-B/4 SK-8.6 -7.4 1.0 LOT-106986/83/84/85 B/4 GSM-201,190,196-BULK APP REC OK 02.07.26--Remake fab 130.0 kg send-15.07.26 ch-806</t>
  </si>
  <si>
    <t>4711+806</t>
  </si>
  <si>
    <t>17.06.26+15.07.26</t>
  </si>
  <si>
    <t>99+809</t>
  </si>
  <si>
    <t>11.07.26+15.07.26</t>
  </si>
  <si>
    <t>Aop Fabric Plan &amp; Execution Report (Bulk) -July-2026</t>
  </si>
  <si>
    <t>1st Slot (01.07.26 to 10.07.26)</t>
  </si>
  <si>
    <t>Update</t>
  </si>
  <si>
    <t>Req. Qty-Kg</t>
  </si>
  <si>
    <t>Dyeing Bal. Qty-Kg</t>
  </si>
  <si>
    <t>Aop Send Qty.-Kg</t>
  </si>
  <si>
    <t>Send Balance Qty.-Kg</t>
  </si>
  <si>
    <t>In-house Qty-Kg</t>
  </si>
  <si>
    <t>Balance Qty-Kg</t>
  </si>
  <si>
    <t>Process Loss %</t>
  </si>
  <si>
    <t>Remarks</t>
  </si>
  <si>
    <t>2nd Slot (11.07.26 to 20.07.26)</t>
  </si>
  <si>
    <t>3rd Slot (21.07.26 to 30.07.26)</t>
  </si>
  <si>
    <t>Qty-Kg</t>
  </si>
  <si>
    <t>16.07.26</t>
  </si>
  <si>
    <t>94+99+100+141+147</t>
  </si>
  <si>
    <t>10.07.26+11.07.26+13.07.26+15.07.26+16.07.26</t>
  </si>
  <si>
    <t>1197+1200+1576+1656</t>
  </si>
  <si>
    <t>21.06.26+23.06.26+02.07.26+16.07.26</t>
  </si>
  <si>
    <t>1335+1200+1347+1656</t>
  </si>
  <si>
    <t>17.06.26+23.06.26+25.06.26+16.07.26</t>
  </si>
  <si>
    <t>17.07.26</t>
  </si>
  <si>
    <t>18.07.26</t>
  </si>
  <si>
    <t>19.07.26</t>
  </si>
  <si>
    <t>20.07.26</t>
  </si>
  <si>
    <t>Coffee Quartz Aop (Discharge Dye)</t>
  </si>
  <si>
    <t>Needle Drop L/Rib</t>
  </si>
  <si>
    <t>Top Ctn, 60/40 CVC Terry</t>
  </si>
  <si>
    <t>Grey Melange 1% Aop</t>
  </si>
  <si>
    <t>Raindrops Aop</t>
  </si>
  <si>
    <t>Gray Morn Aop</t>
  </si>
  <si>
    <t>Orchid Bloom Aop</t>
  </si>
  <si>
    <t>Abid</t>
  </si>
  <si>
    <t>w.or rec ok 09.06.26-Mer/Ab.Basir-Rev New des pso sub -11.06.26--STENTER AOP SEND-Rev New 1ST pso sub ok 06.07.26-Rev 2nd pso sub ok-20.07.26-Bulk App rec ok-20.07.26</t>
  </si>
  <si>
    <t>w.or rec ok 09.06.26--Rev New des pso sub -11.06.26-REV NEW 1ST PSO SUB OK 06.07.26-Rev 2nd pso sub ok-20.07.26-Bulk App rec ok-20.07.26</t>
  </si>
  <si>
    <t>w.or rec ok 09.06.26-1ST PSO SUB OK 20.05.261st com rec 05.06.26-Rev New des pso sub -11.06.26-45 KG FAB STENTER AOP SEND-Rev New pso sub ok 06.07.26-REV NEW 1ST PSO SUB OK 06.07.26-Rev 2nd pso sub ok-20.07.26-Bulk App rec ok-20.07.26</t>
  </si>
  <si>
    <t>w.or rec ok 09.06.26-1ST PSO SUB OK 20.05.261st com rec 05.06.26-Rev New des pso sub -11.06.26--STENTER AOP FAB SEND-Rev New pso sub ok 06.07.26-Rev New des 17.0 kg aop fab in ok 06.07.26-REV NEW 1ST PSO SUB OK 06.07.26-Rev 2nd pso sub ok-20.07.26-Bulk App rec ok-20.07.26</t>
  </si>
  <si>
    <t>1624+1656+1670</t>
  </si>
  <si>
    <t>09.07.26+16.07.26+20.07.26</t>
  </si>
  <si>
    <t>W.OR REC OK-29.06.26-1ST PSO SUB OK 09.06.26-KNIT PLUS-BULK APP REC OK 28.06.26 B/4 SK -9.4 -4.3 1.0 LOT-26-7216/-9.4 -5.7 6.2 LOT-26-7073//-8.3 -6.6 7.5 LOT-LOT-26-7251--Hand feel issue 1062.0 kg fin fab knit plus send due to reprocess ch-811 18.07.26--Buyeing house shade ok-20.07.26--R/P fab in ok 20.07.26-1046 kg</t>
  </si>
  <si>
    <t>21.07.26</t>
  </si>
  <si>
    <t>22.07.26</t>
  </si>
  <si>
    <t>822+828</t>
  </si>
  <si>
    <t>20.07.26+21.07.26</t>
  </si>
  <si>
    <t>807+381</t>
  </si>
  <si>
    <t>17.07.26+21.07.26</t>
  </si>
  <si>
    <t xml:space="preserve">j cxvc </t>
  </si>
  <si>
    <t>1665+1670+1677</t>
  </si>
  <si>
    <t>19.07.26+20.07.26+22.07.26</t>
  </si>
  <si>
    <t>4737+961</t>
  </si>
  <si>
    <t>23.06.26+22.07.26</t>
  </si>
  <si>
    <t>w.or rec 20.04.26--Bulk App rec ok 11.05.26-B/4 sk -2.9 -5.1 1.0% GSM-187,188--14 kg fab send 15.06.26-13.0 KG WRONG FAB RET NFL CH-41315 17.06.26---14.0 KG GREY FAB RET IN NFL CH-41382 20.06.26-14.0 KG SHORT FAB IN 22.06 KNIT PLUS HOTE--14.0 KG FAB KNIT PLUS SEND 20.06.26 before aop gsm low</t>
  </si>
  <si>
    <t>1st Slot (01.08.26 to 10.08.26)</t>
  </si>
  <si>
    <t>3rd Slot (21.08.26 to 31.08.26)</t>
  </si>
  <si>
    <t>Aop Fabric Plan &amp; Execution Report (Bulk) -August-2026</t>
  </si>
  <si>
    <t>23.07.26</t>
  </si>
  <si>
    <t>1337+1679</t>
  </si>
  <si>
    <t>17.06.26+23.07.26</t>
  </si>
  <si>
    <t>24.07.26</t>
  </si>
  <si>
    <t>w.or rec ok 27.06.26--1st pso sub ok 16.06.26-Bulk App rec ok with com 27.06.26---15.0 kg sample style a send 21.07.26--13.0 kg fab in ok 24.07.26</t>
  </si>
  <si>
    <t>222700+701</t>
  </si>
  <si>
    <t>W.OR REC OK-29.06.26--1ST PSO SUB OK-24.06.26--B/4 SK -5.7 -5.7 5.0-Rev2nd pso sub 09.07.26 ist pso sub tcx 2nd time give= palse ment swatch-Bulk App rec ok 24.07.26</t>
  </si>
  <si>
    <t>25.07.26</t>
  </si>
  <si>
    <t>1721+1724</t>
  </si>
  <si>
    <t>1673+1724</t>
  </si>
  <si>
    <t>21.07.26+25.07.26</t>
  </si>
  <si>
    <t>1677+1724</t>
  </si>
  <si>
    <t>22.07.26+25.07.26</t>
  </si>
  <si>
    <t>4747+4779+967</t>
  </si>
  <si>
    <t>25.06.26+25.06.26+25.07.26</t>
  </si>
  <si>
    <t>64+967</t>
  </si>
  <si>
    <t>30.06.26+25.07.26</t>
  </si>
  <si>
    <t>4116+844</t>
  </si>
  <si>
    <t>25.05.26+25.07.26</t>
  </si>
  <si>
    <t>W.OR REC OK 06.07.26--1st pso sub ok 22.05.26/BULK APP REC OK-20.06.26--Stenter Aop fab send</t>
  </si>
  <si>
    <t>26.07.26</t>
  </si>
  <si>
    <t>1724+1753</t>
  </si>
  <si>
    <t>25.07.26+26.07.26</t>
  </si>
  <si>
    <t>1705+1753</t>
  </si>
  <si>
    <t>14.07.26+26.07.26</t>
  </si>
  <si>
    <t>w.or rec ok 15.06.26-NEED PSO-B/4 SK-8.6 -7.1 2.0 GSM-167,170,166-1ST PSO SUB OK 30.06.26/RUB+DIS 2 OP SUB-Bulk App rec ok 08.07.26--22.0 kg short qty send style-13262050 send 22.07.26 ch-961--30.0 kg short qty in 26.07.26 from sample style.</t>
  </si>
  <si>
    <t>1670+1753</t>
  </si>
  <si>
    <t>20.07.26+26.07.26</t>
  </si>
  <si>
    <t>w.or rec ok 15.06.26-NEED PSO-B/4 SK-2.9 -6.0 4.0-B/4 GSM-185,184-1ST PSO SUB OK 30.06.26---Unifill 1st pso sub ok 17.07.26 App rec ok 17.07.26---22.0 kg short qty send 25.07.26--21.0 kg short qty in ok 26.07.26</t>
  </si>
  <si>
    <t>221731+222870</t>
  </si>
  <si>
    <t>07.07.26+27.07.26</t>
  </si>
  <si>
    <t>w.or rec ok 20.05.26+-Bulk App rec ok-19.05.26 B/4 SK -5.7 -4.3 1.0-Bulk shade sub 19.06.26--37.0 kg short qty send 25.07.26--37.0 kg short qty in ok 27.07.26 from sample style in</t>
  </si>
  <si>
    <t>112+141+811+979</t>
  </si>
  <si>
    <t>117+141+979</t>
  </si>
  <si>
    <t>07.07.26+15.07.26+27.07.26</t>
  </si>
  <si>
    <t>06.07.26+15.07.26+18.07.26+27.07.26</t>
  </si>
  <si>
    <t>Date-28.07.26</t>
  </si>
  <si>
    <t>1634+1709+1665+1670+1677+1756</t>
  </si>
  <si>
    <t>12.07.26+18.07.26+19.07.26+20.07.26+22.07.26+28.07.26</t>
  </si>
  <si>
    <t>1677+1756</t>
  </si>
  <si>
    <t>22.07.26+28.07.26</t>
  </si>
  <si>
    <t>1629+1677+1756</t>
  </si>
  <si>
    <t>11.07.26+22.07.26+28.07.26</t>
  </si>
  <si>
    <t>1625+1629+1673+1677+1756</t>
  </si>
  <si>
    <t>09.07.26+11.07.26+21.07.26+22.07.26+28.07.26</t>
  </si>
  <si>
    <t>28.07.26</t>
  </si>
  <si>
    <t>44842 10th</t>
  </si>
  <si>
    <t>46615 8th</t>
  </si>
  <si>
    <t>Light Grey Melange 7.5% Aop</t>
  </si>
  <si>
    <t>Bronze Green Aop</t>
  </si>
  <si>
    <t>w.or rec ok 29.07.26-Pso sub ok -27.07.26 Ly-S/J</t>
  </si>
  <si>
    <t>377+1205</t>
  </si>
  <si>
    <t>18.07.26+29.07.26</t>
  </si>
  <si>
    <t>112+92+1205</t>
  </si>
  <si>
    <t>06.07.26+10.07.26+29.07.26</t>
  </si>
  <si>
    <t>W.OR REC OK 06.07.26-1ST PSO SUB OK 17.06.26-Aop fabric in ok 16.06.26 ch-1246 Qty-14.0 kg-1ST COM REC-29.06.26 BUYER AOP PANTONE CHANGE NEED REV PSO-NO NEED REV-BULK APP REC OK 04.07.26--26.0 kg fab 29.07.26 send</t>
  </si>
  <si>
    <t>64+117+89+1205</t>
  </si>
  <si>
    <t>30.06.26+07.07.26+08.07.26+29.07.26</t>
  </si>
  <si>
    <t>29.07.26</t>
  </si>
  <si>
    <t>837+1210</t>
  </si>
  <si>
    <t>25.07.26+29.07.26</t>
  </si>
  <si>
    <t>1634+1679+1721+1735</t>
  </si>
  <si>
    <t>12.07.26+23.07.26+25.07.26+29.07.26</t>
  </si>
  <si>
    <t>1721+1753+1766</t>
  </si>
  <si>
    <t>25.07.26+26.07.26+30.07.26</t>
  </si>
  <si>
    <t>30.07.26</t>
  </si>
  <si>
    <t>1337+1679+1766</t>
  </si>
  <si>
    <t>17.06.26+23.07.26+30.07.26</t>
  </si>
  <si>
    <t>1707+1656+1766</t>
  </si>
  <si>
    <t>15.07.26+16.07.26+30.07.26</t>
  </si>
  <si>
    <t>4766+4716+988</t>
  </si>
  <si>
    <t>31.07.26</t>
  </si>
  <si>
    <t>42230 3rd</t>
  </si>
  <si>
    <t>Cloud Dancer Aop(Forget Me Not 0.5 CM+0.5 CM)</t>
  </si>
  <si>
    <t>Cloud Dancer Aop (Mulled Basil 1CM+1CM)</t>
  </si>
  <si>
    <t>Cloud Dancer Aop (Spellbound 1CM+1CM)</t>
  </si>
  <si>
    <t>Cloud Dancer Aop- (Mulled Basil 0.5 CM+0.5 CM)</t>
  </si>
  <si>
    <t>Cloud Dancer Aop (Mulled Basil 1.0cm+1.0 cm)</t>
  </si>
  <si>
    <t>Cloud Dancer Aop  (Mulled Basil 1.0 cm+1.0 cm)</t>
  </si>
  <si>
    <t>Cloud Dancer Aop (Mulled Basil 1.0 cm+1.0cm)</t>
  </si>
  <si>
    <t>Cloud Dancer Aop (Spellbound 1.0 cm+1.0 cm)</t>
  </si>
  <si>
    <t>01.08.26</t>
  </si>
  <si>
    <t>1705+1739</t>
  </si>
  <si>
    <t>14.07.26+01.08.26</t>
  </si>
  <si>
    <t>1657+1709+1770</t>
  </si>
  <si>
    <t>16.07.26+18.07.26+02.08.26</t>
  </si>
  <si>
    <t>1649+1770</t>
  </si>
  <si>
    <t>27.07.26+02.08.26</t>
  </si>
  <si>
    <t>1766+1739+1770+1771</t>
  </si>
  <si>
    <t>30.07.26+01.08.26+02.08.26+03.08.26</t>
  </si>
  <si>
    <t>03.08.26</t>
  </si>
  <si>
    <t>1335+1585+1679+1774</t>
  </si>
  <si>
    <t>17.06.26+06.07.26+23.07.26+04.08.26</t>
  </si>
  <si>
    <t>04.08.26</t>
  </si>
  <si>
    <t>147+821+956+961+967+1223</t>
  </si>
  <si>
    <t>16.07.26+18.07.26+20.07.26+22.07.26+25.07.26+01.08.26</t>
  </si>
  <si>
    <t>4707+4716+1223</t>
  </si>
  <si>
    <t>15.06.26+17.06.26+01.08.26</t>
  </si>
  <si>
    <t>Aop Fabric Plan &amp; Execution Report (Bulk) -September-2026</t>
  </si>
  <si>
    <t>1st Slot (01.09.26 to 10.09.26)</t>
  </si>
  <si>
    <t>2nd Slots (11.09.26 to 20.09.26)</t>
  </si>
  <si>
    <t>3rd Slot (21.09.26 to 30.09.26)</t>
  </si>
  <si>
    <t>62"</t>
  </si>
  <si>
    <t>Dawn Pink Aop</t>
  </si>
  <si>
    <t>Lacy Lilac Aop</t>
  </si>
  <si>
    <t>Strawberry Moon Aop</t>
  </si>
  <si>
    <t>Creamed Corn Aop</t>
  </si>
  <si>
    <t>48206 2nd</t>
  </si>
  <si>
    <t>Cloud Dancer Aop (Lemon)</t>
  </si>
  <si>
    <t>Cloud Dancer Aop (Strawberries)</t>
  </si>
  <si>
    <t>Cloud Dancer Aop (Black Hearts)</t>
  </si>
  <si>
    <t>Ether Aop</t>
  </si>
  <si>
    <t>Gardenia Aop</t>
  </si>
  <si>
    <t>Vis S/J</t>
  </si>
  <si>
    <t>27.07.26</t>
  </si>
  <si>
    <t>Sweet Taffy Aop</t>
  </si>
  <si>
    <t>Spa Blue Aop</t>
  </si>
  <si>
    <t>Navy Blazer Aop</t>
  </si>
  <si>
    <t>Stalactite Aop</t>
  </si>
  <si>
    <t>11-1001 TCX Aop</t>
  </si>
  <si>
    <t>11-0606 TCX Aop</t>
  </si>
  <si>
    <t>Heavy/J</t>
  </si>
  <si>
    <t>06.08.26</t>
  </si>
  <si>
    <t>PSO SUB DUE W.OR DUE-1st pso sub ok 28.07.26-Bulk fab ready for Rajib-22.07-Bulk App rec ok 06.08.26</t>
  </si>
  <si>
    <t>w.or rec ok 11.07.26--1st pso sub ok 27.07.26-Bulk App rec ok 06.08.26</t>
  </si>
  <si>
    <t>w.or rec ok 11.07.26--1st pso sub 27.07.26-Bulk App rec ok 06.08.26</t>
  </si>
  <si>
    <t>07.08.26</t>
  </si>
  <si>
    <t>1026+999</t>
  </si>
  <si>
    <t>01.08.26+06.08.26</t>
  </si>
  <si>
    <t>990+999</t>
  </si>
  <si>
    <t>30.07.26+06.08.26</t>
  </si>
  <si>
    <t>1227+1038</t>
  </si>
  <si>
    <t>01.08.26+07.08.26</t>
  </si>
  <si>
    <t>08.08.26</t>
  </si>
  <si>
    <t>1st Slot</t>
  </si>
  <si>
    <t>2nd Slot</t>
  </si>
  <si>
    <t>3rd Slot</t>
  </si>
  <si>
    <t>Aop Plan &amp; Execution Report(Bulk)Summary, August-26</t>
  </si>
  <si>
    <t>Work Order Received Balance Style No/Job</t>
  </si>
  <si>
    <t>Approvel Due Style No/Job</t>
  </si>
  <si>
    <t>w.or rec ok 29.07.26--1st pso sub ok 19.06.26-1st com rec 20.07.26-Rev 2nd pso sub ok 25.07.26-Bulk fab ready for Rajib-27.07-Bulk App rec ok 08.08.26</t>
  </si>
  <si>
    <t>1679+1753+1649+1757+1756+1734+1733+1765+1774+1778</t>
  </si>
  <si>
    <t>23.07.26+26.07.26+27.07.26+28.07.26+28.07+29.07.26+29.07.26+30.07.26+04.08.26+08.08.26</t>
  </si>
  <si>
    <t xml:space="preserve">W.OR REC OK-29.06.26-Bulk App rec ok 08.06.26 with comments-KNIT PLUS--B/4 Aop All test ok Hasib Sir 18.07.26--870.0 kg Grey fab return due to brush problem ch-1674 21.07.26--876 kg fin fab ret knit plus due to shrinkage high ch-983 28.07.26//558 kg refinish fab in ok 28.07.26 ch-1757//336.0 kg refinished fab in ok 29.07.26 ch-1734--07.08.26 ch-1230 Qty-23.0 kg finished fab Return Knit plus due to test purpose.08.08.26 ch-1778 Qty-22.0 kg reprocess fab in ok </t>
  </si>
  <si>
    <t>09.08.26</t>
  </si>
  <si>
    <t>42161+42192</t>
  </si>
  <si>
    <t>08.08.26+09.08.26</t>
  </si>
  <si>
    <t>988+1247</t>
  </si>
  <si>
    <t>29.07.26+08.08.26</t>
  </si>
  <si>
    <t>10.08.26</t>
  </si>
  <si>
    <t>Date: 11.08.26</t>
  </si>
  <si>
    <t>11.08.26</t>
  </si>
  <si>
    <t>1745+1783</t>
  </si>
  <si>
    <t>07.08.26+10.08.26</t>
  </si>
  <si>
    <t>No T&amp;A Provided</t>
  </si>
  <si>
    <t>ASAP</t>
  </si>
  <si>
    <t>w.or rec ok 11.08.26/BULK App Rec ok-10.08.26</t>
  </si>
  <si>
    <t>12.08.26</t>
  </si>
  <si>
    <t>w.or rec ok 10.08.26-Bulk App Rec ok-01.08.26</t>
  </si>
  <si>
    <t>Halogen Blue Aop</t>
  </si>
  <si>
    <t>Sifat</t>
  </si>
  <si>
    <t>w.or rec ok 29.07.26-1st pso sub ok 21.07.26-Bulk App rec ok-30.07.26-B/4 SK LOT-108346 7.1 -8.6 6.0</t>
  </si>
  <si>
    <t>w.or rec ok 10.08.26-Bulk App Rec ok-01.08.26-B/4 SK LOT-108411 -4.3 14.0 2.0 GSM-181,203,195,199</t>
  </si>
  <si>
    <t>w.or rec ok 29.07.26-1st pso sub ok 21.07.26-Bulk App rec ok-30.07.26--B/4 SK LOT-108297/98/96 -5.1 -5.7 1.0 QTY-765 KG-LOT-108299 -5.7 -7.1 3.5</t>
  </si>
  <si>
    <t>B/4 SK LOT-268137 -5.7 -8.6 8.3 AA32w.or rec ok-28.06.26--1st pso sub ok 16.07.26-1st pso sub ok 16.07.26-1st com rec 28.07.26 Base col &amp; print col com-And design change Buyer-Rev 2nd pso sub ok 31.07.26Bulk App rec ok -07.08.26-B/4 SK LOT-268136 -8.6 -6.3 9.3</t>
  </si>
  <si>
    <t>w.or rec ok-28.06.26--1st pso sub ok 16.07.26-1st com rec 28.07.26 Base col &amp; print col com-And design change Buyer-Rev 2nd pso sub ok 31.07.26--4.5 kg fab Need sample use--Bulk App rec ok -07.08.26-B/4 SK LOT-267824 -5.7 -8.6 5.7</t>
  </si>
  <si>
    <t>w.or rec ok 10.08.26-Bulk App Rec ok-01.08.26-B/4 SK LOT-108405 -5.7 -11.3 1.0 GSM-193,94,89,91,92</t>
  </si>
  <si>
    <t>w.or rec ok 11.07.26- 1st pso sub ok 09.01.26--SMS App Rec ok 15.01.26--SMS Fab in ok 24.01.26/BULK App Rec ok-11.08.26-B/4 SK LOT-108204+05 -8.6 -7.1 1.0</t>
  </si>
  <si>
    <t>w.or rec ok 11.07.26-1st pso sub ok 09.01.26--SMS App Rec ok 15.01.26--SMS Fab in ok 24.01.26-/BULK App Rec ok-11.08.26-B/4 SK LOT-108204+05 -8.6 -7.1 1.0</t>
  </si>
  <si>
    <t>w.or rec ok 27.07.26-Bulk App rec ok 06.08.26-B/4 SK LOT-108284 -2.9 -2.9 1.0</t>
  </si>
  <si>
    <t>w.or rec ok 29.07.26-1st pso sub ok 20.07.26-Bulk App rec ok-30.07.26-B/4 SK LOT-108297/98/96 -5.1 -5.7 1.0 QTY-765 KG LOT-8.6 -7.1 3.5</t>
  </si>
  <si>
    <t>w.or rec ok-28.06.26--Bulk App rec ok-20.07.26-B/4 SK LOT-108112 -5.7 -2.9 1.0</t>
  </si>
  <si>
    <t>w.or rec ok-28.06.26--Bulk App rec ok-20.07.26-B/4 SK LOT-108111 -5.7 -4.3 1.0</t>
  </si>
  <si>
    <t>w.or rec ok 29.07.26-1st pso sub ok 20.07.26-Bulk App rec ok-30.07.26-B/4 SK LOT-108137 -5.7 -4.3 3.5</t>
  </si>
  <si>
    <t>W.OR REC OK 06.07.26-1ST PSO SUB OK 17.06.26---Aop fabric in ok 16.06.26 ch-1246 Qty-16.0 kg-BULK APP REC OK 29.06.26-B/4 SK LOT-267825 -6.6 -2.9 4.0</t>
  </si>
  <si>
    <t>w.or rec ok 11.07.26-1st pso sub ok 27.07.26-Bulk App rec ok 06.08.26-B/4 SK LOT-268668 -4.9 -7.1 1.0</t>
  </si>
  <si>
    <t>w.or rec ok 11.07.26--1st pso sub ok 27.07.26-Bulk App rec ok 06.08.26-B/4 SK LOT-268667 -4.9 -7.1 1.0</t>
  </si>
  <si>
    <t>w.or rec ok 29.07.26-1st pso sub ok 13.07.26-(Bulk App rec ok -28.07.26/Knit plus App)-B/4 SK LOT-108123 -5.7 -5.7 2.5 LOT-108115 -6.6 -4.3 2.0</t>
  </si>
  <si>
    <t>w.or rec ok 29.07.26/Bulk App rec ok 16.07.26-B/4 SK LOT-108135 -6.6 -7.1 1.0</t>
  </si>
  <si>
    <t>w.or rec ok 29.07.26/Bulk App rec ok 16.07.26-B/4 SK LOT-108140 -6.9 -8.0 3.5 LOT-108141+108142 -8.0 -4.3 1.0</t>
  </si>
  <si>
    <t>w.or rec ok 29.07.26-1st pso sub ok 16.07.26-(Bulk App rec ok -28.07.26/Knit plus App)-B/4 SK LOT-107889 -5.7 -3.7 1.0</t>
  </si>
  <si>
    <t>W.OR REC OK-29.06.26--1ST COM REC 19.06.26 PP PROCEED WITH COMMENTS FOLLOW PANTONE CHANGE-REV 2ND PSO SUB OK 30.06.26--Bulk App rec ok 14.07.26-B/4 SK LOT-107767 -2.9 -8.6 1.0</t>
  </si>
  <si>
    <t>w.or rec ok 29.07.26-1st pso sub ok 16.07.26-(Bulk App rec ok -28.07.26/Knit plus App)-B/4 SK LOT-107835 -4.3 -4.3 3.5</t>
  </si>
  <si>
    <t>w.or rec ok 05.05.26-1st pso sub ok 21.04.26 PP App rec 21.04.26-Purple Heather Aop -Base //Lav col 1st pso sub ok 10.07.26--Bulk hote 6.7 kg fab sample purpose hand over sample cutting moksed vai 14.07.26-Bulk App rec ok-20.07.26-//53.0 kg fin fab knit plus return send due to reprocess ch-979 27.07.26---51.0 kg refinisfed fab in ok 29.07.26-B/4 SK LOT-10378 -6.6 -5.7 1.0 LOT-10387 -6.6 -4.3 1.0</t>
  </si>
  <si>
    <t>W.OR REC OK-29.06.26--1ST PSO SUB OK 09.06.26 KNIT PLUS-B/4 SK -APP REC 28.06.26 WITH COMMENTS-Rev pso sub ok 06.07.26-Bulk App rec ok 08.07.26--22.0 kg grey fab ret In NFL 12.07.26 ch-1635---49 kg short qty send 29.07.26---47.0 kg Short qty in ok 01.08.26 ch-1739 -B/4 SK LOT-107123 -10.0 -2.9 1.5</t>
  </si>
  <si>
    <t>w.or rec ok-11.07.26--Bulk App rec ok 24.07.26-B/4 SK LOT-107543 -5.7 -5.7 1.0 LOT-107540 -5.7 -5.7 1.0</t>
  </si>
  <si>
    <t>w.or rec ok 29.07.26-1st pso sub ok 19.06.26-2 combo-1st com rec 20.07.26-Rev 2nd pso sub ok-27.07.26-Bulk App rec ok 08.08.26-B/4 SK LOT-108364+65+66+67 -5.7 -5.7 2.0-GSM-164,172,163,165</t>
  </si>
  <si>
    <t>w.or rec ok 29.07.26-1st pso sub ok 19.06.26-2 combo-1st com rec 20.07.26-Rev 2nd pso sub ok-27.07.26-Bulk App rec ok 08.08.26-Bulk App rec ok 08.08.26-B/4 SK LOT-108364+65+66+67 -5.7 -5.7 2.0-GSM-164,172,163,165</t>
  </si>
  <si>
    <t>W.OR REC OK-10.07.26-1ST PSO SUB OK 25.06.26-Bulk App rec ok-27.07.26-B/4 SK LOT-4.3 -8.6 1.0</t>
  </si>
  <si>
    <t>w.or rec ok 11.07.26-1st pso sub ok 12.06.26--DES CHANGE NEED REV ART REC 24.06.26-NEW PSO SUB OK 06.07.26-2ND COM REC 07.07.26 COM FOLLOW WITH PP as pr comnts- pp p run- 13.07-Rev pso sub ok 20.07.26--2nd time des change22.07.26 new pso sub ok 24.07.26--6.0 kg Bulk fab mer/Hand over 26.07.26--1st App rec 01.08.26 1st App Hold 06.08.26//New App rec ok 06.08.26-B/4 SK LOT-107639/40 -4.3 -5.7 2.0</t>
  </si>
  <si>
    <t>w.or rec ok 11.07.26-1st pso sub ok 25.05.26-BULK APP REC-19.06.26-B/4 SK LOT-107641 -2.9 -5.7 1.0</t>
  </si>
  <si>
    <t>W.OR rec ok 11.06.26-1st pso sub ok 07.05.26-AOP PP FAB IN OK 08.05.26-Bulk App rec ok 12.05.26--29.06.26 5.0 KG FAB SEND DUE TO TEST PURPOSE---5.0 kg fab size set purpose use hand over cutting salam vai 06.07.26---/434.0 kg grey fab ret in NFL knit plus ret ch-1538 06.07.26 due to peach problem.B/4 SK LOT-17626 -5.6 -8.7 1.0</t>
  </si>
  <si>
    <t>w.or rec ok 06.07.26-App rec ok 17.07.26B/4 SK LOT-107825 -5.7 -5.7 1.0</t>
  </si>
  <si>
    <t>W.OR REC OK 06.07.26-B/4 SK -4.3 -2.9 1.0 LOT-107282--5.1 -2.9 1.0 LOT-107281//-4.3 -2.9 1.0 LOT-107214--1st pso sub ok 22.05.26/-1st com rec 19.06.26/Rev 2nd pso sub ok 22.06.26-Bulk App rec ok 11.07.26-B/4 SK LOT-107980 -0.9 -5.7 1.0 LOT-107777 -5.7 -1.4 1.0</t>
  </si>
  <si>
    <t>w.or rec ok 29.07.26-1st pso sub ok 13.07.26-(Bulk App rec ok -28.07.26/Knit plus App)///1st time Knit plus Bulk fab send=718+538=1256.0 kg ch-837+982 Date-25.07.26+25.07//Knit to NFL Grey fab return=710+534=1244.0 kg Ch-1764 Date-30.07.26--Due to 12.0 kg fab short return.-B/4 SK LOT-108025 5.7 7.7 1.0 LOT-108042/43 -7.1 -7.1 1.0</t>
  </si>
  <si>
    <t>w.or rec ok 29.07.26-1st pso sub ok 13.07.26-(Bulk App rec ok -28.07.26/Knit plus App)///1st time Knit plus Bulk fab send=500+632+144=1276.0 kg ch-982 Date-25.07.26//Knit to LOT-108042/43 -7.1 -7.1 1.0NFL Grey fab return=630+500+141=1271.0 kg Ch-1764 Date-30.07.26--Due to 5.0 kg fab short return.-B/4 SK LOT-108014 -4.3 -5.7 1.0 LOT-108014 -1.4 -4.3 1.0 LOT-108013 -4.3 -4.9 1.</t>
  </si>
  <si>
    <t>w.or rec ok-28.06.26--1st pso sub ok 13.07.26--2nd pso sub ok 17.07.26-App rec ok with comments 28.07.26-B/4 SK LOT-13246492 -5.7 4.3 1.0</t>
  </si>
  <si>
    <t>W.OR REC OK 06.07.26-1ST PSO SUB OK 17.06.26---Aop fabric in ok 16.06.26 ch-1246 Qty-16.0 kg-BULK APP REC OK 29.06.26-B/4 SK LOT-7823 5.7 5.7 1.0</t>
  </si>
  <si>
    <t>1st pso sub ok 17.07.26-W.OR DUE-1st com rec 28.07.26 /Rev 2nd pso sub ok 11.08.26--Bulk fab ready for Rajib-15.07-B/4 SK LOT-26903001 2.9 2.9 3.0 GSM-187,186,168</t>
  </si>
  <si>
    <t>w.or rec ok-30.07.26-1st pso sub ok 23.01.26-SMS App rec ok 26.01-Fab in ok 29.01.26--Bulk App rec ok 29.07.26-Bulk fab ready for Rajib-28.07-B/4 SK LOT-160698 -6.6 5.7 1.0 GSM-236/33/238</t>
  </si>
  <si>
    <t>w.or rec ok 27.06.26-Bulk App rec ok 01.08.26-B/4 SK LOT-140667 -2.9 -1.4 1.0</t>
  </si>
  <si>
    <t>w.or rec ok 29.07.26-1st pso sub ok 20.07.26-Bulk App rec ok-30.07.26//1st time Knit plus Bulk fab send=736.0 ch-979 Date-27.07.26//Knit plus to NFL Grey fab return=726.0 kg Ch-1764 Date-30.07.26--Due to 10.0 kg fab short return.-B/4 SK LOT-108058 -7.7 -5.74.8</t>
  </si>
  <si>
    <t>w.or rec ok-11.07.26--Bulk App rec ok 24.07.26-B/4 SK LOT-108072 -5.7 4.3 1.0</t>
  </si>
  <si>
    <t>w.or rec ok 11.07.26-1st pso sub ok 12.06.26-DES CHANGE NEED REV ART REC 24.06.26-NEW PSO SUB OK 06.07.26-2ND COM REC 07.07.26 COM FOLLOW WITH PP-Rev pso sub ok 20.07.26 again des change-22.07-2nd time des change22.07.26 new pso sub ok 24.07.26-1st App rec 01.08.26 1st App Hold 06.08.26//New App rec ok 06.08.26B/4 SK LOT-107639/40 -4.3 -5.7 2.0 LOT-107688 -4.3 -5.7 1.0</t>
  </si>
  <si>
    <t>w.or rec ok-28.06.26-Bulk App rec ok-20.07.26-B/4 SK LOT-107718 -4.3 -4.3 2.5</t>
  </si>
  <si>
    <t>W.OR REC OK 06.07.26-B/4 SK -5.7 -1.4 1.0 LOT-107213//-9.1 +0.3 1.0 LOT-107261//-6.0 -2.9 1.0 LOT-107240//-6.9 -0.6 1.0 LOT-1072342--Bulk App rec ok 20.06.26-B/4 SK LOT-107669 -7.4 -1.4 1.0 LOT-6.6 -2.4 1.0</t>
  </si>
  <si>
    <t>W.OR rec ok 11.06.26-Stenter Aop send-1013 kg-1st pso sub ok 08.05.26-Bulk App rec ok 12.05.26-B/4 SK LOT-4250 -7.1 7.1 1.0</t>
  </si>
  <si>
    <t>W.OR REC OK 11.06.26---SMS Fab in ok 08.12.25-1st com rec 22.05.26 comments follow or pp proceed-Rev 2nd pso sub ok 23.04.26-PP Hote-Bulk App rec ok 08.07.26-B/4 SK LOT-120857 5.7 7.1 1.0</t>
  </si>
  <si>
    <t>Bulk App rec ok-24.04.26-w or rec 25.04.26--GREY FAB RET 228.0 KG CH-1572 30.06.26-B/4 SK LOT-107551 8.6 4.3 1.0 GSM-320/325</t>
  </si>
  <si>
    <t>w.or rec ok 29.07.26-1st pso sub ok 15.07.26-(Bulk App rec ok -28.07.26/Knit plus App)//1st time Knit plus Bulk fab send=735+353=1088.0 kg ch-961+979 Date-22.07.26+27.07//Knit Plus to NFL Grey fab return=730+351=1081.0 kg Ch-1764 Date-30.07.26--Due to 7.0 kg fab short return.-B/4 SK LOT-107913-8.6 5.7 1.0 LOT-107754 -7.1 -4.3 1.0</t>
  </si>
  <si>
    <t>w.or rec ok 11.07.26-1ST PSO SUB OK-24.06.26-1st com rec1.07.26-Rev 2nd pso sub ok 15.07.26-Bulk App rec ok 26.07.26-B/4 SK LOT-107096 -5.7 -7.1 1.0</t>
  </si>
  <si>
    <t>w.or rec ok 27.06.26--Bulk App rec ok 13.07.26-B/4 SK LOT-107778 -6.9 6.9 2.0</t>
  </si>
  <si>
    <t>Bulk App rec ok 08.07.26 w.or rec ok14.07.26//App hand over MR/Robiul vai 09.07.26 Need dyeing match-B/4 SK LOT-107660 -11.4 -7.1 1.0 LOT-4.3 4.6 1.0 2ND TIME</t>
  </si>
  <si>
    <t>w.or rec ok 27.06.26-dye fab red- 13.07-Bulk App rec ok 13.07.26-B/4 SK LOT-4.3 2.9 1.0</t>
  </si>
  <si>
    <t>w.or rec ok 11.07.26-1st pso sub ok 25.05.26 Avableable fab pso sub-Bulk App rec ok 19.06.26-B/4 SK LOT-108180 -5.7 -5.7 1.5 LOT-107019 5.7 7.4 1.0</t>
  </si>
  <si>
    <t>w.or rec ok-11.07.26-Bulk App rec ok 24.07.26-B/4 SK LOT-26089006 -4.9 -3.4 5.0 GSM-146/156/160</t>
  </si>
  <si>
    <t>w.or rec ok 29.07.26-1st pso sub ok 20.07.26-Bulk App rec ok-30.07.26-B/4 SK LOT-268402 -4.3 5.1 1.0</t>
  </si>
  <si>
    <t>w.or rec ok-28.06.26--Bulk App rec ok-20.07.26 before- aop l-8.6 w- 6.3 t-9.3-B/4 SK LOT-108461 -5.7 7.1 1.0</t>
  </si>
  <si>
    <t>w.or rec ok-28.06.26--1st pso sub ok 13.07.26--2nd pso sub ok 17.07.26-App rec ok with comments 28.07.26-B/4 SK LOT-108118 -4.3 -1.4 1.0</t>
  </si>
  <si>
    <t>w.or rec ok-28.06.26--1st pso sub ok 13.07.26--2nd pso sub ok 17.07.26-App rec ok with comments 28.07.26-B/4 SK LOT-108116 8.6 2.9 2.0</t>
  </si>
  <si>
    <t>W.OR REC OK 06.07.26-1ST PSO SUB OK 17.06.26-Aop fabric in ok 16.06.26 ch-1246 Qty-14.0 kg-1ST COM REC-29.06.26 BUYER AOP PANTONE CHANGE NEED REV PSO-NO NEED REV-BULK APP REC OK 04.07.26---32.0 kg fab 29.07 send-B/4 SK LOT-26631003 -4.3 -5.7 2.0 LOT-2.9 6.9 1.0</t>
  </si>
  <si>
    <t>within sk send(w.or rec ok 12.08.26 Qty-90.0 kg)</t>
  </si>
  <si>
    <t>w.or rec ok 30.07.26--B/4 SK LOT-108208/09/10 -6.9 2.9 1.0-Bulk App Rec ok -12.08.26</t>
  </si>
  <si>
    <t>w.or rec ok 30.07.26-B/4 SK LOT-108208/09/10 -6.9 2.9 1.0 --Bulk App Rec ok -12.08.26</t>
  </si>
  <si>
    <t>13.08.26</t>
  </si>
  <si>
    <t>1784+1788</t>
  </si>
  <si>
    <t>11.08.26+12.08.26</t>
  </si>
  <si>
    <t>1724+1788</t>
  </si>
  <si>
    <t>25.07.26+12.08.26</t>
  </si>
  <si>
    <t>w.or rec ok 08.08.26//Bulk App rec ok 12.08.26-B/4 SK Lot-108583 -10.4 -5.1 1.0 Dia-68/68.5/68 Gsm-163,162,156</t>
  </si>
  <si>
    <t>806+809+992+1307</t>
  </si>
  <si>
    <t>15.07.26+01.08.26+12.08.26</t>
  </si>
  <si>
    <t>Bulk App Rec ok-13.08.26</t>
  </si>
  <si>
    <t>14.08.26</t>
  </si>
  <si>
    <t>15.08.26</t>
  </si>
  <si>
    <t>w.or rec ok 29.07.26-1st pso sub ok 20.07.26-Bulk App rec ok-30.07.26 B/4 SK LOT-268908 -6.3 -5.7 2.5 REPORT REC 15.08</t>
  </si>
  <si>
    <t>w.or rec ok 10.08.26-Bulk App Rec ok-01.08.26 B/4 SK LOT-108608+09 -2.9 -10.4 1.0</t>
  </si>
  <si>
    <t>w.or rec ok 10.08.26-Bulk App Rec ok-01.08.26- B/4 SK LOT-108608+09 -2.9 -10.4 1.0 B/4 GSM-186,85,84,91,,92,187</t>
  </si>
  <si>
    <t>w.or rec ok 29.07.26-Pso sub ok -27.07.26 Ly-S/J-Bulk fab ready for Rajib-28.07-Bulk App rec ok 08.08.26-B/4 SK-6.3 -5.7 2.0 GSM-230 REPORT REC 15.08</t>
  </si>
  <si>
    <t>w.or rec ok 29.07.26-Pso sub ok -27.07.26 Ly-S/J-Bulk App rec ok 08.08.26-B/4 SK-6.9 -5.4 1.0 GSM-227 REPORT REC-15.08</t>
  </si>
  <si>
    <t>w.or rec ok 29.07.26-Pso sub ok -27.07.26 Ly-S/J-Bulk App rec ok 08.08.26-B/4 SK-6.9 -5.7 1.0 GSM-233 REPORT REC 15.08.26</t>
  </si>
  <si>
    <t>w.or rec ok 29.07.26-Pso sub ok -27.07.26 Ly-S/J-B/4 SK-6.9 -5.4 1.0 GSM-229 REPORT REC-15.08</t>
  </si>
  <si>
    <t>Pso sub ok -27.07.26 Ly-S/J-Bulk App rec ok 08.08.26-B/4 SK-6.9 -5.4 1.0 GSM-231 LIST REC 15.08</t>
  </si>
  <si>
    <t>w.or rec ok 29.07.26-Pso sub ok -27.07.26 Ly-S/J-Bulk App rec ok 08.08.26-B/4 SK-6.9 -5.4 1.0 GSM-233 LIST REC 15.08</t>
  </si>
  <si>
    <t>w.or rec ok 29.07.26-1st pso sub ok 16.07.26-(Bulk App rec ok -28.07.26/Knit plus App)-B/4 SK LOT-150806 -6.3 -4.3 1.5</t>
  </si>
  <si>
    <t>w.or rec ok 10.08.26-Bulk App Rec ok-01.08.26-B/4 SK LOT-108589 -8.9 -7.1 1.0 GSM-207,199,187,191</t>
  </si>
  <si>
    <t>w.or rec ok 11.08.26-B/4 SK -8.6 -4.3 1.0</t>
  </si>
  <si>
    <t>42157+42267</t>
  </si>
  <si>
    <t>07.08.26+15.08.26</t>
  </si>
  <si>
    <t>w.or rec ok 11.07.26-1st pso sub ok 10.01.26--SMS App Rec ok 15.01.26--Bulk App Rec ok-18.07.26 /App cancel from buyer 24.07.26-Need new pso sub ok 06.08.26-B/4 SK LOT-20567+68 2.9 -0.3 1.0 GSM-210/211/215/222-LOT-20567 -2.9 0.6 1.0-Bulk App rec ok 15.08.26</t>
  </si>
  <si>
    <t>w.or rec ok 11.07.26-1st pso sub ok 10.01.26--SMS App Rec ok 15.01.26--Bulk App Rec ok-18.07.26 /App cancel from buyer 24.07.26-Need new pso sub ok 06.08.26B/4 SK LOT-20567+68 2.9 -0.3 1.0 GSM-210/211/215/222-Bulk App rec ok 15.08.26</t>
  </si>
  <si>
    <t>W.or rec ok 10.07.26-1ST PSO SUB OK 02.07.26-PP APP REC 04.07.26-Aop sample fab in ok 09.07.26-BULK APP REC OK 22.07.26-B/4 SK -5.7 -3.7 2.0 GSM-253,256,255</t>
  </si>
  <si>
    <t>17.08.26</t>
  </si>
  <si>
    <t>1724+1774+1745+1906</t>
  </si>
  <si>
    <t>25.07.26+04.08.26+07.08.26+15.08.26</t>
  </si>
  <si>
    <t>w.or rec ok 11.07.26-1st pso sub ok 25.05.26 Avableable fab pso sub-Bulk App rec ok 19.06.26--25.0 kg Grey Ret in NFL ch-1710 18.07.26-B/4 SK LOT-108164 -4.3 -2.9 1.0//Additional Qty 63.0 kg fab send 12.08.26 ch-1307--60 kg short qty in ok 15.08.26</t>
  </si>
  <si>
    <t>1901+1906</t>
  </si>
  <si>
    <t>13.08.26+15.08.26</t>
  </si>
  <si>
    <t>16.08.26</t>
  </si>
  <si>
    <t>18.08.26</t>
  </si>
  <si>
    <t>w.or rec ok 18.08.26-B/4 SK LOT109183 -4.3 -2.0 1.0  W.or due-Bulk app rec ok 14.08.26</t>
  </si>
  <si>
    <t>w.or rec ok 29.07.26-1st pso sub ok 17.07.26-(Bulk App rec ok -28.07.26/Knit plus App)B/4 SK LOT-26732001 -7.1 -2.3 4.0</t>
  </si>
  <si>
    <t>w.or rec ok 29.07.26-1st pso sub ok 17.07.26-(Bulk App rec ok -28.07.26/Knit plus App)--B/4 SK-10.6 -5.7 5.8 lot-120913---LOT-120907 -9.6 -5.7 5.0 REPORT REC 18.08.26</t>
  </si>
  <si>
    <t>w.or rec ok 08.08.26-Bulk App Rec ok -11.08.26--B/4 SK LOT-108605+06 -5.7 -3.7 2.0 GSM-214,207,216 DIA-63.5/64</t>
  </si>
  <si>
    <t>1220+2066</t>
  </si>
  <si>
    <t>01.08.26+18.08.26</t>
  </si>
  <si>
    <t>w.or rec ok-30.07.26-1st pso sub ok 11.08.26-B/4 SK LOT-100479 -3.7 -4.3 2.0 GSM-228-Bulk App Rec ok 18.08.26</t>
  </si>
  <si>
    <t>1st pso sub ok 10.08.26-B/4 SK LOT-108219/20 -8.3 -2.9 1.0 GSM HIGH-274,260,257,245,261-Bulk App Rec ok 18.08.26</t>
  </si>
  <si>
    <t>w.or rec ok-30.07.26-1st pso sub ok 21.01.26--Rev pso sub 27.01 SMS App rec ok 27.01--Fab in ok 27.01.26-1st com rec 29.07.26//UNIFILL PSO SUB-10.08.26/11.08.26 2 OP-B/4 SK LOT-107975 -2.9 -2.9 1.0 GSM-232-Bulk App Rec ok 18.08.26</t>
  </si>
  <si>
    <t>w.or rec ok-30.07.26-1st pso sub ok 21.01.26--Rev pso sub 27.01 SMS App rec ok 27.01--SMS Fab in ok 27.01.26-1st com rec 29.07.26//UNIFILL PSO SUB-10.08.26/11.08.26 2 OP-B/4 SK LOT-107976 -2.9 -1.4 1.0 GSM-228-107976 -6.6 3.5 1.0-Bulk App Rec ok 18.08.26</t>
  </si>
  <si>
    <t>w.or rec ok-30.07.26-1st pso sub ok 21.01.26--Rev pso sub 27.01 SMS App rec ok 27.01--SMS Fab in ok 27.01.26-1st com rec 29.07.26//UNIFILL PSO SUB-10.08.26/11.08.26 2 OP-B/4 SK LOT-107977 -2.9 -1.4 1.0 GSM-232--LOT-107977 2.9 2.9 1.0-Bulk App Rec ok 18.08.26</t>
  </si>
  <si>
    <t>w.or rec ok-30.07.26-1st pso sub ok 21.01.26--Rev pso sub 27.01 SMS App rec ok 27.01--SMS Fab in ok 27.01.26-1st com rec 29.07.26//UNIFILL PSO SUB-10.08.26/11.08.26 2 OP-B/4 SK LOT-107977 -2.9 -1.4 1.0 GSM-232--LOT107975 -4.3 4.0 1.0-Bulk App Rec ok 18.08.26</t>
  </si>
  <si>
    <t>19.08.26</t>
  </si>
  <si>
    <t>w.or rec ok 29.07.26-1st pso sub ok 16.07.26-(Bulk App rec ok -28.07.26/Knit plus App)-B/4 SK LOT-108685 -5.1 -5.7 5.0</t>
  </si>
  <si>
    <t>20.08.26</t>
  </si>
  <si>
    <t>1st pso sub ok 10.08.26-B/4 SK LOT-108219/20 -8.3 -2.9 1.0 GSM HIGH-274,260,257,245,261-Bulk App Rec ok 18.08.26//3.0 kg fab hand over from Mer mosaddik vai 20.08.26</t>
  </si>
  <si>
    <t>1307+1312+2071</t>
  </si>
  <si>
    <t>12.08.26+15.08.26+20.08.26</t>
  </si>
  <si>
    <t>W.or due-Bulk App rec ok 01.08.26-B/4 SK -1.4 -2.9 2.0 DIA-70/70.5 GSM-235,236</t>
  </si>
  <si>
    <t>w.or rec ok 08.08.26-Bulk App Rec ok -11.08.26-B/4 SK LOT-108638 -4.3 -4.3 1.0 DIA-65 GSM-202,207,210</t>
  </si>
  <si>
    <t>21.08.26</t>
  </si>
  <si>
    <t>1665+1677+1766+1924</t>
  </si>
  <si>
    <t>19.07.26+22.07.26+30.07.26+20.08.26</t>
  </si>
  <si>
    <t>Design / Artwork Received Balance Style No/Job</t>
  </si>
  <si>
    <t>No of Style/Job</t>
  </si>
  <si>
    <t>1018+1320+2030</t>
  </si>
  <si>
    <t>31.07.26+20.08.26+21.08.26</t>
  </si>
  <si>
    <t>w.or rec ok 29.07.26-1st pso sub ok 16.07.26-(Bulk App rec ok -28.07.26/Knit plus App)-B/4 SK LOT-108780 DIA-62.5/63/63.5 GSM-163,162 -5.7 -5.7 1.0</t>
  </si>
  <si>
    <t>w.or rec ok 10.08.26-Bulk App Rec ok-01.08.26-B/4 SK LOT-108667/68 51.5/52.5 GSM-197,190,192,200,201, 5.1 -4.0 1.0</t>
  </si>
  <si>
    <t>22.08.26</t>
  </si>
  <si>
    <t>w.or rec ok 30.07.26-1st com rec 29.07.26-Need Rev pso sub ok 08.08.26-Unifill com rec 14.08.26--Rev 2nd pso sub ok 17.08.26 Unifill--Bulk App Rec ok 22.08.26</t>
  </si>
  <si>
    <t>w.or rec ok 30.07.26-1st com rec 29.07.26--Need Rev pso sub ok 08.08.26-Unifill com rec 14.08.26--Rev 2nd pso sub ok 17.08.26 Unifill--Bulk App Rec ok 22.08.26</t>
  </si>
  <si>
    <t>w.or rec ok 30.07.26-1st com rec 29.07.26--Need Rev pso sub ok 08.08.26-B/4 SK LOT-108177 -8.3 -5.7 1.0-Unifill com rec 14.08.26--Rev 2nd pso sub ok 17.08.26 Unifill--Bulk App Rec ok 22.08.26</t>
  </si>
  <si>
    <t xml:space="preserve">w.or rec ok 08.08.26-Bulk App Rec ok -11.08.26--B/4 SK LOT-108605+06 -5.7 -3.7 2.0 GSM-214,207,216 DIA-63.5/64--Job-48062 hote  23.0 fab use..Unifill challan 1 Roll misstake </t>
  </si>
  <si>
    <t>42327+42350</t>
  </si>
  <si>
    <t>19.08.26+21.08.26</t>
  </si>
  <si>
    <t>42126+42143+42350</t>
  </si>
  <si>
    <t>03.08.26+06.08.26+21.08.26</t>
  </si>
  <si>
    <t>23.08.26</t>
  </si>
  <si>
    <t>44023 13th</t>
  </si>
  <si>
    <t xml:space="preserve">Peyote Melange Aop </t>
  </si>
  <si>
    <t>Cloud Dancer Aop (Mazarine Blue)</t>
  </si>
  <si>
    <t>48551 1st</t>
  </si>
  <si>
    <t>13-2801 TCX Aop</t>
  </si>
  <si>
    <t>78"</t>
  </si>
  <si>
    <t>1x1 L/Rib</t>
  </si>
  <si>
    <t>Anise Flower Aop</t>
  </si>
  <si>
    <t>Sweet Dreams Aop</t>
  </si>
  <si>
    <t>Candy Pink Aop</t>
  </si>
  <si>
    <t>48552 2nd</t>
  </si>
  <si>
    <t>13-2801 Tcx Aop</t>
  </si>
  <si>
    <t>14-4214 Tcx Aop</t>
  </si>
  <si>
    <t>Mary's Rose Aop</t>
  </si>
  <si>
    <t>Pastel Parchment Aop</t>
  </si>
  <si>
    <t>Lavender Blue Aop</t>
  </si>
  <si>
    <t>White Sand Aop</t>
  </si>
  <si>
    <t>24.08.26</t>
  </si>
  <si>
    <t>25.08.26</t>
  </si>
  <si>
    <t>w.or rec ok 11.08.26-1ST PSO SUB OK 02.07.26-PP APP REC 04.07.26--1st com rec 14.07.26 rev 2nd pso sub 22.07.26--Bulk App rec ok 06.08.26-B/4 SK LOT-108363 -7.1 -7.1 2.0 GSM-262,273,275,278---1st time 730.0 kg Aop fab in 17.08.26 ch-1795///735.0 kg finished fab Knit plus return due to handfeel hard ret 21.08.26 ch-2076--Refin fab in ok 24.08.26 ch-1971 Qty-727 kg</t>
  </si>
  <si>
    <t>W.or REC OK 12.08.26-1st pso sub ok 10.07.26-1st com rec 27.07.26 with pp proceed--Rev 2nd pso sub ok 10.08.26-B/4 SK LOT-150843 -6.3 0.6 1.0-Bulk App Rec ok 22.08.26--Acc fab send date-25.08.26 challan date Misstake</t>
  </si>
  <si>
    <t>26.08.26</t>
  </si>
  <si>
    <t>w.or rec ok-11.07.26-Need pso-B/4 SK LOT-108420 -6.3 -4.9 4.0 ALL TEST OK Habib vai lab..-1st pso sub ok 17.08.26--Bulk App Rec ok 27.08.26</t>
  </si>
  <si>
    <t>w.or rec ok-11.07.26-Need pso-B/4 SK LOT-108419 -6.3 -5.7 5.0 All test ok Habib vai Lab.-1st pso sub ok 17.08.26-Bulk App Rec ok 27.08.26</t>
  </si>
  <si>
    <t>w.or rec ok 12.08.26-1st pso sub ok 24.07.26--04.08.26 New des rec &amp; 04.08.26 whatsapp pso sub..New 2 op pso sub ok 06.08.26-B/4 SK LOT-111154 -6.6 -0.6 1.0 GSM-166/176/162-1st com rec 15.08.26-1st com rec 15.08.26 comments follow with pp proceed-Rev 2nd pso sub ok 21.08.26-Bulk App Rec ok 27.08.26</t>
  </si>
  <si>
    <t>w.or rec ok 29.07.26-1st pso sub ok 13.07.26-1st com rec 14.08.26-Rev 2nd pso &amp; 1st bulk shade sub 21.08.26--B/4 SK DIA 77/77.5/78  GSM-157/158 -4.3 -5.7 1.0-Bulk App Rec ok 26.08.26</t>
  </si>
  <si>
    <t>1st pso sub ok 27.07.26-B/4 SK LOT-30785 -6.6 -6.3 1.5 ALL TEST OK BY HABIB VI LAB--1st com rec 12.08.26-Rev 2nd pso sub ok 19.08.26-Bulk App Rec ok 26.08.26</t>
  </si>
  <si>
    <t>27.08.26</t>
  </si>
  <si>
    <t>w.or rec ok 29.07.26-Pso sub ok -29.07.26-Bulk App rec ok 08.08.26--within shrinkage Aop send</t>
  </si>
  <si>
    <t>w.or rec ok 29.07.26-1st pso sub ok 13.07.26--B/4 SK LOT-26736001 -2.9 -6.6 1.0-1st com rec 14.08.26//LOT-6002 -5.7 -4.3 1.0-Rev 2nd pso &amp; 1st bulk shade sub 21.08.26--LOT-6003 -4.3 -5.7 1.0-Bulk App Rec ok 26.08.26---1026 kg fab NFL Compacting hobe</t>
  </si>
  <si>
    <t>w.or rec ok 29.07.26-1st pso sub ok 15.07.26-(Bulk App rec ok -28.07.26/Knit plus App)-B/4 SK LOT-108718 -6.6 -8.6 3.0 DAI 70.5/69.5/70/70.5 GSM-157/155/158 GSM LOW 1 ROLL PRINT NEED CHECK WAEZ VAI--10.0 kg sample fab in ok 28.08.26</t>
  </si>
  <si>
    <t>w.or rec ok 30.07.26-1st pso sub ok 06.08.26-1st com rec 14.08.26-B/4 SK LOT-108185+86+87 -4.3 -2.9 1.0 GSM-205,199,209,197 B/4 AOP Shade NOT OK AOP SEND PERMISSON BY GM SIR CONFIRM ALOMGIR VAI //1 ROLL PRINT &amp; SHADE SUB.-Rev 2nd pso sub ok 22.08.26--Bulk App rec ok 28.08.26</t>
  </si>
  <si>
    <t>w.or rec ok 30.07.26-1st pso sub ok 06.08.26-1st com rec 14.08.26-B/4 SK LOT-108185+86+87 -4.3 -2.9 1.0 GSM-205,199,209,197 B/4 AOP Shade NOT OK AOP SEND PERMISSON BY GM SIR CONFIRM ALOMGIR VAI //1 ROLL PRINT &amp; SHADE SUB.-Rev 2nd pso sub ok 22.08.26-48063 job hote pso sub--Bulk App rec ok 28.08.26</t>
  </si>
  <si>
    <t>w.or rec ok 08.08.26-B/4 SK LOT-108387/88 -5.7 -2.9 1.0 GSM-206,209,198-1st pso sub ok 06.08.26-1st com rec 14.08.26//1roll-15.0 kg fab in house process due to shade purpose-Rev 2nd pso sub ok 22.08.26--Bulk App rec ok 28.08.26</t>
  </si>
  <si>
    <t>w.or rec ok 08.08.26-B/4 SK LOT-108387/88 -5.7 -2.9 1.0 GSM-206,209,198-1st pso sub ok 06.08.26-1st com rec 14.08.26-Rev 2nd pso sub ok 22.08.26--Bulk App rec ok 28.08.26</t>
  </si>
  <si>
    <t>w.or rec ok 08.08.26-1st pso sub ok 06.08.26-1st com rec 14.08.26-B/4 SK LOT-108637 -5.7 -2.9 1.0 DIA-62 GSM-204,202,200--Rev 2nd pso sub ok 22.08.26--Bulk App rec ok 28.08.26</t>
  </si>
  <si>
    <t>Aop Plan &amp; Execution Report(Bulk)Summary, September-26</t>
  </si>
  <si>
    <t>29.08.26</t>
  </si>
  <si>
    <t>31.08.26</t>
  </si>
  <si>
    <t>42267+42426</t>
  </si>
  <si>
    <t>15.08.26+29.08.26</t>
  </si>
  <si>
    <t>30.08.26</t>
  </si>
  <si>
    <t>w.or rec ok 30.07.26-SMS kora 1st com rec-30.07.26 Rev pso sub ok-08.08.26-B/4 SK LOT-108178 -9.1 -6.3 1.0--Unifill com rec 14.08.26--Rev 2nd pso sub ok 17.08.26 Unifill--Bulk App Rec ok 22.08.26---31.0 kg fab use from 47987 job</t>
  </si>
  <si>
    <t>w.or rec ok 30.07.26-1st com rec 29.07.26--Need Rev pso sub ok 08.08.26-Unifill com rec 14.08.26--Rev 2nd pso sub ok 17.08.26 Unifill--Bulk App Rec ok 22.08.26--Bulk App Rec ok 22.08.26---job-47988 hote 31.0 kg fab use from 47987 job</t>
  </si>
  <si>
    <t>w.or rec ok 06.07.26-1st pso sub ok 15.07.26-/-Bulk App rec ok 28.07.26//Stenter Aop fab send 25.08.26--B/4 SK DIA-76.5/77 GSM 155,156,157/160 -6.3 -4.3 2.0</t>
  </si>
  <si>
    <t>1988+1993</t>
  </si>
  <si>
    <t>30.08.26+31.08.26</t>
  </si>
  <si>
    <t>01.09.26</t>
  </si>
  <si>
    <t>w.or rec ok 30.07.26--SMS kora 1st com rec-30.07.26 Rev pso sub ok-08.08.26-B/4 SK LOT-108178 -9.1 -6.3 1.0 GSM-228,25,27-Bulk App rec ok 14.08.26//76.0 kg fab in ok 22.08.26 ch-42360--82.0 kg fab unifill return for reprocess due to test not ok 26.08.26 send ch-2091---Rifinished fab in ok 31.08.26 ch-42459 Qty-83.0 kg</t>
  </si>
  <si>
    <t>42261+42459</t>
  </si>
  <si>
    <t>w.or rec ok 30.07.26-1st com rec 29.07.26--Need Rev pso sub ok 08.08.26-Bulk App rec ok-14.08.26//154 kg fab in ok 22.08.26 ch-42360--154.0 kg fab unifill return for reprocess due to test not ok 26.08.26 send ch-2091-Rifinished fab in ok 31.08.26 ch-42459 Qty-153.0 kg</t>
  </si>
  <si>
    <t>Aop Fabric Plan &amp; Execution Report (Bulk) -October-2026</t>
  </si>
  <si>
    <t>1st Slot (01.10.26 to 10.10.26)</t>
  </si>
  <si>
    <t>2nd Slots (11.10.26 to 20.10.26)</t>
  </si>
  <si>
    <t>3rd Slot (21.10.26 to 31.10.26)</t>
  </si>
  <si>
    <t>02.09.26</t>
  </si>
  <si>
    <t>w.or rec ok 30.07.26-1st pso sub ok 10.08.26- B/4 SK Lot-30782+83 -4.3 -1.4 1.0 gsm-240,238,242--1st com rec 18.08.26-Rev 2nd pso sub ok 22.08.26--Bulk App rec ok 28.08.26--In house finished</t>
  </si>
  <si>
    <t>w.or rec ok 30.07.26-1st pso sub ok 10.08.26 B/4 SK Lot-30782+83 -4.3 -1.4 1.0 gsm-240,238,242-1st com rec 18.08.26-Rev 2nd pso sub ok 22.08.26--Bulk App rec ok 28.08.26-In house finished</t>
  </si>
  <si>
    <t>w.or rec ok 06.07.26-1ST PSO SUB OK 06.07.26-Bulk App Rec ok 15.07.26-Stenter Aop Fab send--B/4 SK DIA-78.5/79 GSM-156,158 -7.1 -4.3 1.0</t>
  </si>
  <si>
    <t>w.or rec ok 27.07.26--Bulk App rec ok 06.08.26-B/4 SK 10.0 -10.0 3.0 DIA-72 GSM-195,203,204</t>
  </si>
  <si>
    <t>w.or rec ok-30.07.26-1st pso sub ok 23.01.26-SMS App rec ok 26.01-Fab in ok 29.01.26--Bulk App rec ok 29.07.26--7.0 kg short qty send 28.08.26 ch-2096 13263813 style send--6.0 KG SHORT QTY IN OK 02.09.26 CH-42469</t>
  </si>
  <si>
    <t>w.or rec ok 31.08.26-B/4 SK -5.7 -8.6 3.0 DIA-55.5/56 GSM-230,233,237,--Bulk App Rec ok-02.09.26</t>
  </si>
  <si>
    <t>w.or rec ok 31.08.26-Bulk App Rec ok 01.09.26</t>
  </si>
  <si>
    <t>w.or rec ok 31.08.26-B/4 SK -7.1 -8.0 1.0 DIA-55.5/56 GSM-226,220,231-Bulk App Rec ok 01.09.26</t>
  </si>
  <si>
    <t>03.09.26</t>
  </si>
  <si>
    <t>w.or rec ok 11.07.26-1st pso sub 27.07.26-Bulk App Rec ok 25.08.26-B/4 SK DIA-55/55.5/56 GSM 188,190,198,194,188 -2.9 -1.4 1.5</t>
  </si>
  <si>
    <t>w.or rec ok 11.07.26-Bulk App Rec ok-27.07.26-B/4 sk Lot-80812 Dia-55/55.5/ GSM-180/181/184 -4.3 -5.7 1.0</t>
  </si>
  <si>
    <t>w.or rec ok 11.07.26-1st pso sub ok 27.07.26-Bulk App Rec ok 25.08.26</t>
  </si>
  <si>
    <t>42412+42434+42488</t>
  </si>
  <si>
    <t>28.08.26+30.08.26+03.09.26</t>
  </si>
  <si>
    <t>w.or rec ok 11.07.26-Bulk App Rec ok-27.07.26-B/4 sk Lot-2010 Dia-54/55 GSM-195/185/185 -2.9 -1.4 1.5</t>
  </si>
  <si>
    <t>w.or rec ok 31.08.26-Bulk App Rec ok 01.09.26-B/4 SK LOT-109046 DIA-52/52.5/53/53.5 GSM-236/233/228/235/232 -2.9 -1.4 1.0</t>
  </si>
  <si>
    <t>05.09.26</t>
  </si>
  <si>
    <t>14-2710 TCX Aop</t>
  </si>
  <si>
    <t>Feather Gray Aop</t>
  </si>
  <si>
    <t>Chive Aop (Discharge Dye)</t>
  </si>
  <si>
    <t>Thinking Pink Aop</t>
  </si>
  <si>
    <t>45576 5th</t>
  </si>
  <si>
    <t>Pale Aqua Aop (Discharge Dye)</t>
  </si>
  <si>
    <t>S/J (20% Rec-Ctn)</t>
  </si>
  <si>
    <t>Chambray Blue Aop</t>
  </si>
  <si>
    <t>Pink Drink Aop</t>
  </si>
  <si>
    <t>French Vanilla Aop</t>
  </si>
  <si>
    <t>Forget Me Not Aop</t>
  </si>
  <si>
    <t>Dawn Pink Aop (Discharge Dye)</t>
  </si>
  <si>
    <t>Dark Navy Aop (Discharge Dye)</t>
  </si>
  <si>
    <t>46615 9th</t>
  </si>
  <si>
    <t>10 White Aop</t>
  </si>
  <si>
    <t>41 Dark Navy Aop (Discharge Dye)</t>
  </si>
  <si>
    <t>Optical White Aop (Check)</t>
  </si>
  <si>
    <t>Optical White Aop (Palm)</t>
  </si>
  <si>
    <t>Rose Taupe Aop</t>
  </si>
  <si>
    <t>OPtical White Aop (Palm)</t>
  </si>
  <si>
    <t>Optical White Aop (Hearts)</t>
  </si>
  <si>
    <t>Nantucket Breeze Aop</t>
  </si>
  <si>
    <t>Chestnut Aop</t>
  </si>
  <si>
    <t>New Maroon Aop</t>
  </si>
  <si>
    <t>2081+1339+3103</t>
  </si>
  <si>
    <t>22.08.26+03.09.26+05.09</t>
  </si>
  <si>
    <t>w.or rec ok 31.08.26-1st pso sub ok 29.08.26-Bulk App Rec ok-04.09.26</t>
  </si>
  <si>
    <t>06.09.26</t>
  </si>
  <si>
    <t>42459+42514</t>
  </si>
  <si>
    <t>31.08.26+06.09.26</t>
  </si>
  <si>
    <t>Antarctica Aop</t>
  </si>
  <si>
    <t>08.09.26</t>
  </si>
  <si>
    <t>1st pso sub ok 17.07.26-W.OR DUE---Bulk App Rec ok 28.07.26 knit plus App-Bulk fab ready for Rajib-24.07-B/4 SK LOT-107937 -8.0 -5.7 1.0 GSM-162/165---Short qty fab send 03.09.26 ch-3106 Qty-26.0 kg Style-13264522--Short Qty in ok 07.09.26 ch-2168 Qty-23.0 kg</t>
  </si>
  <si>
    <t>w.or rec ok 29.07.26-1st pso sub 25.07.26-Bulk App rec ok 08.08.26-B/4 SK LOT-100486 -5.7 -4.3 1.0 GSM-238,231--Short qty fab send 03.09.26 ch-3106 Qty-21.0 kg Style-13257906--Short Qty in ok 07.09.26 ch-2168 Qty-17.0 kg</t>
  </si>
  <si>
    <t>07.09.26</t>
  </si>
  <si>
    <t>3152+3157</t>
  </si>
  <si>
    <t>05.09.26+07.09.26</t>
  </si>
  <si>
    <t>3113+3157+3161</t>
  </si>
  <si>
    <t>05.09.26+07.09+07.09.26</t>
  </si>
  <si>
    <t>Bright White Aop-(Lavender Lustre)</t>
  </si>
  <si>
    <t>Bright White Aop-(Naval Academy)</t>
  </si>
  <si>
    <t>Bright White Aop-(Pink Marshmallow)</t>
  </si>
  <si>
    <t>Bright White Aop-(Flushing Pink)</t>
  </si>
  <si>
    <t>Bright White Aop-(Xenon Blue)</t>
  </si>
  <si>
    <t>Brilliant White Aop-(High Risk Red Aop)</t>
  </si>
  <si>
    <t>Brilliant White Aop-(Baritone Blue Aop)</t>
  </si>
  <si>
    <t xml:space="preserve">w.or rec ok-05.09.26- Bulk App Rec ok-01.09.26-B/4 TEST BAD SMELL </t>
  </si>
  <si>
    <t>w.or rec ok-05.09.26-Bulk App Rec ok-08.09.26</t>
  </si>
  <si>
    <t>42192+42261+42480+42559</t>
  </si>
  <si>
    <t>09.08.26+13.08.26+02.09.26+08.09.26</t>
  </si>
  <si>
    <t>42267+42546+42561</t>
  </si>
  <si>
    <t>15.08.26+07.09.26+09.09</t>
  </si>
  <si>
    <t>w.or rec ok 29.07.26-1st pso sub ok 15.07.26 Pig+Dis 2 op-(Bulk App rec ok -28.07.26/Knit plus App)-B/4 SK LOT-8145 -8.6 -5.7 1.0 LOT-8184 8.0 4.3 2.0---29.08.26-Finished fab Return Unifill due to hand feel issue for reprocess send Qty-500+497=997  kg ch-2049/2098 29.08.26---Rifinshed fab in 31.08.26 ch-42459 Qty=487+277=764 kg---250.0 kg reprocess fab in ok 02.09.26 ch-42480(Unifill Fin fab Return due to bad smell Qty=290+273+537=1100 kg ch-3103 05.09.26) (Reprocess fab in ok 08.0826 ch-42559 Qty-1053.0 kg)--2.0 kg knit plus send test purpose 09.09.26 ch-3163</t>
  </si>
  <si>
    <t>48615 2nd</t>
  </si>
  <si>
    <t>1st pso sub ok 17.08.26--(18.08.26 2-OP Pso sub)-PP App Rec ok 21.08.26--Bulk App Rec ok 01.09.26 Hand feel Need soft.---Bulk App Rec ok-01.09.26-w.or rec ok-05.09.26-B/4 SK LOT-109126 DIA 66/66.5 GSM-154/157/154 GSM HIGH -5.7 -7.1 1.0</t>
  </si>
  <si>
    <t>10.09.26</t>
  </si>
  <si>
    <t>42327+42480+42488+2026</t>
  </si>
  <si>
    <t>19.08.26+02.09.26+03.09.26+09.09</t>
  </si>
  <si>
    <t>w.or rec ok 11.07.26-1st pso sub ok 08.08.26-B/4 SK LOT-120903 -5.7 -4.3 1.0 GSM-177,174,178-Bulk App rec ok 15.08.26-/-24.08.26 547.0 kg Finished fab return Unifill due test problem for reprocess.send ch-2084--10.0 kg fab unifill ret 25.08.26 for test not ok--7.5 kg reprocess fab in 02.09.26///Knit plus test purpose 7.0 kg fab send 03.09.26 ch-3110--Reprocess fab in ok 03.09.26 ch-42488 Qty-554.0 kg---(07.09.26 ch 3157 Qty-558.0 kg fab return for Re-process Knit Plus Due to Lab test problem)Knit plus Reprocess Fab in ok-539.0 kg 09.09.26 ch-2026</t>
  </si>
  <si>
    <t>1953+1993+2026</t>
  </si>
  <si>
    <t>17.08.26+31.08.26+09.09.26</t>
  </si>
  <si>
    <t>w.or rec ok 11.08.26--1Roll Print kore App nite hobe confirm by Dyeing manager Sujon Sir &amp; In from by dulal vai Quality.B/4 SK -6.6 -5.7 2.0 B/4 GSM-278,266,265,273,2711st pso sub ok 13.07.26 PP App rec 13.07.26--Need Design change con by kobir vai 13.08.26--Rev New 1st Pso sub ok 17.08.26 --Bulk App rec ok 28.08.26---07.09.26 ch-3157 Qty-877.0 kg Finished fab return knit plus for reprocess due to shrinkage problem..Knit plus Reprocess Fab in ok-863.0 kg 09.09.26 ch-2026</t>
  </si>
  <si>
    <t>11.09.26</t>
  </si>
  <si>
    <t>w.or rec ok 11.07.26-1st pso sub ok 32 cm repit 06.08.26-/-3.2 cm strike off dite hobe 15.08.26 Shaymoly Madam/3.2 cm repit 2nd pso sub 17.08.26//B/4 SK LOT-108391 -5.7 -5.7 1.0--6.2 cm repit pso sub 25.08.26--Bulk App Rec ok-02.09.26---Unifill to NFL Grey fab return 420.0 kg ch-42590 10.09.06 due to shade problem</t>
  </si>
  <si>
    <t>w.or rec ok 06.07.26-1st pso sub ok 20.07.26-1st com rec 30.07.26 Need Rev pso sub ok 31.08.26//Stenter Aop fab send 25.08.26-B/4 SK DIA-77.5/78/78.5 GSM 154,155,160 -6.3 -3.4 2.0-Bulk App Rec ok-11.09.26</t>
  </si>
  <si>
    <t>12.09.26</t>
  </si>
  <si>
    <t>w.or rec ok-11.09.26-1st pso sub ok 10.08.26/Abilablle fab-Bulk App Rec ok 22.08.26</t>
  </si>
  <si>
    <t>w.or rec ok-11.09.26-Base col-Martini Olive-1st pso sub ok 11.07.26-1st com rec 27.07.26 due to Ground colour change &amp; print col better match-B/4 SK -5.7 -5.7 2.0 DIA-74 GSM-159/164-REV 2ND PSO SUB OK 07.09.26</t>
  </si>
  <si>
    <t>w.or rec ok 10.08.26-1st pso sub ok 06.08.26-Bulk App Rec ok 13.08.26--B/4 Aop fab Colour spot confirm dulal vai-B/4 SK DIA-52/52,52.5,54 GSM-196,192,200,208 -7.4 -10.0 1.0</t>
  </si>
  <si>
    <t>w.or rec ok 18.08.26-Bulk App Rec ok-07.09.26-B/4 SK DIA-54/58 GSM-200/175,177 -8.6 -5.7 1.0</t>
  </si>
  <si>
    <t>w.or rec ok-05.09.26-1st pso sub ok 06.08.26 Available fab--Acc sample fab shade sub19.08///Bulk App Rec ok-19.08.26-B/4 SK DIA-70/72,73 GSM-240/240,241,242 -4.3 -8.0 1.0(LOT-109081)</t>
  </si>
  <si>
    <t>w.or rec ok 09.09.26-Bulk App Rec ok-03.09.26--CH-10.09-B/4 SK DIA- 68/71,72,70,73,67/69 GSM-180/174,166,175,186,163 -4.3 -4.3 1.0--DIA-68/71 GSM-180/168,174,166 -8.6 -7.1 1.0(LOT-109201)</t>
  </si>
  <si>
    <t>w.or rec ok 09.09.26-Bulk App Rec ok-03.09.26-CH-10.09-B/4 SK DIA-68/69.5,70 GSM-180/160,156,164,165 -8.6 -5.7 1.0</t>
  </si>
  <si>
    <t>w.or rec ok-05.09.26-Bulk App Rec ok-08.09.26-B/4 SK DIA-68/69.5,70 GSM-180/160,156,164,165 -8.6 -5.7 1.0</t>
  </si>
  <si>
    <t>w.or rec ok 18.08.26-bulk App Rec ok-10.09.26-B/4 SK DIA-54/57 GSM-200/177,183 -4.3 2.9 1.0</t>
  </si>
  <si>
    <t>w.or rec ok 11.07.26-Bulk App Rec ok-27.07.26-B/4 SK DIA-50/51.5,52 GSM-200/189,182,199 -4.3 -4.3 1.0</t>
  </si>
  <si>
    <t>w.or rec ok 10.08.26-Bulk App Rec ok-01.08.26-B/4 SK- DIA-62/62,62.5  GSM-150/145 -4.3 -7.7 2.0</t>
  </si>
  <si>
    <t>w.or rec ok 10.08.26-Bulk App Rec ok-01.08.26-B/4 SK- DIA-62/62,62.5  GSM-150/141 -4.3 -7.7 2.0</t>
  </si>
  <si>
    <t>w.or rec ok 10.08.26-Bulk App Rec ok-01.08.26-B/4 SK- DIA-62/62,62.5  GSM-150/140,143,144  -4.3 -7.7 2.0</t>
  </si>
  <si>
    <t>3152+3113+3164</t>
  </si>
  <si>
    <t>3157+3164</t>
  </si>
  <si>
    <t>05.09.26+05.09+07.09</t>
  </si>
  <si>
    <t>07.09.26+07.09</t>
  </si>
  <si>
    <t>w.or rec ok-05.09.26-Bulk App Rec ok-28.08.26-B/4 SK DIA-72/74,74.5  GSM-140/141,144 -6.6 -4.3 1.0(LOT-109205) DIA-72/74,74.5 GSM-140/140,142 -6.9 -7.4 1.0 (LOT-109153)-DIA-72/74,75,73 GSM-140/144,139,140,143 -5.7 -4.9 5.0 (LOT-109154)--Last fab send-10.09</t>
  </si>
  <si>
    <t>3152+3157+3127</t>
  </si>
  <si>
    <t>3113+3127</t>
  </si>
  <si>
    <t>05.09.26+07.09+12.09</t>
  </si>
  <si>
    <t>05.09.26+12.09</t>
  </si>
  <si>
    <t>14.09.26</t>
  </si>
  <si>
    <t>13.09.26</t>
  </si>
  <si>
    <t>w.or rec ok 29.07.26-1ST PSO SUB OK 25.06.26-1st com rec 20.07.26-2nd pso sub ok 29.07.26 Ly-Fleece-Bulk App rec ok 08.08.26-B/4 SK LOT-20585 -5.7 -2.9 1.0-Acc fab send date-25.08.26 challan date Misstake----(12.0 kg short qty send 12.09.26 ch-3127 Style-13226071)(9.0 kg short Qty in ok 13.09.26 ch-2176)</t>
  </si>
  <si>
    <t>42161+42621</t>
  </si>
  <si>
    <t>08.08.26+13.09.26</t>
  </si>
  <si>
    <t>w.or rec ok 24.07.26 Bulk App Rec ok-22.07.26--230.0 KG FIN FAB RET UNIFILL DUE TO QUALITY PROBLEM 10.08.26 ch-1246-B/4 SK LOT--2.9 -2.9 1.0--R/P fab in ok 21.08.26 229 kg--21.0 kg short qty in ok 13.09.26</t>
  </si>
  <si>
    <t>41382+42611</t>
  </si>
  <si>
    <t>20.06.26+13.09.26</t>
  </si>
  <si>
    <t>w.or rec ok-27.03.26----Need new pso sub korte hobe New artwork 05.05.26--B-4 SK -8.6 -0.6 1.0 % GSM-217,215,212,222--New 1st pso sub ok 08.06.26-bulk App rec 17.06.26--55.0 kg Print Reject fab in ok 13.09.26</t>
  </si>
  <si>
    <t>1217+3128</t>
  </si>
  <si>
    <t>31.07.26+12.09</t>
  </si>
  <si>
    <t>w.or rec ok 12.09.26-1st pso sub ok 31.07.26-1st com rec 13.08.26-Rev 2nd pso sub ok 21.08.26-Bulk App Rec ok 26.08.26-B/4 SK LOT-(37005)DIA-77/77,77.5,78  GSM-160/163,161,160 -4.3 -5.7 1.0</t>
  </si>
  <si>
    <t>w.or rec ok 12.09.26-1st pso sub ok 29.07.26-1st com rec 13.08.26-Rev 2nd pso sub ok 21.08.26-Bulk App Rec ok 26.08.26-B/4 SK (LOT-26037001)DIA- 77/77,78 GSM-160/152,153,155,160 -4.3 -7.1 1.0</t>
  </si>
  <si>
    <t>1993+2185</t>
  </si>
  <si>
    <t>31.08.26+14.09.26</t>
  </si>
  <si>
    <t>2027+2185</t>
  </si>
  <si>
    <t>09.09.26+14.09.26</t>
  </si>
  <si>
    <t>w.or rec ok-05.09.26-1st pso sub ok 17.08.26-Bulk App Rec ok with comments 01.09.26 Need Handfeel soft &amp; print reajister.---7.0 kg fab from sample use hand over by Mr.Hannan vai 10.09--Test roll in ok 14.09</t>
  </si>
  <si>
    <t>15.09.26</t>
  </si>
  <si>
    <t>w.or rec ok 15.09.26</t>
  </si>
  <si>
    <t>1339+3172</t>
  </si>
  <si>
    <t>03.09.26+15.09.26</t>
  </si>
  <si>
    <t>3127+3139</t>
  </si>
  <si>
    <t>12.09.26+15.09</t>
  </si>
  <si>
    <t>42327+42488+2026+2222+42648</t>
  </si>
  <si>
    <t>19.08.26+03.09.26+09.09+10.09+15.09</t>
  </si>
  <si>
    <t>w.or rec ok 11.07.26-1st pso sub ok 08.08.26-B/4 SK LOT-120904 -5.7 -4.3 1.0 GSM-176-Bulk App rec ok 15.08.26/-24.08.26 129.0 kg Finished fab return Unifill due test problem for reprocess.send ch-2084---Reporcess fab in ok 03.09.26 ch-42488 Qty-73.0--(07.09.26 ch 3157 Qty-74.0 kg fab return for Re-process Knit Plus Due to Lab test problem)Knit plus Reprocess Fab in ok-58.0 kg 09.09.26 ch-2026--16.0 kg fab in ok 10.09 ch-2222----17.0 kg fab unifill in ok 15.09</t>
  </si>
  <si>
    <t>16.09.26</t>
  </si>
  <si>
    <t>17.09.26</t>
  </si>
  <si>
    <t>2092+3176</t>
  </si>
  <si>
    <t>27.08.26+16.09.26</t>
  </si>
  <si>
    <t>3139+3176</t>
  </si>
  <si>
    <t>15.09.26+16.09.26</t>
  </si>
  <si>
    <t>Crockery Aop</t>
  </si>
  <si>
    <t>L/Interlock</t>
  </si>
  <si>
    <t>Sepia Aop</t>
  </si>
  <si>
    <t>GT-Maurices</t>
  </si>
  <si>
    <t>Slub S/J</t>
  </si>
  <si>
    <t>Mannan</t>
  </si>
  <si>
    <t>Taqwa</t>
  </si>
  <si>
    <t>Winter Pear Aop</t>
  </si>
  <si>
    <t>Icy Pink Aop</t>
  </si>
  <si>
    <t>Barely Pink Aop</t>
  </si>
  <si>
    <t>Provincial Blue Aop</t>
  </si>
  <si>
    <t>Slub L/S/J</t>
  </si>
  <si>
    <t>43319 22th</t>
  </si>
  <si>
    <t>Coca Mocha Aop (Discharge Dye)</t>
  </si>
  <si>
    <t>French Vanilla Aop (Discharge Dye)</t>
  </si>
  <si>
    <t>Silver Lining Aop</t>
  </si>
  <si>
    <t>46499 3rd</t>
  </si>
  <si>
    <t>45395 2nd</t>
  </si>
  <si>
    <t>Night Sky Aop (Discharge Dye)</t>
  </si>
  <si>
    <t>Chocolate Martini Aop (Discharge Dye)</t>
  </si>
  <si>
    <t>RFD Aop (Ginger Root)</t>
  </si>
  <si>
    <t>60/40 CVC S/J</t>
  </si>
  <si>
    <t>Grape Shake Aop</t>
  </si>
  <si>
    <t>Blue Haze Aop</t>
  </si>
  <si>
    <t>Raindrops On Roses Aop</t>
  </si>
  <si>
    <t>Optical White Aop (Palms)</t>
  </si>
  <si>
    <t>w.or rec ok-05.09.26-1st pso sub ok 06.08.26 Available fab-Acc pp fab pso sub-19.08--1st com rec 19.08.26 Pantone change from Buyer--Rev 2nd pso sub ok 24.08.26-B/4 SK DIA-70/72 GSM-240/236,237,241 -4.3 -6.3 1.0(LOT-109090)--Rev 2nd pso sub ok-17.09.26</t>
  </si>
  <si>
    <t>1st pso sub ok 19.08.26-2 op1st com rec-01.09.26-Rev 2nd pso sub ok-10.09-w.or rec ok-05.09.26-B/4 SK DIA-64/66,66.5,67  GSM-140/140,138 -5.7 -7.1 1.0(LOT-109132)-Bulk App Rec ok-17.09.26</t>
  </si>
  <si>
    <t>w.or rec ok-05.09.26-1st pso sub ok 17.08.26-1st com rec ok 01.09.26 -Rev 2nd pso sub ok-09.09.26-B/4 SK DIA-64/66,66.5 GSM-140/154,157 -5.7 -7.1 1.0 (LOT-109126)GSM HIGH-Bulk App Rec ok-17.09.26</t>
  </si>
  <si>
    <t>w.or rec ok-05.09.26-1st pso sub ok 17.08.26-1st com rec ok 01.09.26 -Rev 2nd pso sub ok-09.09.26-B/4 SK DIA-64/66,66.5 GSM-140/138,139 -7.7 -7.7 1.0 (LOT-109183)-Bulk App Rec ok-17.09.26</t>
  </si>
  <si>
    <t>W.or rec ok 12.08.26-Need pso--B/4 SK LOT-108330 DIA-70 GSM-164,160,163,165 -7.4 -4.3 1.0-1st pso sub ok 24.08.26 Available fab.--1st com rec 02.09.26 comments follow pp &amp; bulk proceed-Rev 2nd pso sub-10.09---10.0 kg fab sample use 11.09.26-Bulk App Rec ok-17.09.26 1 col comments with bulk proceed.</t>
  </si>
  <si>
    <t>Date:22.09.26</t>
  </si>
  <si>
    <t>22.09.26</t>
  </si>
  <si>
    <t>42514+42741</t>
  </si>
  <si>
    <t>06.09.26+21.09.26</t>
  </si>
  <si>
    <t>20.09.26</t>
  </si>
  <si>
    <t>225810+225765</t>
  </si>
  <si>
    <t>21.09.26+20.09</t>
  </si>
  <si>
    <t>2221+2243</t>
  </si>
  <si>
    <t>10.09.26+20.09</t>
  </si>
  <si>
    <t>19.09.26</t>
  </si>
  <si>
    <t>w.or rec ok-22.09.26</t>
  </si>
  <si>
    <t>w.or rec ok 22.09.26</t>
  </si>
  <si>
    <t>w.or rec ok 29.07.26-Pso sub ok 29.07.26-Bulk App rec ok 08.08.26--within shrinkage Aop send--24.0 kg short Qty send 16.09.26--22.0 kg short qty in ok 19.09.26-ch-2240</t>
  </si>
  <si>
    <t>18.08.26+19.09.26</t>
  </si>
  <si>
    <t>2066+3138</t>
  </si>
  <si>
    <t>1211+990+3188</t>
  </si>
  <si>
    <t>29.07.26+30.07.26+22.09</t>
  </si>
  <si>
    <t>992+1223+997+1230+3148</t>
  </si>
  <si>
    <t>01.08.26+01.08.26+01.08.26+07.08.26+22.09</t>
  </si>
  <si>
    <t>w.or rec ok 29.07.26-1st pso sub ok 20.07.26-Bulk App rec ok-30.07.26-B/4 SK LOT-108297/98/96 -5.1 -5.7 1.0 QTY-765 KG LOT-108222 -7.7 -7.1 5.5///187+637=824 kg finished fab Knit plus return due to shrinkage high 21.08.26 ch-2076---Re process fab in ok 23.08.26 ch-1966 Qty-625 kg--178 kg Re fin fab in ok 24.08.26 ch-1971=Total=625+178=803 kg////05.09.26  ch-3113 / 781.0 kg Finished  fab knit plus return due to bad smell for reprocess---07.09.26 Re finished fab in ok 734.0 kg ch-2169---64.0 kg Short Qty send 22.09.26</t>
  </si>
  <si>
    <t>23.09.26</t>
  </si>
  <si>
    <t>2243+2043</t>
  </si>
  <si>
    <t>20.09.26+22.09</t>
  </si>
  <si>
    <t>2240+2043</t>
  </si>
  <si>
    <t>19.09.26+22.09</t>
  </si>
  <si>
    <t>Print Type</t>
  </si>
  <si>
    <t>w.or rec ok-11.09.26-1st pso sub ok 24.08.26 Available fab.--Acctual Fab pso sub 14.09.26-Rev 2nd pso sub ok 22.09.26--Bulk App rec ok-23.09.26</t>
  </si>
  <si>
    <t>W.or rec ok 10.07.26-B/4 SK LOT-108452 -7.1 -4.9 1.0 GSM-248,247,246,247-1ST PSO SUB OK 30.06.26---1ST COM REC 18.07.26 RED COLOUR SWTCH MATCHING--Rev pso sub 13.08.26--Bulk fab hote shade sub-19.08.26--LOT-108593 -7.1 -4.9 1.0--2nd com &amp; swatch rec 02.09.26--Rev 3rd Pso sub ok 14.09.26--3.0 kg fab sample purpose use-Bulk App Rec ok-23.09.26</t>
  </si>
  <si>
    <t>w.or rec ok-11.09.26-1st pso sub ok -10.08.26 Availablle fab-1st com rec 02.09.26 comments follow pp &amp; bulk proceed -Rev 2nd pso sub ok-09.09.26-B/4 SK LOT-(110297)DIA-64/64,65 GSM-160/154,152,150,153,149,157 -6.6 -4.3 1.0-Bulk App Rec ok-23.09.26</t>
  </si>
  <si>
    <t>48442,48443,</t>
  </si>
  <si>
    <t>48552 2nd,48615 2nd</t>
  </si>
  <si>
    <t>2nd Slots (11.11.26 to 20.11.26)</t>
  </si>
  <si>
    <t>1st Slot (01.11.26 to 10.11.26)</t>
  </si>
  <si>
    <t>Aop Fabric Plan &amp; Execution Report (Bulk) -November-2026</t>
  </si>
  <si>
    <t>48206 3rd</t>
  </si>
  <si>
    <t>46615 10th</t>
  </si>
  <si>
    <t>L/S/J (Rec-Ctn)</t>
  </si>
  <si>
    <t>Pale Lilac Aop</t>
  </si>
  <si>
    <t>Cloud Dancer Aop (Heart)</t>
  </si>
  <si>
    <t>Cloud Dancer Aop (Dusty Flower)</t>
  </si>
  <si>
    <t>Oceana Aop</t>
  </si>
  <si>
    <t>Optical White Aop</t>
  </si>
  <si>
    <t>Jet Stream Aop (As Art)</t>
  </si>
  <si>
    <t>Jet Stream Aop (Flower)</t>
  </si>
  <si>
    <t>Optical White Aop (Stripe/Check)</t>
  </si>
  <si>
    <t>Jet Stream Aop (Stripe)</t>
  </si>
  <si>
    <t>Lilac Snow Aop</t>
  </si>
  <si>
    <t>Cooling Spray Aop</t>
  </si>
  <si>
    <t>Birch Aop</t>
  </si>
  <si>
    <t>Birch Aop (17 CM)</t>
  </si>
  <si>
    <t>Birch Aop (9 CM)</t>
  </si>
  <si>
    <t>Shaker Imran</t>
  </si>
  <si>
    <t>11-0605 Tcx Aop (Flower)</t>
  </si>
  <si>
    <t>11-0605 Tcx Aop (Stripe)</t>
  </si>
  <si>
    <t>3139+2181+2196</t>
  </si>
  <si>
    <t>15.09.26+16.09.26+23.09</t>
  </si>
  <si>
    <t>15.09.26+23.09</t>
  </si>
  <si>
    <t>3139+2196</t>
  </si>
  <si>
    <t>w.or rec ok-05.09.26-Bulk App Rec ok-11.09.26 with swatch follw.-B/4 SK DIA-72/74 GSM-140/145,143,142 -4.9 -4.3 3.0 (LOT-109067)--Rev pso sub ok 15.09 App rec ok 15.09.26--Bulk App rec 23.09.26</t>
  </si>
  <si>
    <t>Pigment</t>
  </si>
  <si>
    <t>Discharge</t>
  </si>
  <si>
    <t>Digital</t>
  </si>
  <si>
    <t xml:space="preserve">1st pso sub ok 02.04.26-SMS App rec 10.04.26-Fab in ok 15.04.26 </t>
  </si>
  <si>
    <t xml:space="preserve">Knit Plus SMS kora 1st pso sub ok 02.04.26-SMS App rec 10.04.26-Fab in ok 15.04.26 </t>
  </si>
  <si>
    <t>-1st pso sub ok 04.04.26-Fab send ok 04.04.26 ch-2060 Qty-20.0 kg-Fab in ok 12.04.26 ch-40427 Qty-17.0 kg</t>
  </si>
  <si>
    <t>Knit Plus SMS Kora 1st pso sub ok 20.04.26-Fab send ok 25.04.26 ch-2854 Qty-25.0 kg app rec- 25.04-App rec ok 25.04.26 with comments-</t>
  </si>
  <si>
    <t>w.or rec ok 24.09.26</t>
  </si>
  <si>
    <t>w.or rec ok 24.09.26-1st pso sub ok 22.08.26-1st com rec 11.09.26-Rev 2nd pso sub ok 16.09.26</t>
  </si>
  <si>
    <t>w.or rec ok 24.09.26-1st pso sub ok 24.08.26-1st com rec 11.09.26-Rev 2nd pso sub ok 16.09.26</t>
  </si>
  <si>
    <t>w.or rec ok 24.09.26-1st pso sub ok 22.08.26</t>
  </si>
  <si>
    <t>w.or rec ok 24.09.26--1st pso sub ok 24.08.26-1st com rec 11.09.26-Rev 2nd pso sub ok 16.09.26</t>
  </si>
  <si>
    <t>w.or rec ok 23.9.26-</t>
  </si>
  <si>
    <t>w.or rec ok 23.09.26-</t>
  </si>
  <si>
    <t>25.09.26</t>
  </si>
  <si>
    <t>Date: 25.09.26</t>
  </si>
  <si>
    <t>1906+1952+1917+1966+1971+1981+2169+2406</t>
  </si>
  <si>
    <t>15.08.26+16.08.26+18.08.26+23.08.26+24.08.26+27.08.26+07.09+24.09.26</t>
  </si>
  <si>
    <t>2236+2406+2406</t>
  </si>
  <si>
    <t>17.09.26+24.09.26+24.09.26</t>
  </si>
  <si>
    <t>w.or rec ok -08.09.26--CH-10.09-B/4 SK DIA-64/66 GSM-140/142 -6.6 -5.7 1.0--1st pso sub ok 21.09.26</t>
  </si>
  <si>
    <t>w.or rec ok -08.09.26</t>
  </si>
  <si>
    <t>w.or rec ok 16.09.26-Bulk App Rec ok 25.09.26</t>
  </si>
  <si>
    <t>1307+3303</t>
  </si>
  <si>
    <t>12.08.26+25.09.26</t>
  </si>
  <si>
    <t>26.09.26</t>
  </si>
  <si>
    <t>42161+42345+42546+42824</t>
  </si>
  <si>
    <t>08.08.26+20.08.26+07.09.26+24.09</t>
  </si>
  <si>
    <t>1st pso sub ok 20.07.26(200+38=238 kg fab knit plus send need return NFL ch-837/982 date-25.07.26)-Bulk App rec ok-30.07.26///1st time Knit plus Bulk fab send=200+38=238 kg ch-837+982 Date-25.07+25.07//Knit plus to NFL Grey fab return=217.0 kg Ch-1764 Date-30.07.26--Due to 21.0 kg fab short return.-B/4 SK LOT-268395 -7.1 -6.3 2.0--58.0 kg Fab send ok 22.09-56.0 kg short qty in ok 24.09.26</t>
  </si>
  <si>
    <t>w.or rec ok 22.09.26-Bulk App Rec ok 23.09.26</t>
  </si>
  <si>
    <t>B/4 SK- DIA-64/64.5,654  GSM-160/164,164 -5.1 -5.7 2.0-Bulk App Rec ok 23.09.26</t>
  </si>
  <si>
    <t>w.or rec ok-22.09.26-Bulk App Rec ok 23.09.26</t>
  </si>
  <si>
    <t>w.or rec ok 25.09.26-1st pso sub ok 21.09.26</t>
  </si>
  <si>
    <t>w.or rec ok 25.09.26-</t>
  </si>
  <si>
    <t>w.or rec ok 25.09.26--1st pso sub ok 21.09.26</t>
  </si>
  <si>
    <t>w.or rec ok 25.09.26--Pso sub due</t>
  </si>
  <si>
    <t>w.or rec ok 25.9.26-</t>
  </si>
  <si>
    <t>w.or rec ok 26.09.26-</t>
  </si>
  <si>
    <t>48097,48037,47807,47880,48132,48615,48552 2nd,48442,48443,48615 2nd,</t>
  </si>
  <si>
    <t>Date:29.09.26</t>
  </si>
  <si>
    <t>29.09.26</t>
  </si>
  <si>
    <t>2405+2351</t>
  </si>
  <si>
    <t>24.09.26+26.09</t>
  </si>
  <si>
    <t>2044+2352</t>
  </si>
  <si>
    <t>22.09.26+26.09</t>
  </si>
  <si>
    <t>2352+2356</t>
  </si>
  <si>
    <t>26.09.26+27.09</t>
  </si>
  <si>
    <t>1971+2356</t>
  </si>
  <si>
    <t>24.08.26+27.09.26</t>
  </si>
  <si>
    <t>28.09.26</t>
  </si>
  <si>
    <t>2406+2417</t>
  </si>
  <si>
    <t>24.09.26+28.09.26</t>
  </si>
  <si>
    <t>2352+2356+2417</t>
  </si>
  <si>
    <t>26.09.26+27.09+28.09</t>
  </si>
  <si>
    <t>1246+2159+3200</t>
  </si>
  <si>
    <t>10.08.26+03.09+28.09</t>
  </si>
  <si>
    <t>w.or rec ok 29.07.26-1st pso sub ok 20.07.26-Bulk App rec ok-30.07.26-B/4 SK LOT-268874 -5.7 6.6 3.0 LOT-268907- -6.3 -5.7 2.5 B/4 REPORT REC-15.08--LOT-9606 -7.1 -5.7 1.0--93.0 kg short qty send 28.09.26</t>
  </si>
  <si>
    <t>2196+3757</t>
  </si>
  <si>
    <t>23.09.26+28.09</t>
  </si>
  <si>
    <t>3310+3199</t>
  </si>
  <si>
    <t>26.09.26+28.09.26</t>
  </si>
  <si>
    <t>w.or rec ok 23.09.26-app rec ok-25.08</t>
  </si>
  <si>
    <t>w.or rec ok 23.09.26-25.08.26</t>
  </si>
  <si>
    <t>w.or rec ok 22.09.26 app rec- ok-25.08</t>
  </si>
  <si>
    <t>w.or rec ok 24.09.26-1st pso sub ok 22.08.26-1st com rec 11.09.26-Rev 2nd pso sub ok 16.09.26 com rec-28.09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</si>
</sst>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OVS&quot;\ 0"/>
    <numFmt numFmtId="165" formatCode="&quot;BSNMT&quot;\ 0"/>
    <numFmt numFmtId="166" formatCode="&quot;BSONL&quot;\ 0"/>
    <numFmt numFmtId="167" formatCode="&quot;UT&quot;\ 0"/>
    <numFmt numFmtId="168" formatCode="&quot;GT&quot;\ 0"/>
  </numFmts>
  <fonts count="10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Times New Roman"/>
      <family val="1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sz val="15"/>
      <name val="Times New Roman"/>
      <family val="1"/>
    </font>
    <font>
      <b/>
      <sz val="14"/>
      <color theme="1"/>
      <name val="Calibri"/>
      <family val="2"/>
      <scheme val="minor"/>
    </font>
    <font>
      <sz val="15"/>
      <color indexed="8"/>
      <name val="Times New Roman"/>
      <family val="1"/>
    </font>
    <font>
      <sz val="15"/>
      <color indexed="8"/>
      <name val="Arial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3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81"/>
      <name val="Tahoma"/>
      <family val="2"/>
    </font>
    <font>
      <sz val="13"/>
      <name val="Arial"/>
      <family val="2"/>
    </font>
    <font>
      <b/>
      <sz val="13"/>
      <name val="Arial"/>
      <family val="2"/>
    </font>
    <font>
      <b/>
      <sz val="13"/>
      <name val="Calibri"/>
      <family val="2"/>
    </font>
    <font>
      <b/>
      <sz val="13"/>
      <color theme="1"/>
      <name val="Calibri"/>
      <family val="2"/>
      <scheme val="minor"/>
    </font>
    <font>
      <b/>
      <sz val="13"/>
      <name val="Arial Narrow"/>
      <family val="2"/>
    </font>
    <font>
      <b/>
      <sz val="13"/>
      <name val="New time roms"/>
    </font>
    <font>
      <sz val="13"/>
      <name val="New time roms"/>
    </font>
    <font>
      <sz val="13"/>
      <name val="Times New Roman"/>
      <family val="1"/>
    </font>
    <font>
      <b/>
      <sz val="13"/>
      <name val="Times New Roman"/>
      <family val="1"/>
    </font>
    <font>
      <sz val="25"/>
      <name val="Calibri"/>
      <family val="2"/>
      <scheme val="minor"/>
    </font>
    <font>
      <sz val="25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name val="Arial Narrow"/>
      <family val="2"/>
    </font>
    <font>
      <sz val="8"/>
      <name val="Arial"/>
      <family val="2"/>
    </font>
    <font>
      <sz val="11"/>
      <name val="New time roms"/>
    </font>
    <font>
      <sz val="11"/>
      <name val="Arial"/>
      <family val="2"/>
    </font>
    <font>
      <sz val="11"/>
      <name val="Times New Roman"/>
      <family val="1"/>
    </font>
    <font>
      <b/>
      <sz val="11"/>
      <name val="Calibri"/>
      <family val="2"/>
    </font>
    <font>
      <b/>
      <sz val="11"/>
      <name val="New time roms"/>
    </font>
    <font>
      <b/>
      <sz val="11"/>
      <name val="Times New Roman"/>
      <family val="1"/>
    </font>
    <font>
      <b/>
      <sz val="11"/>
      <name val="Arial"/>
      <family val="2"/>
    </font>
    <font>
      <b/>
      <sz val="1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Arial"/>
      <family val="2"/>
    </font>
    <font>
      <sz val="25"/>
      <color theme="1"/>
      <name val="Arial"/>
      <family val="2"/>
    </font>
    <font>
      <sz val="22"/>
      <color theme="1"/>
      <name val="Arial"/>
      <family val="2"/>
    </font>
    <font>
      <sz val="2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Calibri"/>
      <family val="2"/>
    </font>
    <font>
      <sz val="12"/>
      <name val="Arial Narrow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99CC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42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  <xf numFmtId="0" fontId="27" fillId="0" borderId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44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 applyNumberFormat="0" applyBorder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1" fillId="0" borderId="0" applyNumberFormat="0" applyBorder="0" applyAlignment="0" applyProtection="0"/>
    <xf numFmtId="0" fontId="2" fillId="0" borderId="0"/>
    <xf numFmtId="0" fontId="29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0"/>
    <xf numFmtId="43" fontId="28" fillId="0" borderId="0" applyFont="0" applyFill="0" applyBorder="0" applyAlignment="0" applyProtection="0"/>
    <xf numFmtId="0" fontId="16" fillId="0" borderId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5" borderId="0" applyNumberFormat="0" applyBorder="0" applyAlignment="0" applyProtection="0"/>
    <xf numFmtId="0" fontId="31" fillId="9" borderId="0" applyNumberFormat="0" applyBorder="0" applyAlignment="0" applyProtection="0"/>
    <xf numFmtId="0" fontId="32" fillId="26" borderId="17" applyNumberFormat="0" applyAlignment="0" applyProtection="0"/>
    <xf numFmtId="0" fontId="33" fillId="27" borderId="18" applyNumberFormat="0" applyAlignment="0" applyProtection="0"/>
    <xf numFmtId="0" fontId="34" fillId="0" borderId="0" applyNumberFormat="0" applyFill="0" applyBorder="0" applyAlignment="0" applyProtection="0"/>
    <xf numFmtId="0" fontId="35" fillId="10" borderId="0" applyNumberFormat="0" applyBorder="0" applyAlignment="0" applyProtection="0"/>
    <xf numFmtId="0" fontId="36" fillId="0" borderId="19" applyNumberFormat="0" applyFill="0" applyAlignment="0" applyProtection="0"/>
    <xf numFmtId="0" fontId="37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0" applyNumberFormat="0" applyFill="0" applyBorder="0" applyAlignment="0" applyProtection="0"/>
    <xf numFmtId="0" fontId="39" fillId="13" borderId="17" applyNumberFormat="0" applyAlignment="0" applyProtection="0"/>
    <xf numFmtId="0" fontId="40" fillId="0" borderId="22" applyNumberFormat="0" applyFill="0" applyAlignment="0" applyProtection="0"/>
    <xf numFmtId="0" fontId="41" fillId="28" borderId="0" applyNumberFormat="0" applyBorder="0" applyAlignment="0" applyProtection="0"/>
    <xf numFmtId="0" fontId="2" fillId="29" borderId="23" applyNumberFormat="0" applyFont="0" applyAlignment="0" applyProtection="0"/>
    <xf numFmtId="0" fontId="42" fillId="26" borderId="24" applyNumberFormat="0" applyAlignment="0" applyProtection="0"/>
    <xf numFmtId="0" fontId="43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6" fillId="0" borderId="0"/>
    <xf numFmtId="44" fontId="2" fillId="0" borderId="0" applyFont="0" applyFill="0" applyBorder="0" applyAlignment="0" applyProtection="0"/>
    <xf numFmtId="0" fontId="47" fillId="30" borderId="0" applyNumberFormat="0" applyBorder="0" applyAlignment="0" applyProtection="0"/>
    <xf numFmtId="0" fontId="48" fillId="7" borderId="14" applyNumberFormat="0" applyAlignment="0" applyProtection="0"/>
    <xf numFmtId="0" fontId="49" fillId="2" borderId="14" applyNumberFormat="0" applyAlignment="0" applyProtection="0"/>
    <xf numFmtId="0" fontId="16" fillId="0" borderId="0"/>
    <xf numFmtId="0" fontId="46" fillId="0" borderId="0"/>
    <xf numFmtId="44" fontId="2" fillId="0" borderId="0" applyFont="0" applyFill="0" applyBorder="0" applyAlignment="0" applyProtection="0"/>
    <xf numFmtId="0" fontId="47" fillId="30" borderId="0" applyNumberFormat="0" applyBorder="0" applyAlignment="0" applyProtection="0"/>
    <xf numFmtId="0" fontId="48" fillId="7" borderId="14" applyNumberFormat="0" applyAlignment="0" applyProtection="0"/>
    <xf numFmtId="0" fontId="49" fillId="2" borderId="14" applyNumberFormat="0" applyAlignment="0" applyProtection="0"/>
    <xf numFmtId="0" fontId="16" fillId="0" borderId="0"/>
    <xf numFmtId="0" fontId="46" fillId="0" borderId="0"/>
    <xf numFmtId="44" fontId="2" fillId="0" borderId="0" applyFont="0" applyFill="0" applyBorder="0" applyAlignment="0" applyProtection="0"/>
    <xf numFmtId="0" fontId="47" fillId="30" borderId="0" applyNumberFormat="0" applyBorder="0" applyAlignment="0" applyProtection="0"/>
    <xf numFmtId="0" fontId="48" fillId="7" borderId="14" applyNumberFormat="0" applyAlignment="0" applyProtection="0"/>
    <xf numFmtId="0" fontId="49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0" fontId="26" fillId="0" borderId="0" applyNumberFormat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20" fillId="0" borderId="0" applyNumberFormat="0" applyBorder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21" fillId="0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6" fillId="0" borderId="0"/>
    <xf numFmtId="0" fontId="46" fillId="0" borderId="0"/>
    <xf numFmtId="0" fontId="2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44" fillId="0" borderId="25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43" fontId="2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43" fontId="2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7" fillId="4" borderId="3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4" borderId="0" xfId="0" applyFill="1"/>
    <xf numFmtId="0" fontId="13" fillId="0" borderId="0" xfId="0" applyFont="1" applyBorder="1"/>
    <xf numFmtId="0" fontId="13" fillId="0" borderId="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0" fillId="4" borderId="0" xfId="0" applyFill="1" applyAlignment="1">
      <alignment wrapText="1"/>
    </xf>
    <xf numFmtId="0" fontId="50" fillId="4" borderId="3" xfId="0" applyFont="1" applyFill="1" applyBorder="1" applyAlignment="1">
      <alignment horizontal="center" vertical="center" wrapText="1"/>
    </xf>
    <xf numFmtId="0" fontId="50" fillId="0" borderId="0" xfId="0" applyFont="1"/>
    <xf numFmtId="0" fontId="2" fillId="0" borderId="3" xfId="0" applyFont="1" applyBorder="1" applyAlignment="1" applyProtection="1">
      <alignment horizontal="center" vertical="center"/>
      <protection hidden="1"/>
    </xf>
    <xf numFmtId="16" fontId="2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50" fillId="0" borderId="3" xfId="0" applyFont="1" applyFill="1" applyBorder="1" applyAlignment="1">
      <alignment horizontal="center" vertical="center" wrapText="1"/>
    </xf>
    <xf numFmtId="16" fontId="2" fillId="4" borderId="3" xfId="0" applyNumberFormat="1" applyFont="1" applyFill="1" applyBorder="1" applyAlignment="1" applyProtection="1">
      <alignment horizontal="center" vertical="center" wrapText="1"/>
      <protection hidden="1"/>
    </xf>
    <xf numFmtId="16" fontId="53" fillId="4" borderId="3" xfId="0" applyNumberFormat="1" applyFont="1" applyFill="1" applyBorder="1" applyAlignment="1" applyProtection="1">
      <alignment horizontal="center" vertical="center" wrapText="1"/>
      <protection hidden="1"/>
    </xf>
    <xf numFmtId="16" fontId="53" fillId="0" borderId="3" xfId="0" applyNumberFormat="1" applyFont="1" applyFill="1" applyBorder="1" applyAlignment="1" applyProtection="1">
      <alignment horizontal="center" vertical="center" wrapText="1"/>
      <protection hidden="1"/>
    </xf>
    <xf numFmtId="16" fontId="53" fillId="0" borderId="3" xfId="0" applyNumberFormat="1" applyFont="1" applyBorder="1" applyAlignment="1" applyProtection="1">
      <alignment horizontal="center" vertical="center" wrapText="1"/>
      <protection hidden="1"/>
    </xf>
    <xf numFmtId="0" fontId="53" fillId="0" borderId="3" xfId="0" applyFont="1" applyBorder="1" applyAlignment="1" applyProtection="1">
      <alignment horizontal="center" vertical="center"/>
      <protection hidden="1"/>
    </xf>
    <xf numFmtId="0" fontId="53" fillId="4" borderId="3" xfId="0" applyFont="1" applyFill="1" applyBorder="1" applyAlignment="1" applyProtection="1">
      <alignment horizontal="center" vertical="center" wrapText="1"/>
      <protection hidden="1"/>
    </xf>
    <xf numFmtId="0" fontId="53" fillId="0" borderId="3" xfId="0" applyFont="1" applyBorder="1" applyAlignment="1" applyProtection="1">
      <alignment horizontal="center" vertical="center" wrapText="1"/>
      <protection hidden="1"/>
    </xf>
    <xf numFmtId="16" fontId="53" fillId="4" borderId="3" xfId="0" applyNumberFormat="1" applyFont="1" applyFill="1" applyBorder="1" applyAlignment="1" applyProtection="1">
      <alignment horizontal="center" vertical="center"/>
      <protection hidden="1"/>
    </xf>
    <xf numFmtId="0" fontId="53" fillId="4" borderId="3" xfId="0" applyFont="1" applyFill="1" applyBorder="1" applyAlignment="1" applyProtection="1">
      <alignment horizontal="center" vertical="center"/>
      <protection hidden="1"/>
    </xf>
    <xf numFmtId="0" fontId="53" fillId="0" borderId="3" xfId="0" applyFont="1" applyFill="1" applyBorder="1" applyAlignment="1" applyProtection="1">
      <alignment horizontal="center" vertical="center"/>
      <protection hidden="1"/>
    </xf>
    <xf numFmtId="16" fontId="53" fillId="0" borderId="3" xfId="0" applyNumberFormat="1" applyFont="1" applyBorder="1" applyAlignment="1" applyProtection="1">
      <alignment horizontal="center" vertical="center"/>
      <protection hidden="1"/>
    </xf>
    <xf numFmtId="0" fontId="53" fillId="0" borderId="3" xfId="0" applyFont="1" applyFill="1" applyBorder="1" applyAlignment="1" applyProtection="1">
      <alignment horizontal="center" vertical="center" wrapText="1"/>
      <protection hidden="1"/>
    </xf>
    <xf numFmtId="167" fontId="53" fillId="4" borderId="3" xfId="0" applyNumberFormat="1" applyFont="1" applyFill="1" applyBorder="1" applyAlignment="1" applyProtection="1">
      <alignment horizontal="center" vertical="center" wrapText="1"/>
      <protection hidden="1"/>
    </xf>
    <xf numFmtId="164" fontId="53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55" fillId="4" borderId="3" xfId="1" applyFont="1" applyFill="1" applyBorder="1" applyAlignment="1">
      <alignment horizontal="center" vertical="center" wrapText="1"/>
    </xf>
    <xf numFmtId="0" fontId="50" fillId="4" borderId="0" xfId="0" applyFont="1" applyFill="1"/>
    <xf numFmtId="0" fontId="50" fillId="4" borderId="0" xfId="0" applyFont="1" applyFill="1" applyBorder="1"/>
    <xf numFmtId="0" fontId="53" fillId="5" borderId="3" xfId="0" applyFont="1" applyFill="1" applyBorder="1" applyAlignment="1" applyProtection="1">
      <alignment horizontal="center" vertical="center" wrapText="1"/>
      <protection hidden="1"/>
    </xf>
    <xf numFmtId="0" fontId="58" fillId="4" borderId="7" xfId="2" applyNumberFormat="1" applyFont="1" applyFill="1" applyBorder="1" applyAlignment="1">
      <alignment horizontal="center" vertical="center" wrapText="1"/>
    </xf>
    <xf numFmtId="0" fontId="58" fillId="4" borderId="7" xfId="0" applyFont="1" applyFill="1" applyBorder="1" applyAlignment="1">
      <alignment horizontal="center" vertical="center" wrapText="1"/>
    </xf>
    <xf numFmtId="0" fontId="59" fillId="4" borderId="7" xfId="0" applyFont="1" applyFill="1" applyBorder="1" applyAlignment="1">
      <alignment horizontal="center" vertical="center" wrapText="1"/>
    </xf>
    <xf numFmtId="0" fontId="60" fillId="4" borderId="7" xfId="0" applyFont="1" applyFill="1" applyBorder="1" applyAlignment="1">
      <alignment horizontal="center" vertical="center" wrapText="1"/>
    </xf>
    <xf numFmtId="9" fontId="61" fillId="4" borderId="7" xfId="0" applyNumberFormat="1" applyFont="1" applyFill="1" applyBorder="1" applyAlignment="1">
      <alignment horizontal="center" vertical="center" wrapText="1"/>
    </xf>
    <xf numFmtId="0" fontId="53" fillId="4" borderId="4" xfId="0" applyFont="1" applyFill="1" applyBorder="1" applyAlignment="1" applyProtection="1">
      <alignment horizontal="center" vertical="center" wrapText="1"/>
      <protection hidden="1"/>
    </xf>
    <xf numFmtId="0" fontId="53" fillId="4" borderId="6" xfId="0" applyFont="1" applyFill="1" applyBorder="1" applyAlignment="1" applyProtection="1">
      <alignment horizontal="center" vertical="center" wrapText="1"/>
      <protection hidden="1"/>
    </xf>
    <xf numFmtId="0" fontId="53" fillId="4" borderId="3" xfId="0" applyNumberFormat="1" applyFont="1" applyFill="1" applyBorder="1" applyAlignment="1" applyProtection="1">
      <alignment horizontal="center" vertical="center" wrapText="1"/>
      <protection hidden="1"/>
    </xf>
    <xf numFmtId="168" fontId="53" fillId="4" borderId="3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/>
    <xf numFmtId="0" fontId="5" fillId="0" borderId="0" xfId="0" applyFont="1" applyBorder="1"/>
    <xf numFmtId="0" fontId="63" fillId="0" borderId="0" xfId="0" applyFont="1"/>
    <xf numFmtId="0" fontId="65" fillId="0" borderId="0" xfId="0" applyFont="1"/>
    <xf numFmtId="0" fontId="65" fillId="4" borderId="0" xfId="0" applyFont="1" applyFill="1"/>
    <xf numFmtId="0" fontId="2" fillId="0" borderId="3" xfId="0" applyFont="1" applyBorder="1" applyAlignment="1" applyProtection="1">
      <alignment horizontal="center" vertical="center" wrapText="1"/>
      <protection hidden="1"/>
    </xf>
    <xf numFmtId="16" fontId="2" fillId="0" borderId="3" xfId="0" applyNumberFormat="1" applyFont="1" applyBorder="1" applyAlignment="1" applyProtection="1">
      <alignment horizontal="center" vertical="center" wrapText="1"/>
      <protection hidden="1"/>
    </xf>
    <xf numFmtId="165" fontId="53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164" fontId="2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58" fillId="0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 applyProtection="1">
      <alignment horizontal="center" vertical="center" wrapText="1"/>
      <protection hidden="1"/>
    </xf>
    <xf numFmtId="0" fontId="12" fillId="4" borderId="3" xfId="0" applyFont="1" applyFill="1" applyBorder="1" applyAlignment="1">
      <alignment horizontal="center" vertical="center" wrapText="1"/>
    </xf>
    <xf numFmtId="0" fontId="66" fillId="4" borderId="8" xfId="0" applyFont="1" applyFill="1" applyBorder="1" applyAlignment="1">
      <alignment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0" borderId="0" xfId="0" applyFont="1"/>
    <xf numFmtId="0" fontId="68" fillId="4" borderId="7" xfId="0" applyFont="1" applyFill="1" applyBorder="1" applyAlignment="1">
      <alignment horizontal="center" vertical="center" wrapText="1"/>
    </xf>
    <xf numFmtId="0" fontId="69" fillId="4" borderId="3" xfId="0" applyFont="1" applyFill="1" applyBorder="1" applyAlignment="1" applyProtection="1">
      <alignment horizontal="center" vertical="center" wrapText="1"/>
      <protection hidden="1"/>
    </xf>
    <xf numFmtId="0" fontId="70" fillId="4" borderId="7" xfId="0" applyFont="1" applyFill="1" applyBorder="1" applyAlignment="1">
      <alignment horizontal="center" vertical="center" wrapText="1"/>
    </xf>
    <xf numFmtId="0" fontId="71" fillId="4" borderId="3" xfId="1" applyFont="1" applyFill="1" applyBorder="1" applyAlignment="1">
      <alignment horizontal="center" vertical="center" textRotation="90" wrapText="1"/>
    </xf>
    <xf numFmtId="0" fontId="69" fillId="4" borderId="3" xfId="0" applyNumberFormat="1" applyFont="1" applyFill="1" applyBorder="1" applyAlignment="1" applyProtection="1">
      <alignment horizontal="center" vertical="center" wrapText="1"/>
      <protection hidden="1"/>
    </xf>
    <xf numFmtId="16" fontId="69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horizontal="center" vertical="center" wrapText="1"/>
      <protection hidden="1"/>
    </xf>
    <xf numFmtId="0" fontId="0" fillId="0" borderId="0" xfId="0" applyFont="1" applyAlignment="1">
      <alignment wrapText="1"/>
    </xf>
    <xf numFmtId="0" fontId="25" fillId="4" borderId="6" xfId="0" applyFont="1" applyFill="1" applyBorder="1" applyAlignment="1">
      <alignment horizontal="center" vertical="center" wrapText="1"/>
    </xf>
    <xf numFmtId="0" fontId="69" fillId="4" borderId="6" xfId="0" applyFont="1" applyFill="1" applyBorder="1" applyAlignment="1" applyProtection="1">
      <alignment horizontal="center" vertical="center" wrapText="1"/>
      <protection hidden="1"/>
    </xf>
    <xf numFmtId="0" fontId="0" fillId="4" borderId="0" xfId="0" applyFont="1" applyFill="1" applyAlignment="1">
      <alignment wrapText="1"/>
    </xf>
    <xf numFmtId="0" fontId="69" fillId="0" borderId="3" xfId="0" applyFont="1" applyBorder="1" applyAlignment="1" applyProtection="1">
      <alignment horizontal="center" vertical="center"/>
      <protection hidden="1"/>
    </xf>
    <xf numFmtId="0" fontId="71" fillId="4" borderId="3" xfId="1" applyFont="1" applyFill="1" applyBorder="1" applyAlignment="1">
      <alignment horizontal="center" vertical="center" wrapText="1"/>
    </xf>
    <xf numFmtId="0" fontId="71" fillId="4" borderId="4" xfId="1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  <protection hidden="1"/>
    </xf>
    <xf numFmtId="0" fontId="69" fillId="0" borderId="6" xfId="0" applyFont="1" applyBorder="1" applyAlignment="1" applyProtection="1">
      <alignment horizontal="center" vertical="center" wrapText="1"/>
      <protection hidden="1"/>
    </xf>
    <xf numFmtId="16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16" fontId="69" fillId="0" borderId="3" xfId="0" applyNumberFormat="1" applyFont="1" applyBorder="1" applyAlignment="1" applyProtection="1">
      <alignment horizontal="center" vertical="center" wrapText="1"/>
      <protection hidden="1"/>
    </xf>
    <xf numFmtId="167" fontId="69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69" fillId="4" borderId="3" xfId="0" applyFont="1" applyFill="1" applyBorder="1" applyAlignment="1" applyProtection="1">
      <alignment horizontal="center" vertical="center"/>
      <protection hidden="1"/>
    </xf>
    <xf numFmtId="0" fontId="72" fillId="4" borderId="7" xfId="2" applyNumberFormat="1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9" fontId="73" fillId="4" borderId="7" xfId="0" applyNumberFormat="1" applyFont="1" applyFill="1" applyBorder="1" applyAlignment="1">
      <alignment horizontal="center" vertical="center" wrapText="1"/>
    </xf>
    <xf numFmtId="0" fontId="0" fillId="4" borderId="0" xfId="0" applyFont="1" applyFill="1"/>
    <xf numFmtId="16" fontId="69" fillId="0" borderId="3" xfId="0" applyNumberFormat="1" applyFont="1" applyFill="1" applyBorder="1" applyAlignment="1" applyProtection="1">
      <alignment horizontal="center" vertical="center"/>
      <protection hidden="1"/>
    </xf>
    <xf numFmtId="16" fontId="69" fillId="0" borderId="3" xfId="0" applyNumberFormat="1" applyFont="1" applyBorder="1" applyAlignment="1" applyProtection="1">
      <alignment horizontal="center" vertical="center"/>
      <protection hidden="1"/>
    </xf>
    <xf numFmtId="0" fontId="69" fillId="0" borderId="4" xfId="0" applyFont="1" applyBorder="1" applyAlignment="1" applyProtection="1">
      <alignment horizontal="center" vertical="center" wrapText="1"/>
      <protection hidden="1"/>
    </xf>
    <xf numFmtId="0" fontId="69" fillId="4" borderId="4" xfId="0" applyFont="1" applyFill="1" applyBorder="1" applyAlignment="1" applyProtection="1">
      <alignment horizontal="center" vertical="center" wrapText="1"/>
      <protection hidden="1"/>
    </xf>
    <xf numFmtId="0" fontId="74" fillId="4" borderId="3" xfId="0" applyFont="1" applyFill="1" applyBorder="1" applyAlignment="1" applyProtection="1">
      <alignment horizontal="center" vertical="center" wrapText="1"/>
      <protection hidden="1"/>
    </xf>
    <xf numFmtId="0" fontId="75" fillId="4" borderId="3" xfId="0" applyFont="1" applyFill="1" applyBorder="1" applyAlignment="1">
      <alignment horizontal="center" vertical="center" textRotation="90" wrapText="1"/>
    </xf>
    <xf numFmtId="0" fontId="71" fillId="4" borderId="3" xfId="1" applyNumberFormat="1" applyFont="1" applyFill="1" applyBorder="1" applyAlignment="1">
      <alignment horizontal="center" vertical="center" textRotation="90" wrapText="1"/>
    </xf>
    <xf numFmtId="0" fontId="69" fillId="0" borderId="3" xfId="0" applyFont="1" applyFill="1" applyBorder="1" applyAlignment="1" applyProtection="1">
      <alignment horizontal="center" vertical="center" wrapText="1"/>
      <protection hidden="1"/>
    </xf>
    <xf numFmtId="0" fontId="0" fillId="4" borderId="3" xfId="0" applyFont="1" applyFill="1" applyBorder="1" applyAlignment="1">
      <alignment horizontal="center" vertical="center"/>
    </xf>
    <xf numFmtId="16" fontId="69" fillId="4" borderId="3" xfId="0" applyNumberFormat="1" applyFont="1" applyFill="1" applyBorder="1" applyAlignment="1" applyProtection="1">
      <alignment horizontal="center" vertical="center"/>
      <protection hidden="1"/>
    </xf>
    <xf numFmtId="0" fontId="69" fillId="5" borderId="3" xfId="0" applyFont="1" applyFill="1" applyBorder="1" applyAlignment="1" applyProtection="1">
      <alignment horizontal="center" vertical="center" wrapText="1"/>
      <protection hidden="1"/>
    </xf>
    <xf numFmtId="0" fontId="72" fillId="6" borderId="7" xfId="0" applyFont="1" applyFill="1" applyBorder="1" applyAlignment="1">
      <alignment horizontal="center" vertical="center" wrapText="1"/>
    </xf>
    <xf numFmtId="165" fontId="69" fillId="4" borderId="3" xfId="0" applyNumberFormat="1" applyFont="1" applyFill="1" applyBorder="1" applyAlignment="1" applyProtection="1">
      <alignment horizontal="center" vertical="center" wrapText="1"/>
      <protection hidden="1"/>
    </xf>
    <xf numFmtId="166" fontId="69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74" fillId="4" borderId="3" xfId="0" applyNumberFormat="1" applyFont="1" applyFill="1" applyBorder="1" applyAlignment="1" applyProtection="1">
      <alignment horizontal="center" vertical="center" wrapText="1"/>
      <protection hidden="1"/>
    </xf>
    <xf numFmtId="9" fontId="73" fillId="6" borderId="7" xfId="0" applyNumberFormat="1" applyFont="1" applyFill="1" applyBorder="1" applyAlignment="1">
      <alignment horizontal="center" vertical="center" wrapText="1"/>
    </xf>
    <xf numFmtId="0" fontId="69" fillId="0" borderId="4" xfId="0" applyFont="1" applyBorder="1" applyAlignment="1" applyProtection="1">
      <alignment horizontal="center" vertical="center"/>
      <protection hidden="1"/>
    </xf>
    <xf numFmtId="168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165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167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Fill="1" applyBorder="1" applyAlignment="1" applyProtection="1">
      <alignment horizontal="center" vertical="center"/>
      <protection hidden="1"/>
    </xf>
    <xf numFmtId="0" fontId="58" fillId="0" borderId="7" xfId="2" applyNumberFormat="1" applyFont="1" applyFill="1" applyBorder="1" applyAlignment="1">
      <alignment horizontal="center" vertical="center" wrapText="1"/>
    </xf>
    <xf numFmtId="0" fontId="59" fillId="0" borderId="7" xfId="0" applyFont="1" applyFill="1" applyBorder="1" applyAlignment="1">
      <alignment horizontal="center" vertical="center" wrapText="1"/>
    </xf>
    <xf numFmtId="0" fontId="68" fillId="0" borderId="7" xfId="0" applyFont="1" applyFill="1" applyBorder="1" applyAlignment="1">
      <alignment horizontal="center" vertical="center" wrapText="1"/>
    </xf>
    <xf numFmtId="0" fontId="60" fillId="0" borderId="7" xfId="0" applyFont="1" applyFill="1" applyBorder="1" applyAlignment="1">
      <alignment horizontal="center" vertical="center" wrapText="1"/>
    </xf>
    <xf numFmtId="9" fontId="61" fillId="0" borderId="7" xfId="0" applyNumberFormat="1" applyFont="1" applyFill="1" applyBorder="1" applyAlignment="1">
      <alignment horizontal="center" vertical="center" wrapText="1"/>
    </xf>
    <xf numFmtId="0" fontId="50" fillId="0" borderId="0" xfId="0" applyFont="1" applyFill="1"/>
    <xf numFmtId="16" fontId="2" fillId="0" borderId="3" xfId="0" applyNumberFormat="1" applyFont="1" applyFill="1" applyBorder="1" applyAlignment="1" applyProtection="1">
      <alignment horizontal="center" vertical="center"/>
      <protection hidden="1"/>
    </xf>
    <xf numFmtId="0" fontId="67" fillId="0" borderId="3" xfId="0" applyFont="1" applyFill="1" applyBorder="1" applyAlignment="1" applyProtection="1">
      <alignment horizontal="center" vertical="center" wrapText="1"/>
      <protection hidden="1"/>
    </xf>
    <xf numFmtId="167" fontId="76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70" fillId="0" borderId="7" xfId="0" applyFont="1" applyFill="1" applyBorder="1" applyAlignment="1">
      <alignment horizontal="center" vertical="center" wrapText="1"/>
    </xf>
    <xf numFmtId="0" fontId="53" fillId="0" borderId="4" xfId="0" applyFont="1" applyFill="1" applyBorder="1" applyAlignment="1" applyProtection="1">
      <alignment horizontal="center" vertical="center" wrapText="1"/>
      <protection hidden="1"/>
    </xf>
    <xf numFmtId="0" fontId="69" fillId="0" borderId="6" xfId="0" applyFont="1" applyFill="1" applyBorder="1" applyAlignment="1" applyProtection="1">
      <alignment horizontal="center" vertical="center" wrapText="1"/>
      <protection hidden="1"/>
    </xf>
    <xf numFmtId="0" fontId="56" fillId="0" borderId="3" xfId="0" applyFont="1" applyFill="1" applyBorder="1" applyAlignment="1">
      <alignment horizontal="center" vertical="center" wrapText="1"/>
    </xf>
    <xf numFmtId="0" fontId="53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55" fillId="0" borderId="3" xfId="1" applyFont="1" applyFill="1" applyBorder="1" applyAlignment="1">
      <alignment horizontal="center" vertical="center" wrapText="1"/>
    </xf>
    <xf numFmtId="0" fontId="54" fillId="0" borderId="3" xfId="0" applyFont="1" applyFill="1" applyBorder="1" applyAlignment="1" applyProtection="1">
      <alignment horizontal="center" vertical="center" wrapText="1"/>
      <protection hidden="1"/>
    </xf>
    <xf numFmtId="0" fontId="55" fillId="0" borderId="4" xfId="1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71" fillId="0" borderId="3" xfId="1" applyFont="1" applyFill="1" applyBorder="1" applyAlignment="1">
      <alignment horizontal="center" vertical="center" wrapText="1"/>
    </xf>
    <xf numFmtId="0" fontId="57" fillId="0" borderId="3" xfId="0" applyFont="1" applyFill="1" applyBorder="1" applyAlignment="1">
      <alignment horizontal="center" vertical="center" textRotation="90" wrapText="1"/>
    </xf>
    <xf numFmtId="0" fontId="55" fillId="0" borderId="3" xfId="1" applyFont="1" applyFill="1" applyBorder="1" applyAlignment="1">
      <alignment horizontal="center" vertical="center" textRotation="90" wrapText="1"/>
    </xf>
    <xf numFmtId="0" fontId="71" fillId="0" borderId="3" xfId="1" applyFont="1" applyFill="1" applyBorder="1" applyAlignment="1">
      <alignment horizontal="center" vertical="center" textRotation="90" wrapText="1"/>
    </xf>
    <xf numFmtId="0" fontId="55" fillId="0" borderId="3" xfId="1" applyNumberFormat="1" applyFont="1" applyFill="1" applyBorder="1" applyAlignment="1">
      <alignment horizontal="center" vertical="center" textRotation="90" wrapText="1"/>
    </xf>
    <xf numFmtId="166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69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5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4" fontId="69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2" fillId="4" borderId="3" xfId="0" applyNumberFormat="1" applyFont="1" applyFill="1" applyBorder="1" applyAlignment="1" applyProtection="1">
      <alignment horizontal="center" vertical="center" wrapText="1"/>
      <protection hidden="1"/>
    </xf>
    <xf numFmtId="166" fontId="2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54" fillId="4" borderId="3" xfId="0" applyNumberFormat="1" applyFont="1" applyFill="1" applyBorder="1" applyAlignment="1" applyProtection="1">
      <alignment horizontal="center" vertical="center" wrapText="1"/>
      <protection hidden="1"/>
    </xf>
    <xf numFmtId="164" fontId="69" fillId="5" borderId="3" xfId="0" applyNumberFormat="1" applyFont="1" applyFill="1" applyBorder="1" applyAlignment="1" applyProtection="1">
      <alignment horizontal="center" vertical="center" wrapText="1"/>
      <protection hidden="1"/>
    </xf>
    <xf numFmtId="16" fontId="2" fillId="4" borderId="3" xfId="0" applyNumberFormat="1" applyFont="1" applyFill="1" applyBorder="1" applyAlignment="1" applyProtection="1">
      <alignment horizontal="center" vertical="center"/>
      <protection hidden="1"/>
    </xf>
    <xf numFmtId="0" fontId="60" fillId="0" borderId="7" xfId="0" applyFont="1" applyFill="1" applyBorder="1" applyAlignment="1">
      <alignment horizontal="center" vertical="center"/>
    </xf>
    <xf numFmtId="0" fontId="70" fillId="0" borderId="7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0" borderId="3" xfId="1" applyFont="1" applyFill="1" applyBorder="1" applyAlignment="1">
      <alignment horizontal="center" vertical="center"/>
    </xf>
    <xf numFmtId="0" fontId="53" fillId="0" borderId="3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/>
    <xf numFmtId="0" fontId="72" fillId="0" borderId="7" xfId="0" applyFont="1" applyFill="1" applyBorder="1" applyAlignment="1">
      <alignment horizontal="center" vertical="center" wrapText="1"/>
    </xf>
    <xf numFmtId="9" fontId="73" fillId="0" borderId="7" xfId="0" applyNumberFormat="1" applyFont="1" applyFill="1" applyBorder="1" applyAlignment="1">
      <alignment horizontal="center" vertical="center" wrapText="1"/>
    </xf>
    <xf numFmtId="9" fontId="79" fillId="6" borderId="7" xfId="0" applyNumberFormat="1" applyFont="1" applyFill="1" applyBorder="1" applyAlignment="1">
      <alignment horizontal="center" vertical="center" wrapText="1"/>
    </xf>
    <xf numFmtId="0" fontId="80" fillId="0" borderId="0" xfId="0" applyFont="1" applyBorder="1" applyAlignment="1">
      <alignment vertical="center"/>
    </xf>
    <xf numFmtId="0" fontId="81" fillId="0" borderId="0" xfId="0" applyFont="1"/>
    <xf numFmtId="0" fontId="82" fillId="0" borderId="0" xfId="0" applyFont="1"/>
    <xf numFmtId="0" fontId="83" fillId="0" borderId="0" xfId="0" applyFont="1" applyBorder="1"/>
    <xf numFmtId="0" fontId="83" fillId="0" borderId="0" xfId="0" applyFont="1"/>
    <xf numFmtId="0" fontId="84" fillId="4" borderId="0" xfId="0" applyFont="1" applyFill="1"/>
    <xf numFmtId="0" fontId="84" fillId="4" borderId="0" xfId="0" applyFont="1" applyFill="1" applyBorder="1"/>
    <xf numFmtId="0" fontId="84" fillId="4" borderId="3" xfId="0" applyFont="1" applyFill="1" applyBorder="1" applyAlignment="1">
      <alignment horizontal="center" vertical="center" wrapText="1"/>
    </xf>
    <xf numFmtId="0" fontId="85" fillId="4" borderId="3" xfId="0" applyFont="1" applyFill="1" applyBorder="1" applyAlignment="1">
      <alignment horizontal="center" vertical="center" wrapText="1"/>
    </xf>
    <xf numFmtId="0" fontId="84" fillId="0" borderId="0" xfId="0" applyFont="1"/>
    <xf numFmtId="0" fontId="77" fillId="0" borderId="3" xfId="0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/>
    </xf>
    <xf numFmtId="0" fontId="76" fillId="0" borderId="0" xfId="0" applyFont="1" applyAlignment="1">
      <alignment wrapText="1"/>
    </xf>
    <xf numFmtId="0" fontId="76" fillId="0" borderId="0" xfId="0" applyFont="1"/>
    <xf numFmtId="0" fontId="76" fillId="0" borderId="0" xfId="0" applyFont="1" applyBorder="1"/>
    <xf numFmtId="0" fontId="76" fillId="0" borderId="0" xfId="0" applyFont="1" applyBorder="1" applyAlignment="1"/>
    <xf numFmtId="0" fontId="76" fillId="4" borderId="3" xfId="0" applyFont="1" applyFill="1" applyBorder="1"/>
    <xf numFmtId="0" fontId="76" fillId="4" borderId="0" xfId="0" applyFont="1" applyFill="1" applyBorder="1"/>
    <xf numFmtId="0" fontId="76" fillId="0" borderId="3" xfId="0" applyFont="1" applyBorder="1"/>
    <xf numFmtId="0" fontId="76" fillId="4" borderId="0" xfId="0" applyFont="1" applyFill="1"/>
    <xf numFmtId="0" fontId="7" fillId="4" borderId="3" xfId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textRotation="90" wrapText="1"/>
    </xf>
    <xf numFmtId="0" fontId="7" fillId="4" borderId="3" xfId="1" applyFont="1" applyFill="1" applyBorder="1" applyAlignment="1">
      <alignment horizontal="center" vertical="center" textRotation="90" wrapText="1"/>
    </xf>
    <xf numFmtId="0" fontId="7" fillId="4" borderId="3" xfId="1" applyNumberFormat="1" applyFont="1" applyFill="1" applyBorder="1" applyAlignment="1">
      <alignment horizontal="center" vertical="center" textRotation="90" wrapText="1"/>
    </xf>
    <xf numFmtId="0" fontId="80" fillId="4" borderId="3" xfId="0" applyFont="1" applyFill="1" applyBorder="1" applyAlignment="1">
      <alignment horizontal="center" vertical="center" wrapText="1"/>
    </xf>
    <xf numFmtId="0" fontId="86" fillId="4" borderId="0" xfId="0" applyFont="1" applyFill="1" applyBorder="1" applyAlignment="1">
      <alignment vertical="center"/>
    </xf>
    <xf numFmtId="0" fontId="86" fillId="4" borderId="2" xfId="0" applyFont="1" applyFill="1" applyBorder="1" applyAlignment="1">
      <alignment vertical="center"/>
    </xf>
    <xf numFmtId="0" fontId="80" fillId="4" borderId="3" xfId="0" applyFont="1" applyFill="1" applyBorder="1" applyAlignment="1">
      <alignment horizontal="center" vertical="center" textRotation="90" wrapText="1"/>
    </xf>
    <xf numFmtId="0" fontId="54" fillId="4" borderId="3" xfId="2" applyNumberFormat="1" applyFont="1" applyFill="1" applyBorder="1" applyAlignment="1">
      <alignment horizontal="center" vertical="center" wrapText="1"/>
    </xf>
    <xf numFmtId="0" fontId="54" fillId="4" borderId="3" xfId="0" applyFont="1" applyFill="1" applyBorder="1" applyAlignment="1">
      <alignment horizontal="center" vertical="center" wrapText="1"/>
    </xf>
    <xf numFmtId="0" fontId="53" fillId="4" borderId="3" xfId="0" applyFont="1" applyFill="1" applyBorder="1" applyAlignment="1">
      <alignment horizontal="center" vertical="center" wrapText="1"/>
    </xf>
    <xf numFmtId="9" fontId="54" fillId="4" borderId="3" xfId="0" applyNumberFormat="1" applyFont="1" applyFill="1" applyBorder="1" applyAlignment="1">
      <alignment horizontal="center" vertical="center" wrapText="1"/>
    </xf>
    <xf numFmtId="0" fontId="54" fillId="6" borderId="3" xfId="0" applyFont="1" applyFill="1" applyBorder="1" applyAlignment="1">
      <alignment horizontal="center" vertical="center" wrapText="1"/>
    </xf>
    <xf numFmtId="9" fontId="54" fillId="6" borderId="3" xfId="0" applyNumberFormat="1" applyFont="1" applyFill="1" applyBorder="1" applyAlignment="1">
      <alignment horizontal="center" vertical="center" wrapText="1"/>
    </xf>
    <xf numFmtId="0" fontId="69" fillId="0" borderId="3" xfId="0" applyFont="1" applyFill="1" applyBorder="1" applyAlignment="1" applyProtection="1">
      <alignment horizontal="center" vertical="center"/>
      <protection hidden="1"/>
    </xf>
    <xf numFmtId="0" fontId="7" fillId="0" borderId="8" xfId="0" applyFont="1" applyFill="1" applyBorder="1" applyAlignment="1">
      <alignment horizontal="center" vertical="center" wrapText="1"/>
    </xf>
    <xf numFmtId="0" fontId="0" fillId="0" borderId="0" xfId="0" applyBorder="1"/>
    <xf numFmtId="0" fontId="54" fillId="4" borderId="7" xfId="2" applyNumberFormat="1" applyFont="1" applyFill="1" applyBorder="1" applyAlignment="1">
      <alignment horizontal="center" vertical="center" wrapText="1"/>
    </xf>
    <xf numFmtId="0" fontId="54" fillId="4" borderId="7" xfId="0" applyFont="1" applyFill="1" applyBorder="1" applyAlignment="1">
      <alignment horizontal="center" vertical="center" wrapText="1"/>
    </xf>
    <xf numFmtId="0" fontId="53" fillId="4" borderId="7" xfId="0" applyFont="1" applyFill="1" applyBorder="1" applyAlignment="1">
      <alignment horizontal="center" vertical="center" wrapText="1"/>
    </xf>
    <xf numFmtId="9" fontId="54" fillId="4" borderId="7" xfId="0" applyNumberFormat="1" applyFont="1" applyFill="1" applyBorder="1" applyAlignment="1">
      <alignment horizontal="center" vertical="center" wrapText="1"/>
    </xf>
    <xf numFmtId="0" fontId="54" fillId="6" borderId="7" xfId="0" applyFont="1" applyFill="1" applyBorder="1" applyAlignment="1">
      <alignment horizontal="center" vertical="center" wrapText="1"/>
    </xf>
    <xf numFmtId="0" fontId="53" fillId="4" borderId="3" xfId="1" applyFont="1" applyFill="1" applyBorder="1" applyAlignment="1">
      <alignment horizontal="center" vertical="center" wrapText="1"/>
    </xf>
    <xf numFmtId="0" fontId="53" fillId="4" borderId="3" xfId="0" applyFont="1" applyFill="1" applyBorder="1" applyAlignment="1">
      <alignment horizontal="center" vertical="center" textRotation="90" wrapText="1"/>
    </xf>
    <xf numFmtId="0" fontId="53" fillId="4" borderId="3" xfId="1" applyFont="1" applyFill="1" applyBorder="1" applyAlignment="1">
      <alignment horizontal="center" vertical="center" textRotation="90" wrapText="1"/>
    </xf>
    <xf numFmtId="0" fontId="53" fillId="4" borderId="4" xfId="1" applyFont="1" applyFill="1" applyBorder="1" applyAlignment="1">
      <alignment horizontal="center" vertical="center" wrapText="1"/>
    </xf>
    <xf numFmtId="0" fontId="84" fillId="4" borderId="6" xfId="0" applyFont="1" applyFill="1" applyBorder="1" applyAlignment="1">
      <alignment horizontal="center" vertical="center" wrapText="1"/>
    </xf>
    <xf numFmtId="0" fontId="53" fillId="4" borderId="3" xfId="1" applyNumberFormat="1" applyFont="1" applyFill="1" applyBorder="1" applyAlignment="1">
      <alignment horizontal="center" vertical="center" textRotation="90" wrapText="1"/>
    </xf>
    <xf numFmtId="0" fontId="86" fillId="4" borderId="3" xfId="0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88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3" xfId="1" applyFont="1" applyFill="1" applyBorder="1" applyAlignment="1">
      <alignment horizontal="center" vertical="center" textRotation="90" wrapText="1"/>
    </xf>
    <xf numFmtId="0" fontId="2" fillId="4" borderId="3" xfId="1" applyNumberFormat="1" applyFont="1" applyFill="1" applyBorder="1" applyAlignment="1">
      <alignment horizontal="center" vertical="center" textRotation="90" wrapText="1"/>
    </xf>
    <xf numFmtId="0" fontId="89" fillId="4" borderId="3" xfId="0" applyFont="1" applyFill="1" applyBorder="1" applyAlignment="1" applyProtection="1">
      <alignment horizontal="center" vertical="center" wrapText="1"/>
      <protection hidden="1"/>
    </xf>
    <xf numFmtId="0" fontId="90" fillId="4" borderId="4" xfId="1" applyFont="1" applyFill="1" applyBorder="1" applyAlignment="1">
      <alignment horizontal="center" vertical="center" wrapText="1"/>
    </xf>
    <xf numFmtId="0" fontId="90" fillId="4" borderId="3" xfId="1" applyFont="1" applyFill="1" applyBorder="1" applyAlignment="1">
      <alignment horizontal="center" vertical="center" wrapText="1"/>
    </xf>
    <xf numFmtId="0" fontId="91" fillId="4" borderId="6" xfId="0" applyFont="1" applyFill="1" applyBorder="1" applyAlignment="1">
      <alignment horizontal="center" vertical="center" wrapText="1"/>
    </xf>
    <xf numFmtId="0" fontId="92" fillId="4" borderId="3" xfId="0" applyFont="1" applyFill="1" applyBorder="1" applyAlignment="1">
      <alignment horizontal="center" vertical="center" textRotation="90" wrapText="1"/>
    </xf>
    <xf numFmtId="0" fontId="90" fillId="4" borderId="3" xfId="1" applyFont="1" applyFill="1" applyBorder="1" applyAlignment="1">
      <alignment horizontal="center" vertical="center" textRotation="90" wrapText="1"/>
    </xf>
    <xf numFmtId="0" fontId="90" fillId="4" borderId="3" xfId="1" applyNumberFormat="1" applyFont="1" applyFill="1" applyBorder="1" applyAlignment="1">
      <alignment horizontal="center" vertical="center" textRotation="90" wrapText="1"/>
    </xf>
    <xf numFmtId="0" fontId="93" fillId="4" borderId="3" xfId="1" applyFont="1" applyFill="1" applyBorder="1" applyAlignment="1">
      <alignment horizontal="center" vertical="center" wrapText="1"/>
    </xf>
    <xf numFmtId="0" fontId="93" fillId="4" borderId="4" xfId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94" fillId="4" borderId="3" xfId="0" applyFont="1" applyFill="1" applyBorder="1" applyAlignment="1">
      <alignment horizontal="center" vertical="center" textRotation="90" wrapText="1"/>
    </xf>
    <xf numFmtId="0" fontId="93" fillId="4" borderId="3" xfId="1" applyFont="1" applyFill="1" applyBorder="1" applyAlignment="1">
      <alignment horizontal="center" vertical="center" textRotation="90" wrapText="1"/>
    </xf>
    <xf numFmtId="0" fontId="93" fillId="4" borderId="3" xfId="1" applyFont="1" applyFill="1" applyBorder="1" applyAlignment="1">
      <alignment horizontal="center" vertical="center" textRotation="90"/>
    </xf>
    <xf numFmtId="0" fontId="93" fillId="4" borderId="3" xfId="1" applyNumberFormat="1" applyFont="1" applyFill="1" applyBorder="1" applyAlignment="1">
      <alignment horizontal="center" vertical="center" textRotation="90" wrapText="1"/>
    </xf>
    <xf numFmtId="167" fontId="2" fillId="4" borderId="3" xfId="0" applyNumberFormat="1" applyFont="1" applyFill="1" applyBorder="1" applyAlignment="1" applyProtection="1">
      <alignment horizontal="center" vertical="center" wrapText="1"/>
      <protection hidden="1"/>
    </xf>
    <xf numFmtId="16" fontId="2" fillId="0" borderId="3" xfId="0" applyNumberFormat="1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>
      <alignment horizontal="center" vertical="center" wrapText="1"/>
    </xf>
    <xf numFmtId="9" fontId="54" fillId="6" borderId="7" xfId="0" applyNumberFormat="1" applyFont="1" applyFill="1" applyBorder="1" applyAlignment="1">
      <alignment horizontal="center" vertical="center" wrapText="1"/>
    </xf>
    <xf numFmtId="16" fontId="2" fillId="31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1" borderId="3" xfId="0" applyFont="1" applyFill="1" applyBorder="1" applyAlignment="1" applyProtection="1">
      <alignment horizontal="center" vertical="center" wrapText="1"/>
      <protection hidden="1"/>
    </xf>
    <xf numFmtId="0" fontId="53" fillId="6" borderId="3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left" vertical="center" wrapText="1"/>
      <protection hidden="1"/>
    </xf>
    <xf numFmtId="0" fontId="84" fillId="4" borderId="3" xfId="0" applyFont="1" applyFill="1" applyBorder="1" applyAlignment="1">
      <alignment horizontal="left" vertical="center" wrapText="1"/>
    </xf>
    <xf numFmtId="16" fontId="53" fillId="4" borderId="3" xfId="0" applyNumberFormat="1" applyFont="1" applyFill="1" applyBorder="1" applyAlignment="1" applyProtection="1">
      <alignment horizontal="left" vertical="center" wrapText="1"/>
      <protection hidden="1"/>
    </xf>
    <xf numFmtId="16" fontId="2" fillId="0" borderId="3" xfId="0" applyNumberFormat="1" applyFont="1" applyBorder="1" applyAlignment="1" applyProtection="1">
      <alignment horizontal="left" vertical="center" wrapText="1"/>
      <protection hidden="1"/>
    </xf>
    <xf numFmtId="9" fontId="54" fillId="4" borderId="7" xfId="0" applyNumberFormat="1" applyFont="1" applyFill="1" applyBorder="1" applyAlignment="1">
      <alignment horizontal="left" vertical="center" wrapText="1"/>
    </xf>
    <xf numFmtId="9" fontId="54" fillId="4" borderId="7" xfId="0" applyNumberFormat="1" applyFont="1" applyFill="1" applyBorder="1" applyAlignment="1">
      <alignment horizontal="left" vertical="center" textRotation="255" wrapText="1"/>
    </xf>
    <xf numFmtId="0" fontId="2" fillId="4" borderId="3" xfId="1" applyNumberFormat="1" applyFont="1" applyFill="1" applyBorder="1" applyAlignment="1">
      <alignment horizontal="left" vertical="center" textRotation="90" wrapText="1"/>
    </xf>
    <xf numFmtId="9" fontId="54" fillId="4" borderId="7" xfId="0" applyNumberFormat="1" applyFont="1" applyFill="1" applyBorder="1" applyAlignment="1">
      <alignment horizontal="center" vertical="center" textRotation="255" wrapText="1"/>
    </xf>
    <xf numFmtId="0" fontId="54" fillId="4" borderId="3" xfId="0" applyNumberFormat="1" applyFont="1" applyFill="1" applyBorder="1" applyAlignment="1" applyProtection="1">
      <alignment horizontal="center" vertical="center" textRotation="255" wrapText="1"/>
      <protection hidden="1"/>
    </xf>
    <xf numFmtId="16" fontId="2" fillId="4" borderId="3" xfId="0" applyNumberFormat="1" applyFont="1" applyFill="1" applyBorder="1" applyAlignment="1" applyProtection="1">
      <alignment horizontal="center" vertical="center" textRotation="255" wrapText="1"/>
      <protection hidden="1"/>
    </xf>
    <xf numFmtId="16" fontId="2" fillId="0" borderId="3" xfId="0" applyNumberFormat="1" applyFont="1" applyFill="1" applyBorder="1" applyAlignment="1" applyProtection="1">
      <alignment horizontal="center" vertical="center" textRotation="255" wrapText="1"/>
      <protection hidden="1"/>
    </xf>
    <xf numFmtId="0" fontId="2" fillId="0" borderId="3" xfId="0" applyFont="1" applyFill="1" applyBorder="1" applyAlignment="1" applyProtection="1">
      <alignment horizontal="center" vertical="center" textRotation="255" wrapText="1"/>
      <protection hidden="1"/>
    </xf>
    <xf numFmtId="16" fontId="2" fillId="4" borderId="3" xfId="0" applyNumberFormat="1" applyFont="1" applyFill="1" applyBorder="1" applyAlignment="1" applyProtection="1">
      <alignment horizontal="left" vertical="center" textRotation="255" wrapText="1"/>
      <protection hidden="1"/>
    </xf>
    <xf numFmtId="16" fontId="53" fillId="4" borderId="3" xfId="0" applyNumberFormat="1" applyFont="1" applyFill="1" applyBorder="1" applyAlignment="1" applyProtection="1">
      <alignment horizontal="left" vertical="center" textRotation="255" wrapText="1"/>
      <protection hidden="1"/>
    </xf>
    <xf numFmtId="168" fontId="2" fillId="4" borderId="3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2" fillId="0" borderId="3" xfId="0" applyNumberFormat="1" applyFont="1" applyBorder="1" applyAlignment="1" applyProtection="1">
      <alignment horizontal="center" vertical="center" wrapText="1"/>
      <protection hidden="1"/>
    </xf>
    <xf numFmtId="0" fontId="97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 applyProtection="1">
      <alignment horizontal="center" vertical="center" wrapText="1"/>
      <protection hidden="1"/>
    </xf>
    <xf numFmtId="9" fontId="54" fillId="6" borderId="7" xfId="0" applyNumberFormat="1" applyFont="1" applyFill="1" applyBorder="1" applyAlignment="1">
      <alignment horizontal="center" vertical="center" textRotation="255" wrapText="1"/>
    </xf>
    <xf numFmtId="0" fontId="98" fillId="4" borderId="3" xfId="1" applyFont="1" applyFill="1" applyBorder="1" applyAlignment="1">
      <alignment horizontal="center" vertical="center" wrapText="1"/>
    </xf>
    <xf numFmtId="0" fontId="98" fillId="4" borderId="3" xfId="0" applyFont="1" applyFill="1" applyBorder="1" applyAlignment="1" applyProtection="1">
      <alignment horizontal="center" vertical="center" wrapText="1"/>
      <protection hidden="1"/>
    </xf>
    <xf numFmtId="0" fontId="98" fillId="0" borderId="3" xfId="0" applyFont="1" applyBorder="1" applyAlignment="1" applyProtection="1">
      <alignment horizontal="center" vertical="center"/>
      <protection hidden="1"/>
    </xf>
    <xf numFmtId="0" fontId="99" fillId="0" borderId="0" xfId="0" applyFont="1"/>
    <xf numFmtId="0" fontId="100" fillId="4" borderId="3" xfId="0" applyFont="1" applyFill="1" applyBorder="1" applyAlignment="1">
      <alignment horizontal="center" vertical="center" wrapText="1"/>
    </xf>
    <xf numFmtId="0" fontId="95" fillId="0" borderId="8" xfId="0" applyFont="1" applyFill="1" applyBorder="1" applyAlignment="1">
      <alignment horizontal="left" vertical="center" wrapText="1"/>
    </xf>
    <xf numFmtId="0" fontId="80" fillId="4" borderId="2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95" fillId="0" borderId="8" xfId="0" applyFont="1" applyFill="1" applyBorder="1" applyAlignment="1">
      <alignment horizontal="left" vertical="center" wrapText="1"/>
    </xf>
    <xf numFmtId="165" fontId="2" fillId="0" borderId="3" xfId="0" applyNumberFormat="1" applyFont="1" applyBorder="1" applyAlignment="1" applyProtection="1">
      <alignment horizontal="center" vertical="center" wrapText="1"/>
      <protection hidden="1"/>
    </xf>
    <xf numFmtId="166" fontId="2" fillId="0" borderId="3" xfId="0" applyNumberFormat="1" applyFont="1" applyBorder="1" applyAlignment="1" applyProtection="1">
      <alignment horizontal="center" vertical="center" wrapText="1"/>
      <protection hidden="1"/>
    </xf>
    <xf numFmtId="0" fontId="2" fillId="32" borderId="3" xfId="0" applyFont="1" applyFill="1" applyBorder="1" applyAlignment="1" applyProtection="1">
      <alignment horizontal="center" vertical="center" wrapText="1"/>
      <protection hidden="1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0" fillId="4" borderId="3" xfId="0" applyFill="1" applyBorder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0" fontId="50" fillId="0" borderId="4" xfId="0" applyFont="1" applyFill="1" applyBorder="1" applyAlignment="1">
      <alignment horizontal="right" vertical="center" wrapText="1"/>
    </xf>
    <xf numFmtId="0" fontId="50" fillId="0" borderId="5" xfId="0" applyFont="1" applyFill="1" applyBorder="1" applyAlignment="1">
      <alignment horizontal="right" vertical="center" wrapText="1"/>
    </xf>
    <xf numFmtId="0" fontId="50" fillId="0" borderId="6" xfId="0" applyFont="1" applyFill="1" applyBorder="1" applyAlignment="1">
      <alignment horizontal="right" vertical="center" wrapText="1"/>
    </xf>
    <xf numFmtId="0" fontId="65" fillId="0" borderId="1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2" xfId="0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 wrapText="1"/>
    </xf>
    <xf numFmtId="0" fontId="51" fillId="4" borderId="0" xfId="0" applyFont="1" applyFill="1" applyBorder="1" applyAlignment="1">
      <alignment horizontal="center"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64" fillId="0" borderId="9" xfId="0" applyFont="1" applyFill="1" applyBorder="1" applyAlignment="1">
      <alignment horizontal="center" vertical="center" wrapText="1"/>
    </xf>
    <xf numFmtId="0" fontId="64" fillId="0" borderId="8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right" vertical="center" wrapText="1"/>
    </xf>
    <xf numFmtId="0" fontId="25" fillId="4" borderId="5" xfId="0" applyFont="1" applyFill="1" applyBorder="1" applyAlignment="1">
      <alignment horizontal="right" vertical="center" wrapText="1"/>
    </xf>
    <xf numFmtId="0" fontId="25" fillId="4" borderId="6" xfId="0" applyFont="1" applyFill="1" applyBorder="1" applyAlignment="1">
      <alignment horizontal="right" vertical="center" wrapText="1"/>
    </xf>
    <xf numFmtId="0" fontId="25" fillId="4" borderId="10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85" fillId="4" borderId="3" xfId="0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69" fillId="0" borderId="3" xfId="0" applyFont="1" applyFill="1" applyBorder="1" applyAlignment="1">
      <alignment horizontal="left" vertical="center" wrapText="1"/>
    </xf>
    <xf numFmtId="0" fontId="80" fillId="0" borderId="0" xfId="0" applyFont="1" applyBorder="1" applyAlignment="1">
      <alignment horizontal="center" vertical="center"/>
    </xf>
    <xf numFmtId="0" fontId="80" fillId="4" borderId="0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3" xfId="0" applyFont="1" applyBorder="1" applyAlignment="1">
      <alignment horizontal="center" vertical="center"/>
    </xf>
    <xf numFmtId="0" fontId="80" fillId="4" borderId="3" xfId="0" applyFont="1" applyFill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4" borderId="4" xfId="0" applyFont="1" applyFill="1" applyBorder="1" applyAlignment="1">
      <alignment horizontal="center" vertical="center"/>
    </xf>
    <xf numFmtId="0" fontId="76" fillId="4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80" fillId="4" borderId="26" xfId="0" applyFont="1" applyFill="1" applyBorder="1" applyAlignment="1">
      <alignment horizontal="center" vertical="center"/>
    </xf>
    <xf numFmtId="0" fontId="80" fillId="4" borderId="27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 wrapText="1"/>
    </xf>
    <xf numFmtId="0" fontId="95" fillId="0" borderId="9" xfId="0" applyFont="1" applyFill="1" applyBorder="1" applyAlignment="1">
      <alignment horizontal="left" vertical="center" wrapText="1"/>
    </xf>
    <xf numFmtId="0" fontId="95" fillId="0" borderId="8" xfId="0" applyFont="1" applyFill="1" applyBorder="1" applyAlignment="1">
      <alignment horizontal="left" vertical="center" wrapText="1"/>
    </xf>
    <xf numFmtId="0" fontId="87" fillId="4" borderId="10" xfId="0" applyFont="1" applyFill="1" applyBorder="1" applyAlignment="1">
      <alignment horizontal="left" vertical="center"/>
    </xf>
    <xf numFmtId="0" fontId="87" fillId="4" borderId="0" xfId="0" applyFont="1" applyFill="1" applyBorder="1" applyAlignment="1">
      <alignment horizontal="left" vertical="center"/>
    </xf>
    <xf numFmtId="0" fontId="87" fillId="4" borderId="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0" fillId="3" borderId="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center" wrapText="1"/>
    </xf>
    <xf numFmtId="0" fontId="96" fillId="0" borderId="4" xfId="0" applyFont="1" applyBorder="1" applyAlignment="1">
      <alignment horizontal="center" vertical="center" wrapText="1"/>
    </xf>
    <xf numFmtId="0" fontId="96" fillId="0" borderId="5" xfId="0" applyFont="1" applyBorder="1" applyAlignment="1">
      <alignment horizontal="center" vertical="center" wrapText="1"/>
    </xf>
    <xf numFmtId="0" fontId="96" fillId="0" borderId="6" xfId="0" applyFont="1" applyBorder="1" applyAlignment="1">
      <alignment horizontal="center" vertical="center" wrapText="1"/>
    </xf>
    <xf numFmtId="0" fontId="96" fillId="0" borderId="4" xfId="0" applyFont="1" applyBorder="1" applyAlignment="1">
      <alignment horizontal="left" vertical="center" wrapText="1"/>
    </xf>
    <xf numFmtId="0" fontId="96" fillId="0" borderId="5" xfId="0" applyFont="1" applyBorder="1" applyAlignment="1">
      <alignment horizontal="left" vertical="center" wrapText="1"/>
    </xf>
    <xf numFmtId="0" fontId="96" fillId="0" borderId="6" xfId="0" applyFont="1" applyBorder="1" applyAlignment="1">
      <alignment horizontal="left" vertical="center" wrapText="1"/>
    </xf>
    <xf numFmtId="3" fontId="96" fillId="0" borderId="4" xfId="0" applyNumberFormat="1" applyFont="1" applyBorder="1" applyAlignment="1">
      <alignment horizontal="left" vertical="center" wrapText="1"/>
    </xf>
    <xf numFmtId="11" fontId="96" fillId="0" borderId="4" xfId="0" applyNumberFormat="1" applyFont="1" applyBorder="1" applyAlignment="1">
      <alignment horizontal="left" vertical="center" wrapText="1"/>
    </xf>
    <xf numFmtId="11" fontId="96" fillId="0" borderId="5" xfId="0" applyNumberFormat="1" applyFont="1" applyBorder="1" applyAlignment="1">
      <alignment horizontal="left" vertical="center" wrapText="1"/>
    </xf>
    <xf numFmtId="11" fontId="96" fillId="0" borderId="6" xfId="0" applyNumberFormat="1" applyFont="1" applyBorder="1" applyAlignment="1">
      <alignment horizontal="left" vertical="center" wrapText="1"/>
    </xf>
    <xf numFmtId="0" fontId="96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</cellXfs>
  <cellStyles count="2242">
    <cellStyle name="20% - Accent1 2" xfId="28"/>
    <cellStyle name="20% - Accent1 2 2" xfId="689"/>
    <cellStyle name="20% - Accent2 2" xfId="29"/>
    <cellStyle name="20% - Accent2 2 2" xfId="690"/>
    <cellStyle name="20% - Accent3 2" xfId="30"/>
    <cellStyle name="20% - Accent3 2 2" xfId="78"/>
    <cellStyle name="20% - Accent3 2 3" xfId="84"/>
    <cellStyle name="20% - Accent3 2 4" xfId="90"/>
    <cellStyle name="20% - Accent3 2 5" xfId="691"/>
    <cellStyle name="20% - Accent4 2" xfId="31"/>
    <cellStyle name="20% - Accent4 2 2" xfId="692"/>
    <cellStyle name="20% - Accent5 2" xfId="32"/>
    <cellStyle name="20% - Accent5 2 2" xfId="693"/>
    <cellStyle name="20% - Accent6 2" xfId="33"/>
    <cellStyle name="20% - Accent6 2 2" xfId="694"/>
    <cellStyle name="40% - Accent1 2" xfId="34"/>
    <cellStyle name="40% - Accent1 2 2" xfId="695"/>
    <cellStyle name="40% - Accent2 2" xfId="35"/>
    <cellStyle name="40% - Accent2 2 2" xfId="696"/>
    <cellStyle name="40% - Accent3 2" xfId="36"/>
    <cellStyle name="40% - Accent3 2 2" xfId="697"/>
    <cellStyle name="40% - Accent4 2" xfId="37"/>
    <cellStyle name="40% - Accent4 2 2" xfId="698"/>
    <cellStyle name="40% - Accent5 2" xfId="38"/>
    <cellStyle name="40% - Accent5 2 2" xfId="699"/>
    <cellStyle name="40% - Accent6 2" xfId="39"/>
    <cellStyle name="40% - Accent6 2 2" xfId="700"/>
    <cellStyle name="60% - Accent1 2" xfId="40"/>
    <cellStyle name="60% - Accent2 10" xfId="109"/>
    <cellStyle name="60% - Accent2 11" xfId="110"/>
    <cellStyle name="60% - Accent2 12" xfId="5"/>
    <cellStyle name="60% - Accent2 2" xfId="41"/>
    <cellStyle name="60% - Accent2 2 10" xfId="111"/>
    <cellStyle name="60% - Accent2 2 11" xfId="112"/>
    <cellStyle name="60% - Accent2 2 2" xfId="113"/>
    <cellStyle name="60% - Accent2 2 3" xfId="114"/>
    <cellStyle name="60% - Accent2 2 4" xfId="115"/>
    <cellStyle name="60% - Accent2 2 5" xfId="116"/>
    <cellStyle name="60% - Accent2 2 6" xfId="117"/>
    <cellStyle name="60% - Accent2 2 7" xfId="118"/>
    <cellStyle name="60% - Accent2 2 8" xfId="119"/>
    <cellStyle name="60% - Accent2 2 9" xfId="120"/>
    <cellStyle name="60% - Accent2 3" xfId="121"/>
    <cellStyle name="60% - Accent2 4" xfId="122"/>
    <cellStyle name="60% - Accent2 5" xfId="123"/>
    <cellStyle name="60% - Accent2 6" xfId="124"/>
    <cellStyle name="60% - Accent2 7" xfId="125"/>
    <cellStyle name="60% - Accent2 8" xfId="126"/>
    <cellStyle name="60% - Accent2 9" xfId="127"/>
    <cellStyle name="60% - Accent3 2" xfId="42"/>
    <cellStyle name="60% - Accent4 10" xfId="128"/>
    <cellStyle name="60% - Accent4 11" xfId="129"/>
    <cellStyle name="60% - Accent4 12" xfId="6"/>
    <cellStyle name="60% - Accent4 2" xfId="43"/>
    <cellStyle name="60% - Accent4 2 10" xfId="130"/>
    <cellStyle name="60% - Accent4 2 11" xfId="131"/>
    <cellStyle name="60% - Accent4 2 2" xfId="132"/>
    <cellStyle name="60% - Accent4 2 3" xfId="133"/>
    <cellStyle name="60% - Accent4 2 4" xfId="134"/>
    <cellStyle name="60% - Accent4 2 5" xfId="135"/>
    <cellStyle name="60% - Accent4 2 6" xfId="136"/>
    <cellStyle name="60% - Accent4 2 7" xfId="137"/>
    <cellStyle name="60% - Accent4 2 8" xfId="138"/>
    <cellStyle name="60% - Accent4 2 9" xfId="139"/>
    <cellStyle name="60% - Accent4 3" xfId="140"/>
    <cellStyle name="60% - Accent4 4" xfId="141"/>
    <cellStyle name="60% - Accent4 5" xfId="142"/>
    <cellStyle name="60% - Accent4 6" xfId="143"/>
    <cellStyle name="60% - Accent4 7" xfId="144"/>
    <cellStyle name="60% - Accent4 8" xfId="145"/>
    <cellStyle name="60% - Accent4 9" xfId="146"/>
    <cellStyle name="60% - Accent5 2" xfId="44"/>
    <cellStyle name="60% - Accent6 10" xfId="147"/>
    <cellStyle name="60% - Accent6 11" xfId="148"/>
    <cellStyle name="60% - Accent6 12" xfId="7"/>
    <cellStyle name="60% - Accent6 2" xfId="45"/>
    <cellStyle name="60% - Accent6 2 10" xfId="149"/>
    <cellStyle name="60% - Accent6 2 11" xfId="150"/>
    <cellStyle name="60% - Accent6 2 2" xfId="151"/>
    <cellStyle name="60% - Accent6 2 3" xfId="152"/>
    <cellStyle name="60% - Accent6 2 4" xfId="153"/>
    <cellStyle name="60% - Accent6 2 5" xfId="154"/>
    <cellStyle name="60% - Accent6 2 6" xfId="155"/>
    <cellStyle name="60% - Accent6 2 7" xfId="156"/>
    <cellStyle name="60% - Accent6 2 8" xfId="157"/>
    <cellStyle name="60% - Accent6 2 9" xfId="158"/>
    <cellStyle name="60% - Accent6 3" xfId="159"/>
    <cellStyle name="60% - Accent6 4" xfId="160"/>
    <cellStyle name="60% - Accent6 5" xfId="161"/>
    <cellStyle name="60% - Accent6 6" xfId="162"/>
    <cellStyle name="60% - Accent6 7" xfId="163"/>
    <cellStyle name="60% - Accent6 8" xfId="164"/>
    <cellStyle name="60% - Accent6 9" xfId="165"/>
    <cellStyle name="Accent1 10" xfId="166"/>
    <cellStyle name="Accent1 11" xfId="167"/>
    <cellStyle name="Accent1 12" xfId="8"/>
    <cellStyle name="Accent1 2" xfId="46"/>
    <cellStyle name="Accent1 2 10" xfId="168"/>
    <cellStyle name="Accent1 2 11" xfId="169"/>
    <cellStyle name="Accent1 2 2" xfId="170"/>
    <cellStyle name="Accent1 2 3" xfId="171"/>
    <cellStyle name="Accent1 2 4" xfId="172"/>
    <cellStyle name="Accent1 2 5" xfId="173"/>
    <cellStyle name="Accent1 2 6" xfId="174"/>
    <cellStyle name="Accent1 2 7" xfId="175"/>
    <cellStyle name="Accent1 2 8" xfId="176"/>
    <cellStyle name="Accent1 2 9" xfId="177"/>
    <cellStyle name="Accent1 3" xfId="178"/>
    <cellStyle name="Accent1 4" xfId="179"/>
    <cellStyle name="Accent1 5" xfId="180"/>
    <cellStyle name="Accent1 6" xfId="181"/>
    <cellStyle name="Accent1 7" xfId="182"/>
    <cellStyle name="Accent1 8" xfId="183"/>
    <cellStyle name="Accent1 9" xfId="184"/>
    <cellStyle name="Accent2 10" xfId="185"/>
    <cellStyle name="Accent2 11" xfId="186"/>
    <cellStyle name="Accent2 12" xfId="9"/>
    <cellStyle name="Accent2 2" xfId="47"/>
    <cellStyle name="Accent2 2 10" xfId="187"/>
    <cellStyle name="Accent2 2 11" xfId="188"/>
    <cellStyle name="Accent2 2 2" xfId="189"/>
    <cellStyle name="Accent2 2 3" xfId="190"/>
    <cellStyle name="Accent2 2 4" xfId="191"/>
    <cellStyle name="Accent2 2 5" xfId="192"/>
    <cellStyle name="Accent2 2 6" xfId="193"/>
    <cellStyle name="Accent2 2 7" xfId="194"/>
    <cellStyle name="Accent2 2 8" xfId="195"/>
    <cellStyle name="Accent2 2 9" xfId="196"/>
    <cellStyle name="Accent2 3" xfId="197"/>
    <cellStyle name="Accent2 4" xfId="198"/>
    <cellStyle name="Accent2 5" xfId="199"/>
    <cellStyle name="Accent2 6" xfId="200"/>
    <cellStyle name="Accent2 7" xfId="201"/>
    <cellStyle name="Accent2 8" xfId="202"/>
    <cellStyle name="Accent2 9" xfId="203"/>
    <cellStyle name="Accent3 10" xfId="204"/>
    <cellStyle name="Accent3 11" xfId="205"/>
    <cellStyle name="Accent3 12" xfId="10"/>
    <cellStyle name="Accent3 2" xfId="48"/>
    <cellStyle name="Accent3 2 10" xfId="206"/>
    <cellStyle name="Accent3 2 11" xfId="207"/>
    <cellStyle name="Accent3 2 2" xfId="208"/>
    <cellStyle name="Accent3 2 3" xfId="209"/>
    <cellStyle name="Accent3 2 4" xfId="210"/>
    <cellStyle name="Accent3 2 5" xfId="211"/>
    <cellStyle name="Accent3 2 6" xfId="212"/>
    <cellStyle name="Accent3 2 7" xfId="213"/>
    <cellStyle name="Accent3 2 8" xfId="214"/>
    <cellStyle name="Accent3 2 9" xfId="215"/>
    <cellStyle name="Accent3 3" xfId="216"/>
    <cellStyle name="Accent3 4" xfId="217"/>
    <cellStyle name="Accent3 5" xfId="218"/>
    <cellStyle name="Accent3 6" xfId="219"/>
    <cellStyle name="Accent3 7" xfId="220"/>
    <cellStyle name="Accent3 8" xfId="221"/>
    <cellStyle name="Accent3 9" xfId="222"/>
    <cellStyle name="Accent4 10" xfId="223"/>
    <cellStyle name="Accent4 11" xfId="224"/>
    <cellStyle name="Accent4 12" xfId="11"/>
    <cellStyle name="Accent4 2" xfId="49"/>
    <cellStyle name="Accent4 2 10" xfId="225"/>
    <cellStyle name="Accent4 2 11" xfId="226"/>
    <cellStyle name="Accent4 2 2" xfId="227"/>
    <cellStyle name="Accent4 2 3" xfId="228"/>
    <cellStyle name="Accent4 2 4" xfId="229"/>
    <cellStyle name="Accent4 2 5" xfId="230"/>
    <cellStyle name="Accent4 2 6" xfId="231"/>
    <cellStyle name="Accent4 2 7" xfId="232"/>
    <cellStyle name="Accent4 2 8" xfId="233"/>
    <cellStyle name="Accent4 2 9" xfId="234"/>
    <cellStyle name="Accent4 3" xfId="235"/>
    <cellStyle name="Accent4 4" xfId="236"/>
    <cellStyle name="Accent4 5" xfId="237"/>
    <cellStyle name="Accent4 6" xfId="238"/>
    <cellStyle name="Accent4 7" xfId="239"/>
    <cellStyle name="Accent4 8" xfId="240"/>
    <cellStyle name="Accent4 9" xfId="241"/>
    <cellStyle name="Accent5 2" xfId="50"/>
    <cellStyle name="Accent6 2" xfId="51"/>
    <cellStyle name="Bad 2" xfId="52"/>
    <cellStyle name="Calculation 2" xfId="53"/>
    <cellStyle name="Calculation 2 2" xfId="80"/>
    <cellStyle name="Calculation 2 3" xfId="86"/>
    <cellStyle name="Calculation 2 4" xfId="92"/>
    <cellStyle name="Check Cell 2" xfId="54"/>
    <cellStyle name="Comma 2" xfId="26"/>
    <cellStyle name="Comma 2 2" xfId="701"/>
    <cellStyle name="Comma 3" xfId="499"/>
    <cellStyle name="Comma 3 2" xfId="559"/>
    <cellStyle name="Comma 3 2 2" xfId="668"/>
    <cellStyle name="Comma 3 2 2 2" xfId="702"/>
    <cellStyle name="Comma 3 2 2 2 2" xfId="1143"/>
    <cellStyle name="Comma 3 2 2 2 2 2" xfId="2019"/>
    <cellStyle name="Comma 3 2 2 2 3" xfId="1583"/>
    <cellStyle name="Comma 3 2 2 3" xfId="1122"/>
    <cellStyle name="Comma 3 2 2 3 2" xfId="1998"/>
    <cellStyle name="Comma 3 2 2 4" xfId="1562"/>
    <cellStyle name="Comma 3 2 3" xfId="703"/>
    <cellStyle name="Comma 3 2 3 2" xfId="1144"/>
    <cellStyle name="Comma 3 2 3 2 2" xfId="2020"/>
    <cellStyle name="Comma 3 2 3 3" xfId="1584"/>
    <cellStyle name="Comma 3 2 4" xfId="1014"/>
    <cellStyle name="Comma 3 2 4 2" xfId="1890"/>
    <cellStyle name="Comma 3 2 5" xfId="1454"/>
    <cellStyle name="Comma 3 3" xfId="613"/>
    <cellStyle name="Comma 3 3 2" xfId="704"/>
    <cellStyle name="Comma 3 3 2 2" xfId="1145"/>
    <cellStyle name="Comma 3 3 2 2 2" xfId="2021"/>
    <cellStyle name="Comma 3 3 2 3" xfId="1585"/>
    <cellStyle name="Comma 3 3 3" xfId="1067"/>
    <cellStyle name="Comma 3 3 3 2" xfId="1943"/>
    <cellStyle name="Comma 3 3 4" xfId="1507"/>
    <cellStyle name="Comma 3 4" xfId="705"/>
    <cellStyle name="Comma 3 4 2" xfId="1146"/>
    <cellStyle name="Comma 3 4 2 2" xfId="2022"/>
    <cellStyle name="Comma 3 4 3" xfId="1586"/>
    <cellStyle name="Comma 3 5" xfId="959"/>
    <cellStyle name="Comma 3 5 2" xfId="1835"/>
    <cellStyle name="Comma 3 6" xfId="1399"/>
    <cellStyle name="Comma 4" xfId="2241"/>
    <cellStyle name="Currency 2" xfId="12"/>
    <cellStyle name="Currency 2 2" xfId="77"/>
    <cellStyle name="Currency 2 2 2" xfId="242"/>
    <cellStyle name="Currency 2 2 2 2" xfId="706"/>
    <cellStyle name="Currency 2 2 3" xfId="243"/>
    <cellStyle name="Currency 2 2 3 2" xfId="707"/>
    <cellStyle name="Currency 2 3" xfId="83"/>
    <cellStyle name="Currency 2 3 2" xfId="244"/>
    <cellStyle name="Currency 2 3 2 2" xfId="708"/>
    <cellStyle name="Currency 2 3 3" xfId="245"/>
    <cellStyle name="Currency 2 3 3 2" xfId="709"/>
    <cellStyle name="Currency 2 4" xfId="89"/>
    <cellStyle name="Currency 2 5" xfId="710"/>
    <cellStyle name="Explanatory Text 10" xfId="246"/>
    <cellStyle name="Explanatory Text 11" xfId="247"/>
    <cellStyle name="Explanatory Text 12" xfId="13"/>
    <cellStyle name="Explanatory Text 2" xfId="55"/>
    <cellStyle name="Explanatory Text 2 10" xfId="248"/>
    <cellStyle name="Explanatory Text 2 11" xfId="249"/>
    <cellStyle name="Explanatory Text 2 2" xfId="250"/>
    <cellStyle name="Explanatory Text 2 3" xfId="251"/>
    <cellStyle name="Explanatory Text 2 4" xfId="252"/>
    <cellStyle name="Explanatory Text 2 5" xfId="253"/>
    <cellStyle name="Explanatory Text 2 6" xfId="254"/>
    <cellStyle name="Explanatory Text 2 7" xfId="255"/>
    <cellStyle name="Explanatory Text 2 8" xfId="256"/>
    <cellStyle name="Explanatory Text 2 9" xfId="257"/>
    <cellStyle name="Explanatory Text 3" xfId="258"/>
    <cellStyle name="Explanatory Text 4" xfId="259"/>
    <cellStyle name="Explanatory Text 5" xfId="260"/>
    <cellStyle name="Explanatory Text 6" xfId="261"/>
    <cellStyle name="Explanatory Text 7" xfId="262"/>
    <cellStyle name="Explanatory Text 8" xfId="263"/>
    <cellStyle name="Explanatory Text 9" xfId="264"/>
    <cellStyle name="Good 10" xfId="265"/>
    <cellStyle name="Good 11" xfId="266"/>
    <cellStyle name="Good 12" xfId="14"/>
    <cellStyle name="Good 2" xfId="56"/>
    <cellStyle name="Good 2 10" xfId="267"/>
    <cellStyle name="Good 2 11" xfId="268"/>
    <cellStyle name="Good 2 2" xfId="269"/>
    <cellStyle name="Good 2 3" xfId="270"/>
    <cellStyle name="Good 2 4" xfId="271"/>
    <cellStyle name="Good 2 5" xfId="272"/>
    <cellStyle name="Good 2 6" xfId="273"/>
    <cellStyle name="Good 2 7" xfId="274"/>
    <cellStyle name="Good 2 8" xfId="275"/>
    <cellStyle name="Good 2 9" xfId="276"/>
    <cellStyle name="Good 3" xfId="277"/>
    <cellStyle name="Good 4" xfId="278"/>
    <cellStyle name="Good 5" xfId="279"/>
    <cellStyle name="Good 6" xfId="280"/>
    <cellStyle name="Good 7" xfId="281"/>
    <cellStyle name="Good 8" xfId="282"/>
    <cellStyle name="Good 9" xfId="283"/>
    <cellStyle name="Heading 1 10" xfId="284"/>
    <cellStyle name="Heading 1 11" xfId="285"/>
    <cellStyle name="Heading 1 12" xfId="15"/>
    <cellStyle name="Heading 1 2" xfId="57"/>
    <cellStyle name="Heading 1 2 10" xfId="286"/>
    <cellStyle name="Heading 1 2 11" xfId="287"/>
    <cellStyle name="Heading 1 2 2" xfId="288"/>
    <cellStyle name="Heading 1 2 3" xfId="289"/>
    <cellStyle name="Heading 1 2 4" xfId="290"/>
    <cellStyle name="Heading 1 2 5" xfId="291"/>
    <cellStyle name="Heading 1 2 6" xfId="292"/>
    <cellStyle name="Heading 1 2 7" xfId="293"/>
    <cellStyle name="Heading 1 2 8" xfId="294"/>
    <cellStyle name="Heading 1 2 9" xfId="295"/>
    <cellStyle name="Heading 1 3" xfId="296"/>
    <cellStyle name="Heading 1 4" xfId="297"/>
    <cellStyle name="Heading 1 5" xfId="298"/>
    <cellStyle name="Heading 1 6" xfId="299"/>
    <cellStyle name="Heading 1 7" xfId="300"/>
    <cellStyle name="Heading 1 8" xfId="301"/>
    <cellStyle name="Heading 1 9" xfId="302"/>
    <cellStyle name="Heading 2 10" xfId="303"/>
    <cellStyle name="Heading 2 11" xfId="304"/>
    <cellStyle name="Heading 2 12" xfId="16"/>
    <cellStyle name="Heading 2 2" xfId="58"/>
    <cellStyle name="Heading 2 2 10" xfId="305"/>
    <cellStyle name="Heading 2 2 11" xfId="306"/>
    <cellStyle name="Heading 2 2 2" xfId="307"/>
    <cellStyle name="Heading 2 2 3" xfId="308"/>
    <cellStyle name="Heading 2 2 4" xfId="309"/>
    <cellStyle name="Heading 2 2 5" xfId="310"/>
    <cellStyle name="Heading 2 2 6" xfId="311"/>
    <cellStyle name="Heading 2 2 7" xfId="312"/>
    <cellStyle name="Heading 2 2 8" xfId="313"/>
    <cellStyle name="Heading 2 2 9" xfId="314"/>
    <cellStyle name="Heading 2 3" xfId="315"/>
    <cellStyle name="Heading 2 4" xfId="316"/>
    <cellStyle name="Heading 2 5" xfId="317"/>
    <cellStyle name="Heading 2 6" xfId="318"/>
    <cellStyle name="Heading 2 7" xfId="319"/>
    <cellStyle name="Heading 2 8" xfId="320"/>
    <cellStyle name="Heading 2 9" xfId="321"/>
    <cellStyle name="Heading 3 10" xfId="322"/>
    <cellStyle name="Heading 3 11" xfId="323"/>
    <cellStyle name="Heading 3 12" xfId="17"/>
    <cellStyle name="Heading 3 2" xfId="59"/>
    <cellStyle name="Heading 3 2 10" xfId="324"/>
    <cellStyle name="Heading 3 2 11" xfId="325"/>
    <cellStyle name="Heading 3 2 2" xfId="326"/>
    <cellStyle name="Heading 3 2 3" xfId="327"/>
    <cellStyle name="Heading 3 2 4" xfId="328"/>
    <cellStyle name="Heading 3 2 5" xfId="329"/>
    <cellStyle name="Heading 3 2 6" xfId="330"/>
    <cellStyle name="Heading 3 2 7" xfId="331"/>
    <cellStyle name="Heading 3 2 8" xfId="332"/>
    <cellStyle name="Heading 3 2 9" xfId="333"/>
    <cellStyle name="Heading 3 3" xfId="334"/>
    <cellStyle name="Heading 3 4" xfId="335"/>
    <cellStyle name="Heading 3 5" xfId="336"/>
    <cellStyle name="Heading 3 6" xfId="337"/>
    <cellStyle name="Heading 3 7" xfId="338"/>
    <cellStyle name="Heading 3 8" xfId="339"/>
    <cellStyle name="Heading 3 9" xfId="340"/>
    <cellStyle name="Heading 4 10" xfId="341"/>
    <cellStyle name="Heading 4 11" xfId="342"/>
    <cellStyle name="Heading 4 12" xfId="18"/>
    <cellStyle name="Heading 4 2" xfId="60"/>
    <cellStyle name="Heading 4 2 10" xfId="343"/>
    <cellStyle name="Heading 4 2 11" xfId="344"/>
    <cellStyle name="Heading 4 2 2" xfId="345"/>
    <cellStyle name="Heading 4 2 3" xfId="346"/>
    <cellStyle name="Heading 4 2 4" xfId="347"/>
    <cellStyle name="Heading 4 2 5" xfId="348"/>
    <cellStyle name="Heading 4 2 6" xfId="349"/>
    <cellStyle name="Heading 4 2 7" xfId="350"/>
    <cellStyle name="Heading 4 2 8" xfId="351"/>
    <cellStyle name="Heading 4 2 9" xfId="352"/>
    <cellStyle name="Heading 4 3" xfId="353"/>
    <cellStyle name="Heading 4 4" xfId="354"/>
    <cellStyle name="Heading 4 5" xfId="355"/>
    <cellStyle name="Heading 4 6" xfId="356"/>
    <cellStyle name="Heading 4 7" xfId="357"/>
    <cellStyle name="Heading 4 8" xfId="358"/>
    <cellStyle name="Heading 4 9" xfId="359"/>
    <cellStyle name="Input 2" xfId="61"/>
    <cellStyle name="Input 2 2" xfId="79"/>
    <cellStyle name="Input 2 3" xfId="85"/>
    <cellStyle name="Input 2 4" xfId="91"/>
    <cellStyle name="Linked Cell 10" xfId="360"/>
    <cellStyle name="Linked Cell 11" xfId="361"/>
    <cellStyle name="Linked Cell 12" xfId="19"/>
    <cellStyle name="Linked Cell 2" xfId="62"/>
    <cellStyle name="Linked Cell 2 10" xfId="362"/>
    <cellStyle name="Linked Cell 2 11" xfId="363"/>
    <cellStyle name="Linked Cell 2 2" xfId="364"/>
    <cellStyle name="Linked Cell 2 3" xfId="365"/>
    <cellStyle name="Linked Cell 2 4" xfId="366"/>
    <cellStyle name="Linked Cell 2 5" xfId="367"/>
    <cellStyle name="Linked Cell 2 6" xfId="368"/>
    <cellStyle name="Linked Cell 2 7" xfId="369"/>
    <cellStyle name="Linked Cell 2 8" xfId="370"/>
    <cellStyle name="Linked Cell 2 9" xfId="371"/>
    <cellStyle name="Linked Cell 3" xfId="372"/>
    <cellStyle name="Linked Cell 4" xfId="373"/>
    <cellStyle name="Linked Cell 5" xfId="374"/>
    <cellStyle name="Linked Cell 6" xfId="375"/>
    <cellStyle name="Linked Cell 7" xfId="376"/>
    <cellStyle name="Linked Cell 8" xfId="377"/>
    <cellStyle name="Linked Cell 9" xfId="378"/>
    <cellStyle name="Neutral 10" xfId="379"/>
    <cellStyle name="Neutral 11" xfId="380"/>
    <cellStyle name="Neutral 12" xfId="20"/>
    <cellStyle name="Neutral 2" xfId="63"/>
    <cellStyle name="Neutral 2 10" xfId="381"/>
    <cellStyle name="Neutral 2 11" xfId="382"/>
    <cellStyle name="Neutral 2 2" xfId="383"/>
    <cellStyle name="Neutral 2 3" xfId="384"/>
    <cellStyle name="Neutral 2 4" xfId="385"/>
    <cellStyle name="Neutral 2 5" xfId="386"/>
    <cellStyle name="Neutral 2 6" xfId="387"/>
    <cellStyle name="Neutral 2 7" xfId="388"/>
    <cellStyle name="Neutral 2 8" xfId="389"/>
    <cellStyle name="Neutral 2 9" xfId="390"/>
    <cellStyle name="Neutral 3" xfId="391"/>
    <cellStyle name="Neutral 4" xfId="392"/>
    <cellStyle name="Neutral 5" xfId="393"/>
    <cellStyle name="Neutral 6" xfId="394"/>
    <cellStyle name="Neutral 7" xfId="395"/>
    <cellStyle name="Neutral 8" xfId="396"/>
    <cellStyle name="Neutral 9" xfId="397"/>
    <cellStyle name="Normal" xfId="0" builtinId="0"/>
    <cellStyle name="Normal 10" xfId="21"/>
    <cellStyle name="Normal 10 2" xfId="3"/>
    <cellStyle name="Normal 11" xfId="87"/>
    <cellStyle name="Normal 11 2" xfId="534"/>
    <cellStyle name="Normal 11 2 2" xfId="643"/>
    <cellStyle name="Normal 11 2 2 2" xfId="711"/>
    <cellStyle name="Normal 11 2 2 2 2" xfId="1147"/>
    <cellStyle name="Normal 11 2 2 2 2 2" xfId="2023"/>
    <cellStyle name="Normal 11 2 2 2 3" xfId="1587"/>
    <cellStyle name="Normal 11 2 2 3" xfId="1097"/>
    <cellStyle name="Normal 11 2 2 3 2" xfId="1973"/>
    <cellStyle name="Normal 11 2 2 4" xfId="1537"/>
    <cellStyle name="Normal 11 2 3" xfId="712"/>
    <cellStyle name="Normal 11 2 3 2" xfId="1148"/>
    <cellStyle name="Normal 11 2 3 2 2" xfId="2024"/>
    <cellStyle name="Normal 11 2 3 3" xfId="1588"/>
    <cellStyle name="Normal 11 2 4" xfId="989"/>
    <cellStyle name="Normal 11 2 4 2" xfId="1865"/>
    <cellStyle name="Normal 11 2 5" xfId="1429"/>
    <cellStyle name="Normal 11 3" xfId="588"/>
    <cellStyle name="Normal 11 3 2" xfId="713"/>
    <cellStyle name="Normal 11 3 2 2" xfId="1149"/>
    <cellStyle name="Normal 11 3 2 2 2" xfId="2025"/>
    <cellStyle name="Normal 11 3 2 3" xfId="1589"/>
    <cellStyle name="Normal 11 3 3" xfId="1042"/>
    <cellStyle name="Normal 11 3 3 2" xfId="1918"/>
    <cellStyle name="Normal 11 3 4" xfId="1482"/>
    <cellStyle name="Normal 11 4" xfId="714"/>
    <cellStyle name="Normal 11 4 2" xfId="1150"/>
    <cellStyle name="Normal 11 4 2 2" xfId="2026"/>
    <cellStyle name="Normal 11 4 3" xfId="1590"/>
    <cellStyle name="Normal 11 5" xfId="934"/>
    <cellStyle name="Normal 11 5 2" xfId="1810"/>
    <cellStyle name="Normal 11 6" xfId="1374"/>
    <cellStyle name="Normal 12" xfId="93"/>
    <cellStyle name="Normal 12 2" xfId="535"/>
    <cellStyle name="Normal 12 2 2" xfId="644"/>
    <cellStyle name="Normal 12 2 2 2" xfId="715"/>
    <cellStyle name="Normal 12 2 2 2 2" xfId="1151"/>
    <cellStyle name="Normal 12 2 2 2 2 2" xfId="2027"/>
    <cellStyle name="Normal 12 2 2 2 3" xfId="1591"/>
    <cellStyle name="Normal 12 2 2 3" xfId="1098"/>
    <cellStyle name="Normal 12 2 2 3 2" xfId="1974"/>
    <cellStyle name="Normal 12 2 2 4" xfId="1538"/>
    <cellStyle name="Normal 12 2 3" xfId="716"/>
    <cellStyle name="Normal 12 2 3 2" xfId="1152"/>
    <cellStyle name="Normal 12 2 3 2 2" xfId="2028"/>
    <cellStyle name="Normal 12 2 3 3" xfId="1592"/>
    <cellStyle name="Normal 12 2 4" xfId="990"/>
    <cellStyle name="Normal 12 2 4 2" xfId="1866"/>
    <cellStyle name="Normal 12 2 5" xfId="1430"/>
    <cellStyle name="Normal 12 3" xfId="589"/>
    <cellStyle name="Normal 12 3 2" xfId="717"/>
    <cellStyle name="Normal 12 3 2 2" xfId="1153"/>
    <cellStyle name="Normal 12 3 2 2 2" xfId="2029"/>
    <cellStyle name="Normal 12 3 2 3" xfId="1593"/>
    <cellStyle name="Normal 12 3 3" xfId="1043"/>
    <cellStyle name="Normal 12 3 3 2" xfId="1919"/>
    <cellStyle name="Normal 12 3 4" xfId="1483"/>
    <cellStyle name="Normal 12 4" xfId="718"/>
    <cellStyle name="Normal 12 4 2" xfId="1154"/>
    <cellStyle name="Normal 12 4 2 2" xfId="2030"/>
    <cellStyle name="Normal 12 4 3" xfId="1594"/>
    <cellStyle name="Normal 12 5" xfId="935"/>
    <cellStyle name="Normal 12 5 2" xfId="1811"/>
    <cellStyle name="Normal 12 6" xfId="1375"/>
    <cellStyle name="Normal 13" xfId="94"/>
    <cellStyle name="Normal 13 2" xfId="536"/>
    <cellStyle name="Normal 13 2 2" xfId="645"/>
    <cellStyle name="Normal 13 2 2 2" xfId="719"/>
    <cellStyle name="Normal 13 2 2 2 2" xfId="1155"/>
    <cellStyle name="Normal 13 2 2 2 2 2" xfId="2031"/>
    <cellStyle name="Normal 13 2 2 2 3" xfId="1595"/>
    <cellStyle name="Normal 13 2 2 3" xfId="1099"/>
    <cellStyle name="Normal 13 2 2 3 2" xfId="1975"/>
    <cellStyle name="Normal 13 2 2 4" xfId="1539"/>
    <cellStyle name="Normal 13 2 3" xfId="720"/>
    <cellStyle name="Normal 13 2 3 2" xfId="1156"/>
    <cellStyle name="Normal 13 2 3 2 2" xfId="2032"/>
    <cellStyle name="Normal 13 2 3 3" xfId="1596"/>
    <cellStyle name="Normal 13 2 4" xfId="991"/>
    <cellStyle name="Normal 13 2 4 2" xfId="1867"/>
    <cellStyle name="Normal 13 2 5" xfId="1431"/>
    <cellStyle name="Normal 13 3" xfId="590"/>
    <cellStyle name="Normal 13 3 2" xfId="721"/>
    <cellStyle name="Normal 13 3 2 2" xfId="1157"/>
    <cellStyle name="Normal 13 3 2 2 2" xfId="2033"/>
    <cellStyle name="Normal 13 3 2 3" xfId="1597"/>
    <cellStyle name="Normal 13 3 3" xfId="1044"/>
    <cellStyle name="Normal 13 3 3 2" xfId="1920"/>
    <cellStyle name="Normal 13 3 4" xfId="1484"/>
    <cellStyle name="Normal 13 4" xfId="722"/>
    <cellStyle name="Normal 13 4 2" xfId="1158"/>
    <cellStyle name="Normal 13 4 2 2" xfId="2034"/>
    <cellStyle name="Normal 13 4 3" xfId="1598"/>
    <cellStyle name="Normal 13 5" xfId="936"/>
    <cellStyle name="Normal 13 5 2" xfId="1812"/>
    <cellStyle name="Normal 13 6" xfId="1376"/>
    <cellStyle name="Normal 14" xfId="95"/>
    <cellStyle name="Normal 14 2" xfId="2"/>
    <cellStyle name="Normal 14 3" xfId="537"/>
    <cellStyle name="Normal 14 3 2" xfId="646"/>
    <cellStyle name="Normal 14 3 2 2" xfId="723"/>
    <cellStyle name="Normal 14 3 2 2 2" xfId="1159"/>
    <cellStyle name="Normal 14 3 2 2 2 2" xfId="2035"/>
    <cellStyle name="Normal 14 3 2 2 3" xfId="1599"/>
    <cellStyle name="Normal 14 3 2 3" xfId="1100"/>
    <cellStyle name="Normal 14 3 2 3 2" xfId="1976"/>
    <cellStyle name="Normal 14 3 2 4" xfId="1540"/>
    <cellStyle name="Normal 14 3 3" xfId="724"/>
    <cellStyle name="Normal 14 3 3 2" xfId="1160"/>
    <cellStyle name="Normal 14 3 3 2 2" xfId="2036"/>
    <cellStyle name="Normal 14 3 3 3" xfId="1600"/>
    <cellStyle name="Normal 14 3 4" xfId="992"/>
    <cellStyle name="Normal 14 3 4 2" xfId="1868"/>
    <cellStyle name="Normal 14 3 5" xfId="1432"/>
    <cellStyle name="Normal 14 4" xfId="591"/>
    <cellStyle name="Normal 14 4 2" xfId="725"/>
    <cellStyle name="Normal 14 4 2 2" xfId="1161"/>
    <cellStyle name="Normal 14 4 2 2 2" xfId="2037"/>
    <cellStyle name="Normal 14 4 2 3" xfId="1601"/>
    <cellStyle name="Normal 14 4 3" xfId="1045"/>
    <cellStyle name="Normal 14 4 3 2" xfId="1921"/>
    <cellStyle name="Normal 14 4 4" xfId="1485"/>
    <cellStyle name="Normal 14 5" xfId="726"/>
    <cellStyle name="Normal 14 5 2" xfId="1162"/>
    <cellStyle name="Normal 14 5 2 2" xfId="2038"/>
    <cellStyle name="Normal 14 5 3" xfId="1602"/>
    <cellStyle name="Normal 14 6" xfId="937"/>
    <cellStyle name="Normal 14 6 2" xfId="1813"/>
    <cellStyle name="Normal 14 7" xfId="1377"/>
    <cellStyle name="Normal 15" xfId="96"/>
    <cellStyle name="Normal 15 2" xfId="538"/>
    <cellStyle name="Normal 15 2 2" xfId="647"/>
    <cellStyle name="Normal 15 2 2 2" xfId="727"/>
    <cellStyle name="Normal 15 2 2 2 2" xfId="1163"/>
    <cellStyle name="Normal 15 2 2 2 2 2" xfId="2039"/>
    <cellStyle name="Normal 15 2 2 2 3" xfId="1603"/>
    <cellStyle name="Normal 15 2 2 3" xfId="1101"/>
    <cellStyle name="Normal 15 2 2 3 2" xfId="1977"/>
    <cellStyle name="Normal 15 2 2 4" xfId="1541"/>
    <cellStyle name="Normal 15 2 3" xfId="728"/>
    <cellStyle name="Normal 15 2 3 2" xfId="1164"/>
    <cellStyle name="Normal 15 2 3 2 2" xfId="2040"/>
    <cellStyle name="Normal 15 2 3 3" xfId="1604"/>
    <cellStyle name="Normal 15 2 4" xfId="993"/>
    <cellStyle name="Normal 15 2 4 2" xfId="1869"/>
    <cellStyle name="Normal 15 2 5" xfId="1433"/>
    <cellStyle name="Normal 15 3" xfId="592"/>
    <cellStyle name="Normal 15 3 2" xfId="729"/>
    <cellStyle name="Normal 15 3 2 2" xfId="1165"/>
    <cellStyle name="Normal 15 3 2 2 2" xfId="2041"/>
    <cellStyle name="Normal 15 3 2 3" xfId="1605"/>
    <cellStyle name="Normal 15 3 3" xfId="1046"/>
    <cellStyle name="Normal 15 3 3 2" xfId="1922"/>
    <cellStyle name="Normal 15 3 4" xfId="1486"/>
    <cellStyle name="Normal 15 4" xfId="730"/>
    <cellStyle name="Normal 15 4 2" xfId="1166"/>
    <cellStyle name="Normal 15 4 2 2" xfId="2042"/>
    <cellStyle name="Normal 15 4 3" xfId="1606"/>
    <cellStyle name="Normal 15 5" xfId="938"/>
    <cellStyle name="Normal 15 5 2" xfId="1814"/>
    <cellStyle name="Normal 15 6" xfId="1378"/>
    <cellStyle name="Normal 16" xfId="97"/>
    <cellStyle name="Normal 16 2" xfId="539"/>
    <cellStyle name="Normal 16 2 2" xfId="648"/>
    <cellStyle name="Normal 16 2 2 2" xfId="731"/>
    <cellStyle name="Normal 16 2 2 2 2" xfId="1167"/>
    <cellStyle name="Normal 16 2 2 2 2 2" xfId="2043"/>
    <cellStyle name="Normal 16 2 2 2 3" xfId="1607"/>
    <cellStyle name="Normal 16 2 2 3" xfId="1102"/>
    <cellStyle name="Normal 16 2 2 3 2" xfId="1978"/>
    <cellStyle name="Normal 16 2 2 4" xfId="1542"/>
    <cellStyle name="Normal 16 2 3" xfId="732"/>
    <cellStyle name="Normal 16 2 3 2" xfId="1168"/>
    <cellStyle name="Normal 16 2 3 2 2" xfId="2044"/>
    <cellStyle name="Normal 16 2 3 3" xfId="1608"/>
    <cellStyle name="Normal 16 2 4" xfId="994"/>
    <cellStyle name="Normal 16 2 4 2" xfId="1870"/>
    <cellStyle name="Normal 16 2 5" xfId="1434"/>
    <cellStyle name="Normal 16 3" xfId="593"/>
    <cellStyle name="Normal 16 3 2" xfId="733"/>
    <cellStyle name="Normal 16 3 2 2" xfId="1169"/>
    <cellStyle name="Normal 16 3 2 2 2" xfId="2045"/>
    <cellStyle name="Normal 16 3 2 3" xfId="1609"/>
    <cellStyle name="Normal 16 3 3" xfId="1047"/>
    <cellStyle name="Normal 16 3 3 2" xfId="1923"/>
    <cellStyle name="Normal 16 3 4" xfId="1487"/>
    <cellStyle name="Normal 16 4" xfId="734"/>
    <cellStyle name="Normal 16 4 2" xfId="1170"/>
    <cellStyle name="Normal 16 4 2 2" xfId="2046"/>
    <cellStyle name="Normal 16 4 3" xfId="1610"/>
    <cellStyle name="Normal 16 5" xfId="939"/>
    <cellStyle name="Normal 16 5 2" xfId="1815"/>
    <cellStyle name="Normal 16 6" xfId="1379"/>
    <cellStyle name="Normal 17" xfId="98"/>
    <cellStyle name="Normal 17 2" xfId="99"/>
    <cellStyle name="Normal 17 3" xfId="540"/>
    <cellStyle name="Normal 17 3 2" xfId="649"/>
    <cellStyle name="Normal 17 3 2 2" xfId="735"/>
    <cellStyle name="Normal 17 3 2 2 2" xfId="1171"/>
    <cellStyle name="Normal 17 3 2 2 2 2" xfId="2047"/>
    <cellStyle name="Normal 17 3 2 2 3" xfId="1611"/>
    <cellStyle name="Normal 17 3 2 3" xfId="1103"/>
    <cellStyle name="Normal 17 3 2 3 2" xfId="1979"/>
    <cellStyle name="Normal 17 3 2 4" xfId="1543"/>
    <cellStyle name="Normal 17 3 3" xfId="736"/>
    <cellStyle name="Normal 17 3 3 2" xfId="1172"/>
    <cellStyle name="Normal 17 3 3 2 2" xfId="2048"/>
    <cellStyle name="Normal 17 3 3 3" xfId="1612"/>
    <cellStyle name="Normal 17 3 4" xfId="995"/>
    <cellStyle name="Normal 17 3 4 2" xfId="1871"/>
    <cellStyle name="Normal 17 3 5" xfId="1435"/>
    <cellStyle name="Normal 17 4" xfId="594"/>
    <cellStyle name="Normal 17 4 2" xfId="737"/>
    <cellStyle name="Normal 17 4 2 2" xfId="1173"/>
    <cellStyle name="Normal 17 4 2 2 2" xfId="2049"/>
    <cellStyle name="Normal 17 4 2 3" xfId="1613"/>
    <cellStyle name="Normal 17 4 3" xfId="1048"/>
    <cellStyle name="Normal 17 4 3 2" xfId="1924"/>
    <cellStyle name="Normal 17 4 4" xfId="1488"/>
    <cellStyle name="Normal 17 5" xfId="738"/>
    <cellStyle name="Normal 17 5 2" xfId="1174"/>
    <cellStyle name="Normal 17 5 2 2" xfId="2050"/>
    <cellStyle name="Normal 17 5 3" xfId="1614"/>
    <cellStyle name="Normal 17 6" xfId="940"/>
    <cellStyle name="Normal 17 6 2" xfId="1816"/>
    <cellStyle name="Normal 17 7" xfId="1380"/>
    <cellStyle name="Normal 18" xfId="100"/>
    <cellStyle name="Normal 19" xfId="101"/>
    <cellStyle name="Normal 2" xfId="25"/>
    <cellStyle name="Normal 2 10" xfId="398"/>
    <cellStyle name="Normal 2 10 2" xfId="541"/>
    <cellStyle name="Normal 2 10 2 2" xfId="650"/>
    <cellStyle name="Normal 2 10 2 2 2" xfId="739"/>
    <cellStyle name="Normal 2 10 2 2 2 2" xfId="1175"/>
    <cellStyle name="Normal 2 10 2 2 2 2 2" xfId="2051"/>
    <cellStyle name="Normal 2 10 2 2 2 3" xfId="1615"/>
    <cellStyle name="Normal 2 10 2 2 3" xfId="1104"/>
    <cellStyle name="Normal 2 10 2 2 3 2" xfId="1980"/>
    <cellStyle name="Normal 2 10 2 2 4" xfId="1544"/>
    <cellStyle name="Normal 2 10 2 3" xfId="740"/>
    <cellStyle name="Normal 2 10 2 3 2" xfId="1176"/>
    <cellStyle name="Normal 2 10 2 3 2 2" xfId="2052"/>
    <cellStyle name="Normal 2 10 2 3 3" xfId="1616"/>
    <cellStyle name="Normal 2 10 2 4" xfId="996"/>
    <cellStyle name="Normal 2 10 2 4 2" xfId="1872"/>
    <cellStyle name="Normal 2 10 2 5" xfId="1436"/>
    <cellStyle name="Normal 2 10 3" xfId="595"/>
    <cellStyle name="Normal 2 10 3 2" xfId="741"/>
    <cellStyle name="Normal 2 10 3 2 2" xfId="1177"/>
    <cellStyle name="Normal 2 10 3 2 2 2" xfId="2053"/>
    <cellStyle name="Normal 2 10 3 2 3" xfId="1617"/>
    <cellStyle name="Normal 2 10 3 3" xfId="1049"/>
    <cellStyle name="Normal 2 10 3 3 2" xfId="1925"/>
    <cellStyle name="Normal 2 10 3 4" xfId="1489"/>
    <cellStyle name="Normal 2 10 4" xfId="742"/>
    <cellStyle name="Normal 2 10 4 2" xfId="1178"/>
    <cellStyle name="Normal 2 10 4 2 2" xfId="2054"/>
    <cellStyle name="Normal 2 10 4 3" xfId="1618"/>
    <cellStyle name="Normal 2 10 5" xfId="941"/>
    <cellStyle name="Normal 2 10 5 2" xfId="1817"/>
    <cellStyle name="Normal 2 10 6" xfId="1381"/>
    <cellStyle name="Normal 2 11" xfId="399"/>
    <cellStyle name="Normal 2 11 2" xfId="542"/>
    <cellStyle name="Normal 2 11 2 2" xfId="651"/>
    <cellStyle name="Normal 2 11 2 2 2" xfId="743"/>
    <cellStyle name="Normal 2 11 2 2 2 2" xfId="1179"/>
    <cellStyle name="Normal 2 11 2 2 2 2 2" xfId="2055"/>
    <cellStyle name="Normal 2 11 2 2 2 3" xfId="1619"/>
    <cellStyle name="Normal 2 11 2 2 3" xfId="1105"/>
    <cellStyle name="Normal 2 11 2 2 3 2" xfId="1981"/>
    <cellStyle name="Normal 2 11 2 2 4" xfId="1545"/>
    <cellStyle name="Normal 2 11 2 3" xfId="744"/>
    <cellStyle name="Normal 2 11 2 3 2" xfId="1180"/>
    <cellStyle name="Normal 2 11 2 3 2 2" xfId="2056"/>
    <cellStyle name="Normal 2 11 2 3 3" xfId="1620"/>
    <cellStyle name="Normal 2 11 2 4" xfId="997"/>
    <cellStyle name="Normal 2 11 2 4 2" xfId="1873"/>
    <cellStyle name="Normal 2 11 2 5" xfId="1437"/>
    <cellStyle name="Normal 2 11 3" xfId="596"/>
    <cellStyle name="Normal 2 11 3 2" xfId="745"/>
    <cellStyle name="Normal 2 11 3 2 2" xfId="1181"/>
    <cellStyle name="Normal 2 11 3 2 2 2" xfId="2057"/>
    <cellStyle name="Normal 2 11 3 2 3" xfId="1621"/>
    <cellStyle name="Normal 2 11 3 3" xfId="1050"/>
    <cellStyle name="Normal 2 11 3 3 2" xfId="1926"/>
    <cellStyle name="Normal 2 11 3 4" xfId="1490"/>
    <cellStyle name="Normal 2 11 4" xfId="746"/>
    <cellStyle name="Normal 2 11 4 2" xfId="1182"/>
    <cellStyle name="Normal 2 11 4 2 2" xfId="2058"/>
    <cellStyle name="Normal 2 11 4 3" xfId="1622"/>
    <cellStyle name="Normal 2 11 5" xfId="942"/>
    <cellStyle name="Normal 2 11 5 2" xfId="1818"/>
    <cellStyle name="Normal 2 11 6" xfId="1382"/>
    <cellStyle name="Normal 2 12" xfId="400"/>
    <cellStyle name="Normal 2 12 2" xfId="543"/>
    <cellStyle name="Normal 2 12 2 2" xfId="652"/>
    <cellStyle name="Normal 2 12 2 2 2" xfId="747"/>
    <cellStyle name="Normal 2 12 2 2 2 2" xfId="1183"/>
    <cellStyle name="Normal 2 12 2 2 2 2 2" xfId="2059"/>
    <cellStyle name="Normal 2 12 2 2 2 3" xfId="1623"/>
    <cellStyle name="Normal 2 12 2 2 3" xfId="1106"/>
    <cellStyle name="Normal 2 12 2 2 3 2" xfId="1982"/>
    <cellStyle name="Normal 2 12 2 2 4" xfId="1546"/>
    <cellStyle name="Normal 2 12 2 3" xfId="748"/>
    <cellStyle name="Normal 2 12 2 3 2" xfId="1184"/>
    <cellStyle name="Normal 2 12 2 3 2 2" xfId="2060"/>
    <cellStyle name="Normal 2 12 2 3 3" xfId="1624"/>
    <cellStyle name="Normal 2 12 2 4" xfId="998"/>
    <cellStyle name="Normal 2 12 2 4 2" xfId="1874"/>
    <cellStyle name="Normal 2 12 2 5" xfId="1438"/>
    <cellStyle name="Normal 2 12 3" xfId="597"/>
    <cellStyle name="Normal 2 12 3 2" xfId="749"/>
    <cellStyle name="Normal 2 12 3 2 2" xfId="1185"/>
    <cellStyle name="Normal 2 12 3 2 2 2" xfId="2061"/>
    <cellStyle name="Normal 2 12 3 2 3" xfId="1625"/>
    <cellStyle name="Normal 2 12 3 3" xfId="1051"/>
    <cellStyle name="Normal 2 12 3 3 2" xfId="1927"/>
    <cellStyle name="Normal 2 12 3 4" xfId="1491"/>
    <cellStyle name="Normal 2 12 4" xfId="750"/>
    <cellStyle name="Normal 2 12 4 2" xfId="1186"/>
    <cellStyle name="Normal 2 12 4 2 2" xfId="2062"/>
    <cellStyle name="Normal 2 12 4 3" xfId="1626"/>
    <cellStyle name="Normal 2 12 5" xfId="943"/>
    <cellStyle name="Normal 2 12 5 2" xfId="1819"/>
    <cellStyle name="Normal 2 12 6" xfId="1383"/>
    <cellStyle name="Normal 2 13" xfId="401"/>
    <cellStyle name="Normal 2 13 2" xfId="544"/>
    <cellStyle name="Normal 2 13 2 2" xfId="653"/>
    <cellStyle name="Normal 2 13 2 2 2" xfId="751"/>
    <cellStyle name="Normal 2 13 2 2 2 2" xfId="1187"/>
    <cellStyle name="Normal 2 13 2 2 2 2 2" xfId="2063"/>
    <cellStyle name="Normal 2 13 2 2 2 3" xfId="1627"/>
    <cellStyle name="Normal 2 13 2 2 3" xfId="1107"/>
    <cellStyle name="Normal 2 13 2 2 3 2" xfId="1983"/>
    <cellStyle name="Normal 2 13 2 2 4" xfId="1547"/>
    <cellStyle name="Normal 2 13 2 3" xfId="752"/>
    <cellStyle name="Normal 2 13 2 3 2" xfId="1188"/>
    <cellStyle name="Normal 2 13 2 3 2 2" xfId="2064"/>
    <cellStyle name="Normal 2 13 2 3 3" xfId="1628"/>
    <cellStyle name="Normal 2 13 2 4" xfId="999"/>
    <cellStyle name="Normal 2 13 2 4 2" xfId="1875"/>
    <cellStyle name="Normal 2 13 2 5" xfId="1439"/>
    <cellStyle name="Normal 2 13 3" xfId="598"/>
    <cellStyle name="Normal 2 13 3 2" xfId="753"/>
    <cellStyle name="Normal 2 13 3 2 2" xfId="1189"/>
    <cellStyle name="Normal 2 13 3 2 2 2" xfId="2065"/>
    <cellStyle name="Normal 2 13 3 2 3" xfId="1629"/>
    <cellStyle name="Normal 2 13 3 3" xfId="1052"/>
    <cellStyle name="Normal 2 13 3 3 2" xfId="1928"/>
    <cellStyle name="Normal 2 13 3 4" xfId="1492"/>
    <cellStyle name="Normal 2 13 4" xfId="754"/>
    <cellStyle name="Normal 2 13 4 2" xfId="1190"/>
    <cellStyle name="Normal 2 13 4 2 2" xfId="2066"/>
    <cellStyle name="Normal 2 13 4 3" xfId="1630"/>
    <cellStyle name="Normal 2 13 5" xfId="944"/>
    <cellStyle name="Normal 2 13 5 2" xfId="1820"/>
    <cellStyle name="Normal 2 13 6" xfId="1384"/>
    <cellStyle name="Normal 2 14" xfId="402"/>
    <cellStyle name="Normal 2 14 2" xfId="545"/>
    <cellStyle name="Normal 2 14 2 2" xfId="654"/>
    <cellStyle name="Normal 2 14 2 2 2" xfId="755"/>
    <cellStyle name="Normal 2 14 2 2 2 2" xfId="1191"/>
    <cellStyle name="Normal 2 14 2 2 2 2 2" xfId="2067"/>
    <cellStyle name="Normal 2 14 2 2 2 3" xfId="1631"/>
    <cellStyle name="Normal 2 14 2 2 3" xfId="1108"/>
    <cellStyle name="Normal 2 14 2 2 3 2" xfId="1984"/>
    <cellStyle name="Normal 2 14 2 2 4" xfId="1548"/>
    <cellStyle name="Normal 2 14 2 3" xfId="756"/>
    <cellStyle name="Normal 2 14 2 3 2" xfId="1192"/>
    <cellStyle name="Normal 2 14 2 3 2 2" xfId="2068"/>
    <cellStyle name="Normal 2 14 2 3 3" xfId="1632"/>
    <cellStyle name="Normal 2 14 2 4" xfId="1000"/>
    <cellStyle name="Normal 2 14 2 4 2" xfId="1876"/>
    <cellStyle name="Normal 2 14 2 5" xfId="1440"/>
    <cellStyle name="Normal 2 14 3" xfId="599"/>
    <cellStyle name="Normal 2 14 3 2" xfId="757"/>
    <cellStyle name="Normal 2 14 3 2 2" xfId="1193"/>
    <cellStyle name="Normal 2 14 3 2 2 2" xfId="2069"/>
    <cellStyle name="Normal 2 14 3 2 3" xfId="1633"/>
    <cellStyle name="Normal 2 14 3 3" xfId="1053"/>
    <cellStyle name="Normal 2 14 3 3 2" xfId="1929"/>
    <cellStyle name="Normal 2 14 3 4" xfId="1493"/>
    <cellStyle name="Normal 2 14 4" xfId="758"/>
    <cellStyle name="Normal 2 14 4 2" xfId="1194"/>
    <cellStyle name="Normal 2 14 4 2 2" xfId="2070"/>
    <cellStyle name="Normal 2 14 4 3" xfId="1634"/>
    <cellStyle name="Normal 2 14 5" xfId="945"/>
    <cellStyle name="Normal 2 14 5 2" xfId="1821"/>
    <cellStyle name="Normal 2 14 6" xfId="1385"/>
    <cellStyle name="Normal 2 15" xfId="403"/>
    <cellStyle name="Normal 2 15 2" xfId="546"/>
    <cellStyle name="Normal 2 15 2 2" xfId="655"/>
    <cellStyle name="Normal 2 15 2 2 2" xfId="759"/>
    <cellStyle name="Normal 2 15 2 2 2 2" xfId="1195"/>
    <cellStyle name="Normal 2 15 2 2 2 2 2" xfId="2071"/>
    <cellStyle name="Normal 2 15 2 2 2 3" xfId="1635"/>
    <cellStyle name="Normal 2 15 2 2 3" xfId="1109"/>
    <cellStyle name="Normal 2 15 2 2 3 2" xfId="1985"/>
    <cellStyle name="Normal 2 15 2 2 4" xfId="1549"/>
    <cellStyle name="Normal 2 15 2 3" xfId="760"/>
    <cellStyle name="Normal 2 15 2 3 2" xfId="1196"/>
    <cellStyle name="Normal 2 15 2 3 2 2" xfId="2072"/>
    <cellStyle name="Normal 2 15 2 3 3" xfId="1636"/>
    <cellStyle name="Normal 2 15 2 4" xfId="1001"/>
    <cellStyle name="Normal 2 15 2 4 2" xfId="1877"/>
    <cellStyle name="Normal 2 15 2 5" xfId="1441"/>
    <cellStyle name="Normal 2 15 3" xfId="600"/>
    <cellStyle name="Normal 2 15 3 2" xfId="761"/>
    <cellStyle name="Normal 2 15 3 2 2" xfId="1197"/>
    <cellStyle name="Normal 2 15 3 2 2 2" xfId="2073"/>
    <cellStyle name="Normal 2 15 3 2 3" xfId="1637"/>
    <cellStyle name="Normal 2 15 3 3" xfId="1054"/>
    <cellStyle name="Normal 2 15 3 3 2" xfId="1930"/>
    <cellStyle name="Normal 2 15 3 4" xfId="1494"/>
    <cellStyle name="Normal 2 15 4" xfId="762"/>
    <cellStyle name="Normal 2 15 4 2" xfId="1198"/>
    <cellStyle name="Normal 2 15 4 2 2" xfId="2074"/>
    <cellStyle name="Normal 2 15 4 3" xfId="1638"/>
    <cellStyle name="Normal 2 15 5" xfId="946"/>
    <cellStyle name="Normal 2 15 5 2" xfId="1822"/>
    <cellStyle name="Normal 2 15 6" xfId="1386"/>
    <cellStyle name="Normal 2 16" xfId="505"/>
    <cellStyle name="Normal 2 16 2" xfId="565"/>
    <cellStyle name="Normal 2 16 2 2" xfId="674"/>
    <cellStyle name="Normal 2 16 2 2 2" xfId="763"/>
    <cellStyle name="Normal 2 16 2 2 2 2" xfId="1199"/>
    <cellStyle name="Normal 2 16 2 2 2 2 2" xfId="2075"/>
    <cellStyle name="Normal 2 16 2 2 2 3" xfId="1639"/>
    <cellStyle name="Normal 2 16 2 2 3" xfId="1128"/>
    <cellStyle name="Normal 2 16 2 2 3 2" xfId="2004"/>
    <cellStyle name="Normal 2 16 2 2 4" xfId="1568"/>
    <cellStyle name="Normal 2 16 2 3" xfId="764"/>
    <cellStyle name="Normal 2 16 2 3 2" xfId="1200"/>
    <cellStyle name="Normal 2 16 2 3 2 2" xfId="2076"/>
    <cellStyle name="Normal 2 16 2 3 3" xfId="1640"/>
    <cellStyle name="Normal 2 16 2 4" xfId="1020"/>
    <cellStyle name="Normal 2 16 2 4 2" xfId="1896"/>
    <cellStyle name="Normal 2 16 2 5" xfId="1460"/>
    <cellStyle name="Normal 2 16 3" xfId="619"/>
    <cellStyle name="Normal 2 16 3 2" xfId="765"/>
    <cellStyle name="Normal 2 16 3 2 2" xfId="1201"/>
    <cellStyle name="Normal 2 16 3 2 2 2" xfId="2077"/>
    <cellStyle name="Normal 2 16 3 2 3" xfId="1641"/>
    <cellStyle name="Normal 2 16 3 3" xfId="1073"/>
    <cellStyle name="Normal 2 16 3 3 2" xfId="1949"/>
    <cellStyle name="Normal 2 16 3 4" xfId="1513"/>
    <cellStyle name="Normal 2 16 4" xfId="766"/>
    <cellStyle name="Normal 2 16 4 2" xfId="1202"/>
    <cellStyle name="Normal 2 16 4 2 2" xfId="2078"/>
    <cellStyle name="Normal 2 16 4 3" xfId="1642"/>
    <cellStyle name="Normal 2 16 5" xfId="965"/>
    <cellStyle name="Normal 2 16 5 2" xfId="1841"/>
    <cellStyle name="Normal 2 16 6" xfId="1405"/>
    <cellStyle name="Normal 2 17" xfId="521"/>
    <cellStyle name="Normal 2 17 2" xfId="577"/>
    <cellStyle name="Normal 2 17 2 2" xfId="686"/>
    <cellStyle name="Normal 2 17 2 2 2" xfId="767"/>
    <cellStyle name="Normal 2 17 2 2 2 2" xfId="1203"/>
    <cellStyle name="Normal 2 17 2 2 2 2 2" xfId="2079"/>
    <cellStyle name="Normal 2 17 2 2 2 3" xfId="1643"/>
    <cellStyle name="Normal 2 17 2 2 3" xfId="1140"/>
    <cellStyle name="Normal 2 17 2 2 3 2" xfId="2016"/>
    <cellStyle name="Normal 2 17 2 2 4" xfId="1580"/>
    <cellStyle name="Normal 2 17 2 3" xfId="768"/>
    <cellStyle name="Normal 2 17 2 3 2" xfId="1204"/>
    <cellStyle name="Normal 2 17 2 3 2 2" xfId="2080"/>
    <cellStyle name="Normal 2 17 2 3 3" xfId="1644"/>
    <cellStyle name="Normal 2 17 2 4" xfId="1032"/>
    <cellStyle name="Normal 2 17 2 4 2" xfId="1908"/>
    <cellStyle name="Normal 2 17 2 5" xfId="1472"/>
    <cellStyle name="Normal 2 17 3" xfId="631"/>
    <cellStyle name="Normal 2 17 3 2" xfId="769"/>
    <cellStyle name="Normal 2 17 3 2 2" xfId="1205"/>
    <cellStyle name="Normal 2 17 3 2 2 2" xfId="2081"/>
    <cellStyle name="Normal 2 17 3 2 3" xfId="1645"/>
    <cellStyle name="Normal 2 17 3 3" xfId="1085"/>
    <cellStyle name="Normal 2 17 3 3 2" xfId="1961"/>
    <cellStyle name="Normal 2 17 3 4" xfId="1525"/>
    <cellStyle name="Normal 2 17 4" xfId="770"/>
    <cellStyle name="Normal 2 17 4 2" xfId="1206"/>
    <cellStyle name="Normal 2 17 4 2 2" xfId="2082"/>
    <cellStyle name="Normal 2 17 4 3" xfId="1646"/>
    <cellStyle name="Normal 2 17 5" xfId="977"/>
    <cellStyle name="Normal 2 17 5 2" xfId="1853"/>
    <cellStyle name="Normal 2 17 6" xfId="1417"/>
    <cellStyle name="Normal 2 18" xfId="525"/>
    <cellStyle name="Normal 2 18 2" xfId="634"/>
    <cellStyle name="Normal 2 18 2 2" xfId="771"/>
    <cellStyle name="Normal 2 18 2 2 2" xfId="1207"/>
    <cellStyle name="Normal 2 18 2 2 2 2" xfId="2083"/>
    <cellStyle name="Normal 2 18 2 2 3" xfId="1647"/>
    <cellStyle name="Normal 2 18 2 3" xfId="1088"/>
    <cellStyle name="Normal 2 18 2 3 2" xfId="1964"/>
    <cellStyle name="Normal 2 18 2 4" xfId="1528"/>
    <cellStyle name="Normal 2 18 3" xfId="772"/>
    <cellStyle name="Normal 2 18 3 2" xfId="1208"/>
    <cellStyle name="Normal 2 18 3 2 2" xfId="2084"/>
    <cellStyle name="Normal 2 18 3 3" xfId="1648"/>
    <cellStyle name="Normal 2 18 4" xfId="980"/>
    <cellStyle name="Normal 2 18 4 2" xfId="1856"/>
    <cellStyle name="Normal 2 18 5" xfId="1420"/>
    <cellStyle name="Normal 2 19" xfId="579"/>
    <cellStyle name="Normal 2 19 2" xfId="773"/>
    <cellStyle name="Normal 2 19 2 2" xfId="1209"/>
    <cellStyle name="Normal 2 19 2 2 2" xfId="2085"/>
    <cellStyle name="Normal 2 19 2 3" xfId="1649"/>
    <cellStyle name="Normal 2 19 3" xfId="1033"/>
    <cellStyle name="Normal 2 19 3 2" xfId="1909"/>
    <cellStyle name="Normal 2 19 4" xfId="1473"/>
    <cellStyle name="Normal 2 2" xfId="76"/>
    <cellStyle name="Normal 2 2 10" xfId="404"/>
    <cellStyle name="Normal 2 2 11" xfId="405"/>
    <cellStyle name="Normal 2 2 12" xfId="406"/>
    <cellStyle name="Normal 2 2 13" xfId="407"/>
    <cellStyle name="Normal 2 2 2" xfId="408"/>
    <cellStyle name="Normal 2 2 3" xfId="409"/>
    <cellStyle name="Normal 2 2 4" xfId="410"/>
    <cellStyle name="Normal 2 2 5" xfId="411"/>
    <cellStyle name="Normal 2 2 6" xfId="412"/>
    <cellStyle name="Normal 2 2 7" xfId="413"/>
    <cellStyle name="Normal 2 2 8" xfId="414"/>
    <cellStyle name="Normal 2 2 9" xfId="415"/>
    <cellStyle name="Normal 2 20" xfId="774"/>
    <cellStyle name="Normal 2 20 2" xfId="1210"/>
    <cellStyle name="Normal 2 20 2 2" xfId="2086"/>
    <cellStyle name="Normal 2 20 3" xfId="1650"/>
    <cellStyle name="Normal 2 21" xfId="925"/>
    <cellStyle name="Normal 2 21 2" xfId="1801"/>
    <cellStyle name="Normal 2 22" xfId="1361"/>
    <cellStyle name="Normal 2 22 2" xfId="2237"/>
    <cellStyle name="Normal 2 23" xfId="1362"/>
    <cellStyle name="Normal 2 23 2" xfId="2238"/>
    <cellStyle name="Normal 2 24" xfId="1363"/>
    <cellStyle name="Normal 2 24 2" xfId="2239"/>
    <cellStyle name="Normal 2 25" xfId="1364"/>
    <cellStyle name="Normal 2 25 2" xfId="2240"/>
    <cellStyle name="Normal 2 26" xfId="1365"/>
    <cellStyle name="Normal 2 3" xfId="82"/>
    <cellStyle name="Normal 2 3 2" xfId="416"/>
    <cellStyle name="Normal 2 3 3" xfId="417"/>
    <cellStyle name="Normal 2 4" xfId="88"/>
    <cellStyle name="Normal 2 4 2" xfId="418"/>
    <cellStyle name="Normal 2 4 3" xfId="419"/>
    <cellStyle name="Normal 2 5" xfId="420"/>
    <cellStyle name="Normal 2 5 2" xfId="421"/>
    <cellStyle name="Normal 2 5 3" xfId="422"/>
    <cellStyle name="Normal 2 5 4" xfId="547"/>
    <cellStyle name="Normal 2 5 4 2" xfId="656"/>
    <cellStyle name="Normal 2 5 4 2 2" xfId="775"/>
    <cellStyle name="Normal 2 5 4 2 2 2" xfId="1211"/>
    <cellStyle name="Normal 2 5 4 2 2 2 2" xfId="2087"/>
    <cellStyle name="Normal 2 5 4 2 2 3" xfId="1651"/>
    <cellStyle name="Normal 2 5 4 2 3" xfId="1110"/>
    <cellStyle name="Normal 2 5 4 2 3 2" xfId="1986"/>
    <cellStyle name="Normal 2 5 4 2 4" xfId="1550"/>
    <cellStyle name="Normal 2 5 4 3" xfId="776"/>
    <cellStyle name="Normal 2 5 4 3 2" xfId="1212"/>
    <cellStyle name="Normal 2 5 4 3 2 2" xfId="2088"/>
    <cellStyle name="Normal 2 5 4 3 3" xfId="1652"/>
    <cellStyle name="Normal 2 5 4 4" xfId="1002"/>
    <cellStyle name="Normal 2 5 4 4 2" xfId="1878"/>
    <cellStyle name="Normal 2 5 4 5" xfId="1442"/>
    <cellStyle name="Normal 2 5 5" xfId="601"/>
    <cellStyle name="Normal 2 5 5 2" xfId="777"/>
    <cellStyle name="Normal 2 5 5 2 2" xfId="1213"/>
    <cellStyle name="Normal 2 5 5 2 2 2" xfId="2089"/>
    <cellStyle name="Normal 2 5 5 2 3" xfId="1653"/>
    <cellStyle name="Normal 2 5 5 3" xfId="1055"/>
    <cellStyle name="Normal 2 5 5 3 2" xfId="1931"/>
    <cellStyle name="Normal 2 5 5 4" xfId="1495"/>
    <cellStyle name="Normal 2 5 6" xfId="778"/>
    <cellStyle name="Normal 2 5 6 2" xfId="1214"/>
    <cellStyle name="Normal 2 5 6 2 2" xfId="2090"/>
    <cellStyle name="Normal 2 5 6 3" xfId="1654"/>
    <cellStyle name="Normal 2 5 7" xfId="947"/>
    <cellStyle name="Normal 2 5 7 2" xfId="1823"/>
    <cellStyle name="Normal 2 5 8" xfId="1387"/>
    <cellStyle name="Normal 2 6" xfId="423"/>
    <cellStyle name="Normal 2 6 2" xfId="424"/>
    <cellStyle name="Normal 2 6 3" xfId="425"/>
    <cellStyle name="Normal 2 6 4" xfId="548"/>
    <cellStyle name="Normal 2 6 4 2" xfId="657"/>
    <cellStyle name="Normal 2 6 4 2 2" xfId="779"/>
    <cellStyle name="Normal 2 6 4 2 2 2" xfId="1215"/>
    <cellStyle name="Normal 2 6 4 2 2 2 2" xfId="2091"/>
    <cellStyle name="Normal 2 6 4 2 2 3" xfId="1655"/>
    <cellStyle name="Normal 2 6 4 2 3" xfId="1111"/>
    <cellStyle name="Normal 2 6 4 2 3 2" xfId="1987"/>
    <cellStyle name="Normal 2 6 4 2 4" xfId="1551"/>
    <cellStyle name="Normal 2 6 4 3" xfId="780"/>
    <cellStyle name="Normal 2 6 4 3 2" xfId="1216"/>
    <cellStyle name="Normal 2 6 4 3 2 2" xfId="2092"/>
    <cellStyle name="Normal 2 6 4 3 3" xfId="1656"/>
    <cellStyle name="Normal 2 6 4 4" xfId="1003"/>
    <cellStyle name="Normal 2 6 4 4 2" xfId="1879"/>
    <cellStyle name="Normal 2 6 4 5" xfId="1443"/>
    <cellStyle name="Normal 2 6 5" xfId="602"/>
    <cellStyle name="Normal 2 6 5 2" xfId="781"/>
    <cellStyle name="Normal 2 6 5 2 2" xfId="1217"/>
    <cellStyle name="Normal 2 6 5 2 2 2" xfId="2093"/>
    <cellStyle name="Normal 2 6 5 2 3" xfId="1657"/>
    <cellStyle name="Normal 2 6 5 3" xfId="1056"/>
    <cellStyle name="Normal 2 6 5 3 2" xfId="1932"/>
    <cellStyle name="Normal 2 6 5 4" xfId="1496"/>
    <cellStyle name="Normal 2 6 6" xfId="782"/>
    <cellStyle name="Normal 2 6 6 2" xfId="1218"/>
    <cellStyle name="Normal 2 6 6 2 2" xfId="2094"/>
    <cellStyle name="Normal 2 6 6 3" xfId="1658"/>
    <cellStyle name="Normal 2 6 7" xfId="948"/>
    <cellStyle name="Normal 2 6 7 2" xfId="1824"/>
    <cellStyle name="Normal 2 6 8" xfId="1388"/>
    <cellStyle name="Normal 2 7" xfId="426"/>
    <cellStyle name="Normal 2 7 2" xfId="427"/>
    <cellStyle name="Normal 2 7 3" xfId="428"/>
    <cellStyle name="Normal 2 7 4" xfId="549"/>
    <cellStyle name="Normal 2 7 4 2" xfId="658"/>
    <cellStyle name="Normal 2 7 4 2 2" xfId="783"/>
    <cellStyle name="Normal 2 7 4 2 2 2" xfId="1219"/>
    <cellStyle name="Normal 2 7 4 2 2 2 2" xfId="2095"/>
    <cellStyle name="Normal 2 7 4 2 2 3" xfId="1659"/>
    <cellStyle name="Normal 2 7 4 2 3" xfId="1112"/>
    <cellStyle name="Normal 2 7 4 2 3 2" xfId="1988"/>
    <cellStyle name="Normal 2 7 4 2 4" xfId="1552"/>
    <cellStyle name="Normal 2 7 4 3" xfId="784"/>
    <cellStyle name="Normal 2 7 4 3 2" xfId="1220"/>
    <cellStyle name="Normal 2 7 4 3 2 2" xfId="2096"/>
    <cellStyle name="Normal 2 7 4 3 3" xfId="1660"/>
    <cellStyle name="Normal 2 7 4 4" xfId="1004"/>
    <cellStyle name="Normal 2 7 4 4 2" xfId="1880"/>
    <cellStyle name="Normal 2 7 4 5" xfId="1444"/>
    <cellStyle name="Normal 2 7 5" xfId="603"/>
    <cellStyle name="Normal 2 7 5 2" xfId="785"/>
    <cellStyle name="Normal 2 7 5 2 2" xfId="1221"/>
    <cellStyle name="Normal 2 7 5 2 2 2" xfId="2097"/>
    <cellStyle name="Normal 2 7 5 2 3" xfId="1661"/>
    <cellStyle name="Normal 2 7 5 3" xfId="1057"/>
    <cellStyle name="Normal 2 7 5 3 2" xfId="1933"/>
    <cellStyle name="Normal 2 7 5 4" xfId="1497"/>
    <cellStyle name="Normal 2 7 6" xfId="786"/>
    <cellStyle name="Normal 2 7 6 2" xfId="1222"/>
    <cellStyle name="Normal 2 7 6 2 2" xfId="2098"/>
    <cellStyle name="Normal 2 7 6 3" xfId="1662"/>
    <cellStyle name="Normal 2 7 7" xfId="949"/>
    <cellStyle name="Normal 2 7 7 2" xfId="1825"/>
    <cellStyle name="Normal 2 7 8" xfId="1389"/>
    <cellStyle name="Normal 2 8" xfId="429"/>
    <cellStyle name="Normal 2 8 2" xfId="550"/>
    <cellStyle name="Normal 2 8 2 2" xfId="659"/>
    <cellStyle name="Normal 2 8 2 2 2" xfId="787"/>
    <cellStyle name="Normal 2 8 2 2 2 2" xfId="1223"/>
    <cellStyle name="Normal 2 8 2 2 2 2 2" xfId="2099"/>
    <cellStyle name="Normal 2 8 2 2 2 3" xfId="1663"/>
    <cellStyle name="Normal 2 8 2 2 3" xfId="1113"/>
    <cellStyle name="Normal 2 8 2 2 3 2" xfId="1989"/>
    <cellStyle name="Normal 2 8 2 2 4" xfId="1553"/>
    <cellStyle name="Normal 2 8 2 3" xfId="788"/>
    <cellStyle name="Normal 2 8 2 3 2" xfId="1224"/>
    <cellStyle name="Normal 2 8 2 3 2 2" xfId="2100"/>
    <cellStyle name="Normal 2 8 2 3 3" xfId="1664"/>
    <cellStyle name="Normal 2 8 2 4" xfId="1005"/>
    <cellStyle name="Normal 2 8 2 4 2" xfId="1881"/>
    <cellStyle name="Normal 2 8 2 5" xfId="1445"/>
    <cellStyle name="Normal 2 8 3" xfId="604"/>
    <cellStyle name="Normal 2 8 3 2" xfId="789"/>
    <cellStyle name="Normal 2 8 3 2 2" xfId="1225"/>
    <cellStyle name="Normal 2 8 3 2 2 2" xfId="2101"/>
    <cellStyle name="Normal 2 8 3 2 3" xfId="1665"/>
    <cellStyle name="Normal 2 8 3 3" xfId="1058"/>
    <cellStyle name="Normal 2 8 3 3 2" xfId="1934"/>
    <cellStyle name="Normal 2 8 3 4" xfId="1498"/>
    <cellStyle name="Normal 2 8 4" xfId="790"/>
    <cellStyle name="Normal 2 8 4 2" xfId="1226"/>
    <cellStyle name="Normal 2 8 4 2 2" xfId="2102"/>
    <cellStyle name="Normal 2 8 4 3" xfId="1666"/>
    <cellStyle name="Normal 2 8 5" xfId="950"/>
    <cellStyle name="Normal 2 8 5 2" xfId="1826"/>
    <cellStyle name="Normal 2 8 6" xfId="1390"/>
    <cellStyle name="Normal 2 9" xfId="430"/>
    <cellStyle name="Normal 2 9 2" xfId="551"/>
    <cellStyle name="Normal 2 9 2 2" xfId="660"/>
    <cellStyle name="Normal 2 9 2 2 2" xfId="791"/>
    <cellStyle name="Normal 2 9 2 2 2 2" xfId="1227"/>
    <cellStyle name="Normal 2 9 2 2 2 2 2" xfId="2103"/>
    <cellStyle name="Normal 2 9 2 2 2 3" xfId="1667"/>
    <cellStyle name="Normal 2 9 2 2 3" xfId="1114"/>
    <cellStyle name="Normal 2 9 2 2 3 2" xfId="1990"/>
    <cellStyle name="Normal 2 9 2 2 4" xfId="1554"/>
    <cellStyle name="Normal 2 9 2 3" xfId="792"/>
    <cellStyle name="Normal 2 9 2 3 2" xfId="1228"/>
    <cellStyle name="Normal 2 9 2 3 2 2" xfId="2104"/>
    <cellStyle name="Normal 2 9 2 3 3" xfId="1668"/>
    <cellStyle name="Normal 2 9 2 4" xfId="1006"/>
    <cellStyle name="Normal 2 9 2 4 2" xfId="1882"/>
    <cellStyle name="Normal 2 9 2 5" xfId="1446"/>
    <cellStyle name="Normal 2 9 3" xfId="605"/>
    <cellStyle name="Normal 2 9 3 2" xfId="793"/>
    <cellStyle name="Normal 2 9 3 2 2" xfId="1229"/>
    <cellStyle name="Normal 2 9 3 2 2 2" xfId="2105"/>
    <cellStyle name="Normal 2 9 3 2 3" xfId="1669"/>
    <cellStyle name="Normal 2 9 3 3" xfId="1059"/>
    <cellStyle name="Normal 2 9 3 3 2" xfId="1935"/>
    <cellStyle name="Normal 2 9 3 4" xfId="1499"/>
    <cellStyle name="Normal 2 9 4" xfId="794"/>
    <cellStyle name="Normal 2 9 4 2" xfId="1230"/>
    <cellStyle name="Normal 2 9 4 2 2" xfId="2106"/>
    <cellStyle name="Normal 2 9 4 3" xfId="1670"/>
    <cellStyle name="Normal 2 9 5" xfId="951"/>
    <cellStyle name="Normal 2 9 5 2" xfId="1827"/>
    <cellStyle name="Normal 2 9 6" xfId="1391"/>
    <cellStyle name="Normal 20" xfId="102"/>
    <cellStyle name="Normal 21" xfId="103"/>
    <cellStyle name="Normal 22" xfId="104"/>
    <cellStyle name="Normal 23" xfId="105"/>
    <cellStyle name="Normal 24" xfId="106"/>
    <cellStyle name="Normal 25" xfId="107"/>
    <cellStyle name="Normal 26" xfId="492"/>
    <cellStyle name="Normal 26 2" xfId="552"/>
    <cellStyle name="Normal 26 2 2" xfId="661"/>
    <cellStyle name="Normal 26 2 2 2" xfId="795"/>
    <cellStyle name="Normal 26 2 2 2 2" xfId="1231"/>
    <cellStyle name="Normal 26 2 2 2 2 2" xfId="2107"/>
    <cellStyle name="Normal 26 2 2 2 3" xfId="1671"/>
    <cellStyle name="Normal 26 2 2 3" xfId="1115"/>
    <cellStyle name="Normal 26 2 2 3 2" xfId="1991"/>
    <cellStyle name="Normal 26 2 2 4" xfId="1555"/>
    <cellStyle name="Normal 26 2 3" xfId="796"/>
    <cellStyle name="Normal 26 2 3 2" xfId="1232"/>
    <cellStyle name="Normal 26 2 3 2 2" xfId="2108"/>
    <cellStyle name="Normal 26 2 3 3" xfId="1672"/>
    <cellStyle name="Normal 26 2 4" xfId="1007"/>
    <cellStyle name="Normal 26 2 4 2" xfId="1883"/>
    <cellStyle name="Normal 26 2 5" xfId="1447"/>
    <cellStyle name="Normal 26 3" xfId="606"/>
    <cellStyle name="Normal 26 3 2" xfId="797"/>
    <cellStyle name="Normal 26 3 2 2" xfId="1233"/>
    <cellStyle name="Normal 26 3 2 2 2" xfId="2109"/>
    <cellStyle name="Normal 26 3 2 3" xfId="1673"/>
    <cellStyle name="Normal 26 3 3" xfId="1060"/>
    <cellStyle name="Normal 26 3 3 2" xfId="1936"/>
    <cellStyle name="Normal 26 3 4" xfId="1500"/>
    <cellStyle name="Normal 26 4" xfId="798"/>
    <cellStyle name="Normal 26 4 2" xfId="1234"/>
    <cellStyle name="Normal 26 4 2 2" xfId="2110"/>
    <cellStyle name="Normal 26 4 3" xfId="1674"/>
    <cellStyle name="Normal 26 5" xfId="952"/>
    <cellStyle name="Normal 26 5 2" xfId="1828"/>
    <cellStyle name="Normal 26 6" xfId="1392"/>
    <cellStyle name="Normal 27" xfId="108"/>
    <cellStyle name="Normal 28" xfId="493"/>
    <cellStyle name="Normal 28 2" xfId="553"/>
    <cellStyle name="Normal 28 2 2" xfId="662"/>
    <cellStyle name="Normal 28 2 2 2" xfId="799"/>
    <cellStyle name="Normal 28 2 2 2 2" xfId="1235"/>
    <cellStyle name="Normal 28 2 2 2 2 2" xfId="2111"/>
    <cellStyle name="Normal 28 2 2 2 3" xfId="1675"/>
    <cellStyle name="Normal 28 2 2 3" xfId="1116"/>
    <cellStyle name="Normal 28 2 2 3 2" xfId="1992"/>
    <cellStyle name="Normal 28 2 2 4" xfId="1556"/>
    <cellStyle name="Normal 28 2 3" xfId="800"/>
    <cellStyle name="Normal 28 2 3 2" xfId="1236"/>
    <cellStyle name="Normal 28 2 3 2 2" xfId="2112"/>
    <cellStyle name="Normal 28 2 3 3" xfId="1676"/>
    <cellStyle name="Normal 28 2 4" xfId="1008"/>
    <cellStyle name="Normal 28 2 4 2" xfId="1884"/>
    <cellStyle name="Normal 28 2 5" xfId="1448"/>
    <cellStyle name="Normal 28 3" xfId="607"/>
    <cellStyle name="Normal 28 3 2" xfId="801"/>
    <cellStyle name="Normal 28 3 2 2" xfId="1237"/>
    <cellStyle name="Normal 28 3 2 2 2" xfId="2113"/>
    <cellStyle name="Normal 28 3 2 3" xfId="1677"/>
    <cellStyle name="Normal 28 3 3" xfId="1061"/>
    <cellStyle name="Normal 28 3 3 2" xfId="1937"/>
    <cellStyle name="Normal 28 3 4" xfId="1501"/>
    <cellStyle name="Normal 28 4" xfId="802"/>
    <cellStyle name="Normal 28 4 2" xfId="1238"/>
    <cellStyle name="Normal 28 4 2 2" xfId="2114"/>
    <cellStyle name="Normal 28 4 3" xfId="1678"/>
    <cellStyle name="Normal 28 5" xfId="953"/>
    <cellStyle name="Normal 28 5 2" xfId="1829"/>
    <cellStyle name="Normal 28 6" xfId="1393"/>
    <cellStyle name="Normal 29" xfId="494"/>
    <cellStyle name="Normal 29 2" xfId="554"/>
    <cellStyle name="Normal 29 2 2" xfId="663"/>
    <cellStyle name="Normal 29 2 2 2" xfId="803"/>
    <cellStyle name="Normal 29 2 2 2 2" xfId="1239"/>
    <cellStyle name="Normal 29 2 2 2 2 2" xfId="2115"/>
    <cellStyle name="Normal 29 2 2 2 3" xfId="1679"/>
    <cellStyle name="Normal 29 2 2 3" xfId="1117"/>
    <cellStyle name="Normal 29 2 2 3 2" xfId="1993"/>
    <cellStyle name="Normal 29 2 2 4" xfId="1557"/>
    <cellStyle name="Normal 29 2 3" xfId="804"/>
    <cellStyle name="Normal 29 2 3 2" xfId="1240"/>
    <cellStyle name="Normal 29 2 3 2 2" xfId="2116"/>
    <cellStyle name="Normal 29 2 3 3" xfId="1680"/>
    <cellStyle name="Normal 29 2 4" xfId="1009"/>
    <cellStyle name="Normal 29 2 4 2" xfId="1885"/>
    <cellStyle name="Normal 29 2 5" xfId="1449"/>
    <cellStyle name="Normal 29 3" xfId="608"/>
    <cellStyle name="Normal 29 3 2" xfId="805"/>
    <cellStyle name="Normal 29 3 2 2" xfId="1241"/>
    <cellStyle name="Normal 29 3 2 2 2" xfId="2117"/>
    <cellStyle name="Normal 29 3 2 3" xfId="1681"/>
    <cellStyle name="Normal 29 3 3" xfId="1062"/>
    <cellStyle name="Normal 29 3 3 2" xfId="1938"/>
    <cellStyle name="Normal 29 3 4" xfId="1502"/>
    <cellStyle name="Normal 29 4" xfId="806"/>
    <cellStyle name="Normal 29 4 2" xfId="1242"/>
    <cellStyle name="Normal 29 4 2 2" xfId="2118"/>
    <cellStyle name="Normal 29 4 3" xfId="1682"/>
    <cellStyle name="Normal 29 5" xfId="954"/>
    <cellStyle name="Normal 29 5 2" xfId="1830"/>
    <cellStyle name="Normal 29 6" xfId="1394"/>
    <cellStyle name="Normal 3" xfId="27"/>
    <cellStyle name="Normal 3 2" xfId="69"/>
    <cellStyle name="Normal 3 2 2" xfId="70"/>
    <cellStyle name="Normal 3 2 2 2" xfId="528"/>
    <cellStyle name="Normal 3 2 2 2 2" xfId="637"/>
    <cellStyle name="Normal 3 2 2 2 2 2" xfId="807"/>
    <cellStyle name="Normal 3 2 2 2 2 2 2" xfId="1243"/>
    <cellStyle name="Normal 3 2 2 2 2 2 2 2" xfId="2119"/>
    <cellStyle name="Normal 3 2 2 2 2 2 3" xfId="1683"/>
    <cellStyle name="Normal 3 2 2 2 2 3" xfId="1091"/>
    <cellStyle name="Normal 3 2 2 2 2 3 2" xfId="1967"/>
    <cellStyle name="Normal 3 2 2 2 2 4" xfId="1531"/>
    <cellStyle name="Normal 3 2 2 2 3" xfId="808"/>
    <cellStyle name="Normal 3 2 2 2 3 2" xfId="1244"/>
    <cellStyle name="Normal 3 2 2 2 3 2 2" xfId="2120"/>
    <cellStyle name="Normal 3 2 2 2 3 3" xfId="1684"/>
    <cellStyle name="Normal 3 2 2 2 4" xfId="983"/>
    <cellStyle name="Normal 3 2 2 2 4 2" xfId="1859"/>
    <cellStyle name="Normal 3 2 2 2 5" xfId="1423"/>
    <cellStyle name="Normal 3 2 2 3" xfId="582"/>
    <cellStyle name="Normal 3 2 2 3 2" xfId="809"/>
    <cellStyle name="Normal 3 2 2 3 2 2" xfId="1245"/>
    <cellStyle name="Normal 3 2 2 3 2 2 2" xfId="2121"/>
    <cellStyle name="Normal 3 2 2 3 2 3" xfId="1685"/>
    <cellStyle name="Normal 3 2 2 3 3" xfId="1036"/>
    <cellStyle name="Normal 3 2 2 3 3 2" xfId="1912"/>
    <cellStyle name="Normal 3 2 2 3 4" xfId="1476"/>
    <cellStyle name="Normal 3 2 2 4" xfId="810"/>
    <cellStyle name="Normal 3 2 2 4 2" xfId="1246"/>
    <cellStyle name="Normal 3 2 2 4 2 2" xfId="2122"/>
    <cellStyle name="Normal 3 2 2 4 3" xfId="1686"/>
    <cellStyle name="Normal 3 2 2 5" xfId="928"/>
    <cellStyle name="Normal 3 2 2 5 2" xfId="1804"/>
    <cellStyle name="Normal 3 2 2 6" xfId="1368"/>
    <cellStyle name="Normal 3 2 3" xfId="431"/>
    <cellStyle name="Normal 3 2 4" xfId="432"/>
    <cellStyle name="Normal 3 2 5" xfId="527"/>
    <cellStyle name="Normal 3 2 5 2" xfId="636"/>
    <cellStyle name="Normal 3 2 5 2 2" xfId="811"/>
    <cellStyle name="Normal 3 2 5 2 2 2" xfId="1247"/>
    <cellStyle name="Normal 3 2 5 2 2 2 2" xfId="2123"/>
    <cellStyle name="Normal 3 2 5 2 2 3" xfId="1687"/>
    <cellStyle name="Normal 3 2 5 2 3" xfId="1090"/>
    <cellStyle name="Normal 3 2 5 2 3 2" xfId="1966"/>
    <cellStyle name="Normal 3 2 5 2 4" xfId="1530"/>
    <cellStyle name="Normal 3 2 5 3" xfId="812"/>
    <cellStyle name="Normal 3 2 5 3 2" xfId="1248"/>
    <cellStyle name="Normal 3 2 5 3 2 2" xfId="2124"/>
    <cellStyle name="Normal 3 2 5 3 3" xfId="1688"/>
    <cellStyle name="Normal 3 2 5 4" xfId="982"/>
    <cellStyle name="Normal 3 2 5 4 2" xfId="1858"/>
    <cellStyle name="Normal 3 2 5 5" xfId="1422"/>
    <cellStyle name="Normal 3 2 6" xfId="581"/>
    <cellStyle name="Normal 3 2 6 2" xfId="813"/>
    <cellStyle name="Normal 3 2 6 2 2" xfId="1249"/>
    <cellStyle name="Normal 3 2 6 2 2 2" xfId="2125"/>
    <cellStyle name="Normal 3 2 6 2 3" xfId="1689"/>
    <cellStyle name="Normal 3 2 6 3" xfId="1035"/>
    <cellStyle name="Normal 3 2 6 3 2" xfId="1911"/>
    <cellStyle name="Normal 3 2 6 4" xfId="1475"/>
    <cellStyle name="Normal 3 2 7" xfId="814"/>
    <cellStyle name="Normal 3 2 7 2" xfId="1250"/>
    <cellStyle name="Normal 3 2 7 2 2" xfId="2126"/>
    <cellStyle name="Normal 3 2 7 3" xfId="1690"/>
    <cellStyle name="Normal 3 2 8" xfId="927"/>
    <cellStyle name="Normal 3 2 8 2" xfId="1803"/>
    <cellStyle name="Normal 3 2 9" xfId="1367"/>
    <cellStyle name="Normal 3 3" xfId="433"/>
    <cellStyle name="Normal 3 4" xfId="434"/>
    <cellStyle name="Normal 3 5" xfId="526"/>
    <cellStyle name="Normal 3 5 2" xfId="635"/>
    <cellStyle name="Normal 3 5 2 2" xfId="815"/>
    <cellStyle name="Normal 3 5 2 2 2" xfId="1251"/>
    <cellStyle name="Normal 3 5 2 2 2 2" xfId="2127"/>
    <cellStyle name="Normal 3 5 2 2 3" xfId="1691"/>
    <cellStyle name="Normal 3 5 2 3" xfId="1089"/>
    <cellStyle name="Normal 3 5 2 3 2" xfId="1965"/>
    <cellStyle name="Normal 3 5 2 4" xfId="1529"/>
    <cellStyle name="Normal 3 5 3" xfId="816"/>
    <cellStyle name="Normal 3 5 3 2" xfId="1252"/>
    <cellStyle name="Normal 3 5 3 2 2" xfId="2128"/>
    <cellStyle name="Normal 3 5 3 3" xfId="1692"/>
    <cellStyle name="Normal 3 5 4" xfId="981"/>
    <cellStyle name="Normal 3 5 4 2" xfId="1857"/>
    <cellStyle name="Normal 3 5 5" xfId="1421"/>
    <cellStyle name="Normal 3 6" xfId="580"/>
    <cellStyle name="Normal 3 6 2" xfId="817"/>
    <cellStyle name="Normal 3 6 2 2" xfId="1253"/>
    <cellStyle name="Normal 3 6 2 2 2" xfId="2129"/>
    <cellStyle name="Normal 3 6 2 3" xfId="1693"/>
    <cellStyle name="Normal 3 6 3" xfId="1034"/>
    <cellStyle name="Normal 3 6 3 2" xfId="1910"/>
    <cellStyle name="Normal 3 6 4" xfId="1474"/>
    <cellStyle name="Normal 3 7" xfId="818"/>
    <cellStyle name="Normal 3 7 2" xfId="1254"/>
    <cellStyle name="Normal 3 7 2 2" xfId="2130"/>
    <cellStyle name="Normal 3 7 3" xfId="1694"/>
    <cellStyle name="Normal 3 8" xfId="926"/>
    <cellStyle name="Normal 3 8 2" xfId="1802"/>
    <cellStyle name="Normal 3 9" xfId="1366"/>
    <cellStyle name="Normal 30" xfId="495"/>
    <cellStyle name="Normal 30 2" xfId="555"/>
    <cellStyle name="Normal 30 2 2" xfId="664"/>
    <cellStyle name="Normal 30 2 2 2" xfId="819"/>
    <cellStyle name="Normal 30 2 2 2 2" xfId="1255"/>
    <cellStyle name="Normal 30 2 2 2 2 2" xfId="2131"/>
    <cellStyle name="Normal 30 2 2 2 3" xfId="1695"/>
    <cellStyle name="Normal 30 2 2 3" xfId="1118"/>
    <cellStyle name="Normal 30 2 2 3 2" xfId="1994"/>
    <cellStyle name="Normal 30 2 2 4" xfId="1558"/>
    <cellStyle name="Normal 30 2 3" xfId="820"/>
    <cellStyle name="Normal 30 2 3 2" xfId="1256"/>
    <cellStyle name="Normal 30 2 3 2 2" xfId="2132"/>
    <cellStyle name="Normal 30 2 3 3" xfId="1696"/>
    <cellStyle name="Normal 30 2 4" xfId="1010"/>
    <cellStyle name="Normal 30 2 4 2" xfId="1886"/>
    <cellStyle name="Normal 30 2 5" xfId="1450"/>
    <cellStyle name="Normal 30 3" xfId="609"/>
    <cellStyle name="Normal 30 3 2" xfId="821"/>
    <cellStyle name="Normal 30 3 2 2" xfId="1257"/>
    <cellStyle name="Normal 30 3 2 2 2" xfId="2133"/>
    <cellStyle name="Normal 30 3 2 3" xfId="1697"/>
    <cellStyle name="Normal 30 3 3" xfId="1063"/>
    <cellStyle name="Normal 30 3 3 2" xfId="1939"/>
    <cellStyle name="Normal 30 3 4" xfId="1503"/>
    <cellStyle name="Normal 30 4" xfId="822"/>
    <cellStyle name="Normal 30 4 2" xfId="1258"/>
    <cellStyle name="Normal 30 4 2 2" xfId="2134"/>
    <cellStyle name="Normal 30 4 3" xfId="1698"/>
    <cellStyle name="Normal 30 5" xfId="955"/>
    <cellStyle name="Normal 30 5 2" xfId="1831"/>
    <cellStyle name="Normal 30 6" xfId="1395"/>
    <cellStyle name="Normal 31" xfId="496"/>
    <cellStyle name="Normal 31 2" xfId="556"/>
    <cellStyle name="Normal 31 2 2" xfId="665"/>
    <cellStyle name="Normal 31 2 2 2" xfId="823"/>
    <cellStyle name="Normal 31 2 2 2 2" xfId="1259"/>
    <cellStyle name="Normal 31 2 2 2 2 2" xfId="2135"/>
    <cellStyle name="Normal 31 2 2 2 3" xfId="1699"/>
    <cellStyle name="Normal 31 2 2 3" xfId="1119"/>
    <cellStyle name="Normal 31 2 2 3 2" xfId="1995"/>
    <cellStyle name="Normal 31 2 2 4" xfId="1559"/>
    <cellStyle name="Normal 31 2 3" xfId="824"/>
    <cellStyle name="Normal 31 2 3 2" xfId="1260"/>
    <cellStyle name="Normal 31 2 3 2 2" xfId="2136"/>
    <cellStyle name="Normal 31 2 3 3" xfId="1700"/>
    <cellStyle name="Normal 31 2 4" xfId="1011"/>
    <cellStyle name="Normal 31 2 4 2" xfId="1887"/>
    <cellStyle name="Normal 31 2 5" xfId="1451"/>
    <cellStyle name="Normal 31 3" xfId="610"/>
    <cellStyle name="Normal 31 3 2" xfId="825"/>
    <cellStyle name="Normal 31 3 2 2" xfId="1261"/>
    <cellStyle name="Normal 31 3 2 2 2" xfId="2137"/>
    <cellStyle name="Normal 31 3 2 3" xfId="1701"/>
    <cellStyle name="Normal 31 3 3" xfId="1064"/>
    <cellStyle name="Normal 31 3 3 2" xfId="1940"/>
    <cellStyle name="Normal 31 3 4" xfId="1504"/>
    <cellStyle name="Normal 31 4" xfId="826"/>
    <cellStyle name="Normal 31 4 2" xfId="1262"/>
    <cellStyle name="Normal 31 4 2 2" xfId="2138"/>
    <cellStyle name="Normal 31 4 3" xfId="1702"/>
    <cellStyle name="Normal 31 5" xfId="956"/>
    <cellStyle name="Normal 31 5 2" xfId="1832"/>
    <cellStyle name="Normal 31 6" xfId="1396"/>
    <cellStyle name="Normal 32" xfId="497"/>
    <cellStyle name="Normal 32 2" xfId="557"/>
    <cellStyle name="Normal 32 2 2" xfId="666"/>
    <cellStyle name="Normal 32 2 2 2" xfId="827"/>
    <cellStyle name="Normal 32 2 2 2 2" xfId="1263"/>
    <cellStyle name="Normal 32 2 2 2 2 2" xfId="2139"/>
    <cellStyle name="Normal 32 2 2 2 3" xfId="1703"/>
    <cellStyle name="Normal 32 2 2 3" xfId="1120"/>
    <cellStyle name="Normal 32 2 2 3 2" xfId="1996"/>
    <cellStyle name="Normal 32 2 2 4" xfId="1560"/>
    <cellStyle name="Normal 32 2 3" xfId="828"/>
    <cellStyle name="Normal 32 2 3 2" xfId="1264"/>
    <cellStyle name="Normal 32 2 3 2 2" xfId="2140"/>
    <cellStyle name="Normal 32 2 3 3" xfId="1704"/>
    <cellStyle name="Normal 32 2 4" xfId="1012"/>
    <cellStyle name="Normal 32 2 4 2" xfId="1888"/>
    <cellStyle name="Normal 32 2 5" xfId="1452"/>
    <cellStyle name="Normal 32 3" xfId="611"/>
    <cellStyle name="Normal 32 3 2" xfId="829"/>
    <cellStyle name="Normal 32 3 2 2" xfId="1265"/>
    <cellStyle name="Normal 32 3 2 2 2" xfId="2141"/>
    <cellStyle name="Normal 32 3 2 3" xfId="1705"/>
    <cellStyle name="Normal 32 3 3" xfId="1065"/>
    <cellStyle name="Normal 32 3 3 2" xfId="1941"/>
    <cellStyle name="Normal 32 3 4" xfId="1505"/>
    <cellStyle name="Normal 32 4" xfId="830"/>
    <cellStyle name="Normal 32 4 2" xfId="1266"/>
    <cellStyle name="Normal 32 4 2 2" xfId="2142"/>
    <cellStyle name="Normal 32 4 3" xfId="1706"/>
    <cellStyle name="Normal 32 5" xfId="957"/>
    <cellStyle name="Normal 32 5 2" xfId="1833"/>
    <cellStyle name="Normal 32 6" xfId="1397"/>
    <cellStyle name="Normal 33" xfId="500"/>
    <cellStyle name="Normal 33 2" xfId="560"/>
    <cellStyle name="Normal 33 2 2" xfId="669"/>
    <cellStyle name="Normal 33 2 2 2" xfId="831"/>
    <cellStyle name="Normal 33 2 2 2 2" xfId="1267"/>
    <cellStyle name="Normal 33 2 2 2 2 2" xfId="2143"/>
    <cellStyle name="Normal 33 2 2 2 3" xfId="1707"/>
    <cellStyle name="Normal 33 2 2 3" xfId="1123"/>
    <cellStyle name="Normal 33 2 2 3 2" xfId="1999"/>
    <cellStyle name="Normal 33 2 2 4" xfId="1563"/>
    <cellStyle name="Normal 33 2 3" xfId="832"/>
    <cellStyle name="Normal 33 2 3 2" xfId="1268"/>
    <cellStyle name="Normal 33 2 3 2 2" xfId="2144"/>
    <cellStyle name="Normal 33 2 3 3" xfId="1708"/>
    <cellStyle name="Normal 33 2 4" xfId="1015"/>
    <cellStyle name="Normal 33 2 4 2" xfId="1891"/>
    <cellStyle name="Normal 33 2 5" xfId="1455"/>
    <cellStyle name="Normal 33 3" xfId="614"/>
    <cellStyle name="Normal 33 3 2" xfId="833"/>
    <cellStyle name="Normal 33 3 2 2" xfId="1269"/>
    <cellStyle name="Normal 33 3 2 2 2" xfId="2145"/>
    <cellStyle name="Normal 33 3 2 3" xfId="1709"/>
    <cellStyle name="Normal 33 3 3" xfId="1068"/>
    <cellStyle name="Normal 33 3 3 2" xfId="1944"/>
    <cellStyle name="Normal 33 3 4" xfId="1508"/>
    <cellStyle name="Normal 33 4" xfId="834"/>
    <cellStyle name="Normal 33 4 2" xfId="1270"/>
    <cellStyle name="Normal 33 4 2 2" xfId="2146"/>
    <cellStyle name="Normal 33 4 3" xfId="1710"/>
    <cellStyle name="Normal 33 5" xfId="960"/>
    <cellStyle name="Normal 33 5 2" xfId="1836"/>
    <cellStyle name="Normal 33 6" xfId="1400"/>
    <cellStyle name="Normal 34" xfId="501"/>
    <cellStyle name="Normal 34 2" xfId="561"/>
    <cellStyle name="Normal 34 2 2" xfId="670"/>
    <cellStyle name="Normal 34 2 2 2" xfId="835"/>
    <cellStyle name="Normal 34 2 2 2 2" xfId="1271"/>
    <cellStyle name="Normal 34 2 2 2 2 2" xfId="2147"/>
    <cellStyle name="Normal 34 2 2 2 3" xfId="1711"/>
    <cellStyle name="Normal 34 2 2 3" xfId="1124"/>
    <cellStyle name="Normal 34 2 2 3 2" xfId="2000"/>
    <cellStyle name="Normal 34 2 2 4" xfId="1564"/>
    <cellStyle name="Normal 34 2 3" xfId="836"/>
    <cellStyle name="Normal 34 2 3 2" xfId="1272"/>
    <cellStyle name="Normal 34 2 3 2 2" xfId="2148"/>
    <cellStyle name="Normal 34 2 3 3" xfId="1712"/>
    <cellStyle name="Normal 34 2 4" xfId="1016"/>
    <cellStyle name="Normal 34 2 4 2" xfId="1892"/>
    <cellStyle name="Normal 34 2 5" xfId="1456"/>
    <cellStyle name="Normal 34 3" xfId="615"/>
    <cellStyle name="Normal 34 3 2" xfId="837"/>
    <cellStyle name="Normal 34 3 2 2" xfId="1273"/>
    <cellStyle name="Normal 34 3 2 2 2" xfId="2149"/>
    <cellStyle name="Normal 34 3 2 3" xfId="1713"/>
    <cellStyle name="Normal 34 3 3" xfId="1069"/>
    <cellStyle name="Normal 34 3 3 2" xfId="1945"/>
    <cellStyle name="Normal 34 3 4" xfId="1509"/>
    <cellStyle name="Normal 34 4" xfId="838"/>
    <cellStyle name="Normal 34 4 2" xfId="1274"/>
    <cellStyle name="Normal 34 4 2 2" xfId="2150"/>
    <cellStyle name="Normal 34 4 3" xfId="1714"/>
    <cellStyle name="Normal 34 5" xfId="961"/>
    <cellStyle name="Normal 34 5 2" xfId="1837"/>
    <cellStyle name="Normal 34 6" xfId="1401"/>
    <cellStyle name="Normal 35" xfId="502"/>
    <cellStyle name="Normal 35 2" xfId="562"/>
    <cellStyle name="Normal 35 2 2" xfId="671"/>
    <cellStyle name="Normal 35 2 2 2" xfId="839"/>
    <cellStyle name="Normal 35 2 2 2 2" xfId="1275"/>
    <cellStyle name="Normal 35 2 2 2 2 2" xfId="2151"/>
    <cellStyle name="Normal 35 2 2 2 3" xfId="1715"/>
    <cellStyle name="Normal 35 2 2 3" xfId="1125"/>
    <cellStyle name="Normal 35 2 2 3 2" xfId="2001"/>
    <cellStyle name="Normal 35 2 2 4" xfId="1565"/>
    <cellStyle name="Normal 35 2 3" xfId="840"/>
    <cellStyle name="Normal 35 2 3 2" xfId="1276"/>
    <cellStyle name="Normal 35 2 3 2 2" xfId="2152"/>
    <cellStyle name="Normal 35 2 3 3" xfId="1716"/>
    <cellStyle name="Normal 35 2 4" xfId="1017"/>
    <cellStyle name="Normal 35 2 4 2" xfId="1893"/>
    <cellStyle name="Normal 35 2 5" xfId="1457"/>
    <cellStyle name="Normal 35 3" xfId="616"/>
    <cellStyle name="Normal 35 3 2" xfId="841"/>
    <cellStyle name="Normal 35 3 2 2" xfId="1277"/>
    <cellStyle name="Normal 35 3 2 2 2" xfId="2153"/>
    <cellStyle name="Normal 35 3 2 3" xfId="1717"/>
    <cellStyle name="Normal 35 3 3" xfId="1070"/>
    <cellStyle name="Normal 35 3 3 2" xfId="1946"/>
    <cellStyle name="Normal 35 3 4" xfId="1510"/>
    <cellStyle name="Normal 35 4" xfId="842"/>
    <cellStyle name="Normal 35 4 2" xfId="1278"/>
    <cellStyle name="Normal 35 4 2 2" xfId="2154"/>
    <cellStyle name="Normal 35 4 3" xfId="1718"/>
    <cellStyle name="Normal 35 5" xfId="962"/>
    <cellStyle name="Normal 35 5 2" xfId="1838"/>
    <cellStyle name="Normal 35 6" xfId="1402"/>
    <cellStyle name="Normal 36" xfId="503"/>
    <cellStyle name="Normal 36 2" xfId="563"/>
    <cellStyle name="Normal 36 2 2" xfId="672"/>
    <cellStyle name="Normal 36 2 2 2" xfId="843"/>
    <cellStyle name="Normal 36 2 2 2 2" xfId="1279"/>
    <cellStyle name="Normal 36 2 2 2 2 2" xfId="2155"/>
    <cellStyle name="Normal 36 2 2 2 3" xfId="1719"/>
    <cellStyle name="Normal 36 2 2 3" xfId="1126"/>
    <cellStyle name="Normal 36 2 2 3 2" xfId="2002"/>
    <cellStyle name="Normal 36 2 2 4" xfId="1566"/>
    <cellStyle name="Normal 36 2 3" xfId="844"/>
    <cellStyle name="Normal 36 2 3 2" xfId="1280"/>
    <cellStyle name="Normal 36 2 3 2 2" xfId="2156"/>
    <cellStyle name="Normal 36 2 3 3" xfId="1720"/>
    <cellStyle name="Normal 36 2 4" xfId="1018"/>
    <cellStyle name="Normal 36 2 4 2" xfId="1894"/>
    <cellStyle name="Normal 36 2 5" xfId="1458"/>
    <cellStyle name="Normal 36 3" xfId="617"/>
    <cellStyle name="Normal 36 3 2" xfId="845"/>
    <cellStyle name="Normal 36 3 2 2" xfId="1281"/>
    <cellStyle name="Normal 36 3 2 2 2" xfId="2157"/>
    <cellStyle name="Normal 36 3 2 3" xfId="1721"/>
    <cellStyle name="Normal 36 3 3" xfId="1071"/>
    <cellStyle name="Normal 36 3 3 2" xfId="1947"/>
    <cellStyle name="Normal 36 3 4" xfId="1511"/>
    <cellStyle name="Normal 36 4" xfId="846"/>
    <cellStyle name="Normal 36 4 2" xfId="1282"/>
    <cellStyle name="Normal 36 4 2 2" xfId="2158"/>
    <cellStyle name="Normal 36 4 3" xfId="1722"/>
    <cellStyle name="Normal 36 5" xfId="963"/>
    <cellStyle name="Normal 36 5 2" xfId="1839"/>
    <cellStyle name="Normal 36 6" xfId="1403"/>
    <cellStyle name="Normal 37" xfId="504"/>
    <cellStyle name="Normal 37 2" xfId="564"/>
    <cellStyle name="Normal 37 2 2" xfId="673"/>
    <cellStyle name="Normal 37 2 2 2" xfId="847"/>
    <cellStyle name="Normal 37 2 2 2 2" xfId="1283"/>
    <cellStyle name="Normal 37 2 2 2 2 2" xfId="2159"/>
    <cellStyle name="Normal 37 2 2 2 3" xfId="1723"/>
    <cellStyle name="Normal 37 2 2 3" xfId="1127"/>
    <cellStyle name="Normal 37 2 2 3 2" xfId="2003"/>
    <cellStyle name="Normal 37 2 2 4" xfId="1567"/>
    <cellStyle name="Normal 37 2 3" xfId="848"/>
    <cellStyle name="Normal 37 2 3 2" xfId="1284"/>
    <cellStyle name="Normal 37 2 3 2 2" xfId="2160"/>
    <cellStyle name="Normal 37 2 3 3" xfId="1724"/>
    <cellStyle name="Normal 37 2 4" xfId="1019"/>
    <cellStyle name="Normal 37 2 4 2" xfId="1895"/>
    <cellStyle name="Normal 37 2 5" xfId="1459"/>
    <cellStyle name="Normal 37 3" xfId="618"/>
    <cellStyle name="Normal 37 3 2" xfId="849"/>
    <cellStyle name="Normal 37 3 2 2" xfId="1285"/>
    <cellStyle name="Normal 37 3 2 2 2" xfId="2161"/>
    <cellStyle name="Normal 37 3 2 3" xfId="1725"/>
    <cellStyle name="Normal 37 3 3" xfId="1072"/>
    <cellStyle name="Normal 37 3 3 2" xfId="1948"/>
    <cellStyle name="Normal 37 3 4" xfId="1512"/>
    <cellStyle name="Normal 37 4" xfId="850"/>
    <cellStyle name="Normal 37 4 2" xfId="1286"/>
    <cellStyle name="Normal 37 4 2 2" xfId="2162"/>
    <cellStyle name="Normal 37 4 3" xfId="1726"/>
    <cellStyle name="Normal 37 5" xfId="964"/>
    <cellStyle name="Normal 37 5 2" xfId="1840"/>
    <cellStyle name="Normal 37 6" xfId="1404"/>
    <cellStyle name="Normal 38" xfId="506"/>
    <cellStyle name="Normal 38 2" xfId="566"/>
    <cellStyle name="Normal 38 2 2" xfId="675"/>
    <cellStyle name="Normal 38 2 2 2" xfId="851"/>
    <cellStyle name="Normal 38 2 2 2 2" xfId="1287"/>
    <cellStyle name="Normal 38 2 2 2 2 2" xfId="2163"/>
    <cellStyle name="Normal 38 2 2 2 3" xfId="1727"/>
    <cellStyle name="Normal 38 2 2 3" xfId="1129"/>
    <cellStyle name="Normal 38 2 2 3 2" xfId="2005"/>
    <cellStyle name="Normal 38 2 2 4" xfId="1569"/>
    <cellStyle name="Normal 38 2 3" xfId="852"/>
    <cellStyle name="Normal 38 2 3 2" xfId="1288"/>
    <cellStyle name="Normal 38 2 3 2 2" xfId="2164"/>
    <cellStyle name="Normal 38 2 3 3" xfId="1728"/>
    <cellStyle name="Normal 38 2 4" xfId="1021"/>
    <cellStyle name="Normal 38 2 4 2" xfId="1897"/>
    <cellStyle name="Normal 38 2 5" xfId="1461"/>
    <cellStyle name="Normal 38 3" xfId="620"/>
    <cellStyle name="Normal 38 3 2" xfId="853"/>
    <cellStyle name="Normal 38 3 2 2" xfId="1289"/>
    <cellStyle name="Normal 38 3 2 2 2" xfId="2165"/>
    <cellStyle name="Normal 38 3 2 3" xfId="1729"/>
    <cellStyle name="Normal 38 3 3" xfId="1074"/>
    <cellStyle name="Normal 38 3 3 2" xfId="1950"/>
    <cellStyle name="Normal 38 3 4" xfId="1514"/>
    <cellStyle name="Normal 38 4" xfId="854"/>
    <cellStyle name="Normal 38 4 2" xfId="1290"/>
    <cellStyle name="Normal 38 4 2 2" xfId="2166"/>
    <cellStyle name="Normal 38 4 3" xfId="1730"/>
    <cellStyle name="Normal 38 5" xfId="966"/>
    <cellStyle name="Normal 38 5 2" xfId="1842"/>
    <cellStyle name="Normal 38 6" xfId="1406"/>
    <cellStyle name="Normal 39" xfId="507"/>
    <cellStyle name="Normal 39 2" xfId="567"/>
    <cellStyle name="Normal 39 2 2" xfId="676"/>
    <cellStyle name="Normal 39 2 2 2" xfId="855"/>
    <cellStyle name="Normal 39 2 2 2 2" xfId="1291"/>
    <cellStyle name="Normal 39 2 2 2 2 2" xfId="2167"/>
    <cellStyle name="Normal 39 2 2 2 3" xfId="1731"/>
    <cellStyle name="Normal 39 2 2 3" xfId="1130"/>
    <cellStyle name="Normal 39 2 2 3 2" xfId="2006"/>
    <cellStyle name="Normal 39 2 2 4" xfId="1570"/>
    <cellStyle name="Normal 39 2 3" xfId="856"/>
    <cellStyle name="Normal 39 2 3 2" xfId="1292"/>
    <cellStyle name="Normal 39 2 3 2 2" xfId="2168"/>
    <cellStyle name="Normal 39 2 3 3" xfId="1732"/>
    <cellStyle name="Normal 39 2 4" xfId="1022"/>
    <cellStyle name="Normal 39 2 4 2" xfId="1898"/>
    <cellStyle name="Normal 39 2 5" xfId="1462"/>
    <cellStyle name="Normal 39 3" xfId="621"/>
    <cellStyle name="Normal 39 3 2" xfId="857"/>
    <cellStyle name="Normal 39 3 2 2" xfId="1293"/>
    <cellStyle name="Normal 39 3 2 2 2" xfId="2169"/>
    <cellStyle name="Normal 39 3 2 3" xfId="1733"/>
    <cellStyle name="Normal 39 3 3" xfId="1075"/>
    <cellStyle name="Normal 39 3 3 2" xfId="1951"/>
    <cellStyle name="Normal 39 3 4" xfId="1515"/>
    <cellStyle name="Normal 39 4" xfId="858"/>
    <cellStyle name="Normal 39 4 2" xfId="1294"/>
    <cellStyle name="Normal 39 4 2 2" xfId="2170"/>
    <cellStyle name="Normal 39 4 3" xfId="1734"/>
    <cellStyle name="Normal 39 5" xfId="967"/>
    <cellStyle name="Normal 39 5 2" xfId="1843"/>
    <cellStyle name="Normal 39 6" xfId="1407"/>
    <cellStyle name="Normal 4" xfId="71"/>
    <cellStyle name="Normal 4 2" xfId="513"/>
    <cellStyle name="Normal 40" xfId="508"/>
    <cellStyle name="Normal 40 2" xfId="568"/>
    <cellStyle name="Normal 40 2 2" xfId="677"/>
    <cellStyle name="Normal 40 2 2 2" xfId="859"/>
    <cellStyle name="Normal 40 2 2 2 2" xfId="1295"/>
    <cellStyle name="Normal 40 2 2 2 2 2" xfId="2171"/>
    <cellStyle name="Normal 40 2 2 2 3" xfId="1735"/>
    <cellStyle name="Normal 40 2 2 3" xfId="1131"/>
    <cellStyle name="Normal 40 2 2 3 2" xfId="2007"/>
    <cellStyle name="Normal 40 2 2 4" xfId="1571"/>
    <cellStyle name="Normal 40 2 3" xfId="860"/>
    <cellStyle name="Normal 40 2 3 2" xfId="1296"/>
    <cellStyle name="Normal 40 2 3 2 2" xfId="2172"/>
    <cellStyle name="Normal 40 2 3 3" xfId="1736"/>
    <cellStyle name="Normal 40 2 4" xfId="1023"/>
    <cellStyle name="Normal 40 2 4 2" xfId="1899"/>
    <cellStyle name="Normal 40 2 5" xfId="1463"/>
    <cellStyle name="Normal 40 3" xfId="622"/>
    <cellStyle name="Normal 40 3 2" xfId="861"/>
    <cellStyle name="Normal 40 3 2 2" xfId="1297"/>
    <cellStyle name="Normal 40 3 2 2 2" xfId="2173"/>
    <cellStyle name="Normal 40 3 2 3" xfId="1737"/>
    <cellStyle name="Normal 40 3 3" xfId="1076"/>
    <cellStyle name="Normal 40 3 3 2" xfId="1952"/>
    <cellStyle name="Normal 40 3 4" xfId="1516"/>
    <cellStyle name="Normal 40 4" xfId="862"/>
    <cellStyle name="Normal 40 4 2" xfId="1298"/>
    <cellStyle name="Normal 40 4 2 2" xfId="2174"/>
    <cellStyle name="Normal 40 4 3" xfId="1738"/>
    <cellStyle name="Normal 40 5" xfId="968"/>
    <cellStyle name="Normal 40 5 2" xfId="1844"/>
    <cellStyle name="Normal 40 6" xfId="1408"/>
    <cellStyle name="Normal 41" xfId="509"/>
    <cellStyle name="Normal 41 2" xfId="569"/>
    <cellStyle name="Normal 41 2 2" xfId="678"/>
    <cellStyle name="Normal 41 2 2 2" xfId="863"/>
    <cellStyle name="Normal 41 2 2 2 2" xfId="1299"/>
    <cellStyle name="Normal 41 2 2 2 2 2" xfId="2175"/>
    <cellStyle name="Normal 41 2 2 2 3" xfId="1739"/>
    <cellStyle name="Normal 41 2 2 3" xfId="1132"/>
    <cellStyle name="Normal 41 2 2 3 2" xfId="2008"/>
    <cellStyle name="Normal 41 2 2 4" xfId="1572"/>
    <cellStyle name="Normal 41 2 3" xfId="864"/>
    <cellStyle name="Normal 41 2 3 2" xfId="1300"/>
    <cellStyle name="Normal 41 2 3 2 2" xfId="2176"/>
    <cellStyle name="Normal 41 2 3 3" xfId="1740"/>
    <cellStyle name="Normal 41 2 4" xfId="1024"/>
    <cellStyle name="Normal 41 2 4 2" xfId="1900"/>
    <cellStyle name="Normal 41 2 5" xfId="1464"/>
    <cellStyle name="Normal 41 3" xfId="623"/>
    <cellStyle name="Normal 41 3 2" xfId="865"/>
    <cellStyle name="Normal 41 3 2 2" xfId="1301"/>
    <cellStyle name="Normal 41 3 2 2 2" xfId="2177"/>
    <cellStyle name="Normal 41 3 2 3" xfId="1741"/>
    <cellStyle name="Normal 41 3 3" xfId="1077"/>
    <cellStyle name="Normal 41 3 3 2" xfId="1953"/>
    <cellStyle name="Normal 41 3 4" xfId="1517"/>
    <cellStyle name="Normal 41 4" xfId="866"/>
    <cellStyle name="Normal 41 4 2" xfId="1302"/>
    <cellStyle name="Normal 41 4 2 2" xfId="2178"/>
    <cellStyle name="Normal 41 4 3" xfId="1742"/>
    <cellStyle name="Normal 41 5" xfId="969"/>
    <cellStyle name="Normal 41 5 2" xfId="1845"/>
    <cellStyle name="Normal 41 6" xfId="1409"/>
    <cellStyle name="Normal 42" xfId="510"/>
    <cellStyle name="Normal 42 2" xfId="511"/>
    <cellStyle name="Normal 42 2 2" xfId="571"/>
    <cellStyle name="Normal 42 2 2 2" xfId="680"/>
    <cellStyle name="Normal 42 2 2 2 2" xfId="867"/>
    <cellStyle name="Normal 42 2 2 2 2 2" xfId="1303"/>
    <cellStyle name="Normal 42 2 2 2 2 2 2" xfId="2179"/>
    <cellStyle name="Normal 42 2 2 2 2 3" xfId="1743"/>
    <cellStyle name="Normal 42 2 2 2 3" xfId="1134"/>
    <cellStyle name="Normal 42 2 2 2 3 2" xfId="2010"/>
    <cellStyle name="Normal 42 2 2 2 4" xfId="1574"/>
    <cellStyle name="Normal 42 2 2 3" xfId="868"/>
    <cellStyle name="Normal 42 2 2 3 2" xfId="1304"/>
    <cellStyle name="Normal 42 2 2 3 2 2" xfId="2180"/>
    <cellStyle name="Normal 42 2 2 3 3" xfId="1744"/>
    <cellStyle name="Normal 42 2 2 4" xfId="1026"/>
    <cellStyle name="Normal 42 2 2 4 2" xfId="1902"/>
    <cellStyle name="Normal 42 2 2 5" xfId="1466"/>
    <cellStyle name="Normal 42 2 3" xfId="625"/>
    <cellStyle name="Normal 42 2 3 2" xfId="869"/>
    <cellStyle name="Normal 42 2 3 2 2" xfId="1305"/>
    <cellStyle name="Normal 42 2 3 2 2 2" xfId="2181"/>
    <cellStyle name="Normal 42 2 3 2 3" xfId="1745"/>
    <cellStyle name="Normal 42 2 3 3" xfId="1079"/>
    <cellStyle name="Normal 42 2 3 3 2" xfId="1955"/>
    <cellStyle name="Normal 42 2 3 4" xfId="1519"/>
    <cellStyle name="Normal 42 2 4" xfId="870"/>
    <cellStyle name="Normal 42 2 4 2" xfId="1306"/>
    <cellStyle name="Normal 42 2 4 2 2" xfId="2182"/>
    <cellStyle name="Normal 42 2 4 3" xfId="1746"/>
    <cellStyle name="Normal 42 2 5" xfId="971"/>
    <cellStyle name="Normal 42 2 5 2" xfId="1847"/>
    <cellStyle name="Normal 42 2 6" xfId="1411"/>
    <cellStyle name="Normal 42 3" xfId="570"/>
    <cellStyle name="Normal 42 3 2" xfId="679"/>
    <cellStyle name="Normal 42 3 2 2" xfId="871"/>
    <cellStyle name="Normal 42 3 2 2 2" xfId="1307"/>
    <cellStyle name="Normal 42 3 2 2 2 2" xfId="2183"/>
    <cellStyle name="Normal 42 3 2 2 3" xfId="1747"/>
    <cellStyle name="Normal 42 3 2 3" xfId="1133"/>
    <cellStyle name="Normal 42 3 2 3 2" xfId="2009"/>
    <cellStyle name="Normal 42 3 2 4" xfId="1573"/>
    <cellStyle name="Normal 42 3 3" xfId="872"/>
    <cellStyle name="Normal 42 3 3 2" xfId="1308"/>
    <cellStyle name="Normal 42 3 3 2 2" xfId="2184"/>
    <cellStyle name="Normal 42 3 3 3" xfId="1748"/>
    <cellStyle name="Normal 42 3 4" xfId="1025"/>
    <cellStyle name="Normal 42 3 4 2" xfId="1901"/>
    <cellStyle name="Normal 42 3 5" xfId="1465"/>
    <cellStyle name="Normal 42 4" xfId="624"/>
    <cellStyle name="Normal 42 4 2" xfId="873"/>
    <cellStyle name="Normal 42 4 2 2" xfId="1309"/>
    <cellStyle name="Normal 42 4 2 2 2" xfId="2185"/>
    <cellStyle name="Normal 42 4 2 3" xfId="1749"/>
    <cellStyle name="Normal 42 4 3" xfId="1078"/>
    <cellStyle name="Normal 42 4 3 2" xfId="1954"/>
    <cellStyle name="Normal 42 4 4" xfId="1518"/>
    <cellStyle name="Normal 42 5" xfId="874"/>
    <cellStyle name="Normal 42 5 2" xfId="1310"/>
    <cellStyle name="Normal 42 5 2 2" xfId="2186"/>
    <cellStyle name="Normal 42 5 3" xfId="1750"/>
    <cellStyle name="Normal 42 6" xfId="970"/>
    <cellStyle name="Normal 42 6 2" xfId="1846"/>
    <cellStyle name="Normal 42 7" xfId="1410"/>
    <cellStyle name="Normal 43" xfId="512"/>
    <cellStyle name="Normal 43 2" xfId="572"/>
    <cellStyle name="Normal 43 2 2" xfId="681"/>
    <cellStyle name="Normal 43 2 2 2" xfId="875"/>
    <cellStyle name="Normal 43 2 2 2 2" xfId="1311"/>
    <cellStyle name="Normal 43 2 2 2 2 2" xfId="2187"/>
    <cellStyle name="Normal 43 2 2 2 3" xfId="1751"/>
    <cellStyle name="Normal 43 2 2 3" xfId="1135"/>
    <cellStyle name="Normal 43 2 2 3 2" xfId="2011"/>
    <cellStyle name="Normal 43 2 2 4" xfId="1575"/>
    <cellStyle name="Normal 43 2 3" xfId="876"/>
    <cellStyle name="Normal 43 2 3 2" xfId="1312"/>
    <cellStyle name="Normal 43 2 3 2 2" xfId="2188"/>
    <cellStyle name="Normal 43 2 3 3" xfId="1752"/>
    <cellStyle name="Normal 43 2 4" xfId="1027"/>
    <cellStyle name="Normal 43 2 4 2" xfId="1903"/>
    <cellStyle name="Normal 43 2 5" xfId="1467"/>
    <cellStyle name="Normal 43 3" xfId="626"/>
    <cellStyle name="Normal 43 3 2" xfId="877"/>
    <cellStyle name="Normal 43 3 2 2" xfId="1313"/>
    <cellStyle name="Normal 43 3 2 2 2" xfId="2189"/>
    <cellStyle name="Normal 43 3 2 3" xfId="1753"/>
    <cellStyle name="Normal 43 3 3" xfId="1080"/>
    <cellStyle name="Normal 43 3 3 2" xfId="1956"/>
    <cellStyle name="Normal 43 3 4" xfId="1520"/>
    <cellStyle name="Normal 43 4" xfId="878"/>
    <cellStyle name="Normal 43 4 2" xfId="1314"/>
    <cellStyle name="Normal 43 4 2 2" xfId="2190"/>
    <cellStyle name="Normal 43 4 3" xfId="1754"/>
    <cellStyle name="Normal 43 5" xfId="972"/>
    <cellStyle name="Normal 43 5 2" xfId="1848"/>
    <cellStyle name="Normal 43 6" xfId="1412"/>
    <cellStyle name="Normal 44" xfId="517"/>
    <cellStyle name="Normal 44 2" xfId="573"/>
    <cellStyle name="Normal 44 2 2" xfId="682"/>
    <cellStyle name="Normal 44 2 2 2" xfId="879"/>
    <cellStyle name="Normal 44 2 2 2 2" xfId="1315"/>
    <cellStyle name="Normal 44 2 2 2 2 2" xfId="2191"/>
    <cellStyle name="Normal 44 2 2 2 3" xfId="1755"/>
    <cellStyle name="Normal 44 2 2 3" xfId="1136"/>
    <cellStyle name="Normal 44 2 2 3 2" xfId="2012"/>
    <cellStyle name="Normal 44 2 2 4" xfId="1576"/>
    <cellStyle name="Normal 44 2 3" xfId="880"/>
    <cellStyle name="Normal 44 2 3 2" xfId="1316"/>
    <cellStyle name="Normal 44 2 3 2 2" xfId="2192"/>
    <cellStyle name="Normal 44 2 3 3" xfId="1756"/>
    <cellStyle name="Normal 44 2 4" xfId="1028"/>
    <cellStyle name="Normal 44 2 4 2" xfId="1904"/>
    <cellStyle name="Normal 44 2 5" xfId="1468"/>
    <cellStyle name="Normal 44 3" xfId="627"/>
    <cellStyle name="Normal 44 3 2" xfId="881"/>
    <cellStyle name="Normal 44 3 2 2" xfId="1317"/>
    <cellStyle name="Normal 44 3 2 2 2" xfId="2193"/>
    <cellStyle name="Normal 44 3 2 3" xfId="1757"/>
    <cellStyle name="Normal 44 3 3" xfId="1081"/>
    <cellStyle name="Normal 44 3 3 2" xfId="1957"/>
    <cellStyle name="Normal 44 3 4" xfId="1521"/>
    <cellStyle name="Normal 44 4" xfId="882"/>
    <cellStyle name="Normal 44 4 2" xfId="1318"/>
    <cellStyle name="Normal 44 4 2 2" xfId="2194"/>
    <cellStyle name="Normal 44 4 3" xfId="1758"/>
    <cellStyle name="Normal 44 5" xfId="973"/>
    <cellStyle name="Normal 44 5 2" xfId="1849"/>
    <cellStyle name="Normal 44 6" xfId="1413"/>
    <cellStyle name="Normal 45" xfId="518"/>
    <cellStyle name="Normal 45 2" xfId="574"/>
    <cellStyle name="Normal 45 2 2" xfId="683"/>
    <cellStyle name="Normal 45 2 2 2" xfId="883"/>
    <cellStyle name="Normal 45 2 2 2 2" xfId="1319"/>
    <cellStyle name="Normal 45 2 2 2 2 2" xfId="2195"/>
    <cellStyle name="Normal 45 2 2 2 3" xfId="1759"/>
    <cellStyle name="Normal 45 2 2 3" xfId="1137"/>
    <cellStyle name="Normal 45 2 2 3 2" xfId="2013"/>
    <cellStyle name="Normal 45 2 2 4" xfId="1577"/>
    <cellStyle name="Normal 45 2 3" xfId="884"/>
    <cellStyle name="Normal 45 2 3 2" xfId="1320"/>
    <cellStyle name="Normal 45 2 3 2 2" xfId="2196"/>
    <cellStyle name="Normal 45 2 3 3" xfId="1760"/>
    <cellStyle name="Normal 45 2 4" xfId="1029"/>
    <cellStyle name="Normal 45 2 4 2" xfId="1905"/>
    <cellStyle name="Normal 45 2 5" xfId="1469"/>
    <cellStyle name="Normal 45 3" xfId="628"/>
    <cellStyle name="Normal 45 3 2" xfId="885"/>
    <cellStyle name="Normal 45 3 2 2" xfId="1321"/>
    <cellStyle name="Normal 45 3 2 2 2" xfId="2197"/>
    <cellStyle name="Normal 45 3 2 3" xfId="1761"/>
    <cellStyle name="Normal 45 3 3" xfId="1082"/>
    <cellStyle name="Normal 45 3 3 2" xfId="1958"/>
    <cellStyle name="Normal 45 3 4" xfId="1522"/>
    <cellStyle name="Normal 45 4" xfId="886"/>
    <cellStyle name="Normal 45 4 2" xfId="1322"/>
    <cellStyle name="Normal 45 4 2 2" xfId="2198"/>
    <cellStyle name="Normal 45 4 3" xfId="1762"/>
    <cellStyle name="Normal 45 5" xfId="974"/>
    <cellStyle name="Normal 45 5 2" xfId="1850"/>
    <cellStyle name="Normal 45 6" xfId="1414"/>
    <cellStyle name="Normal 46" xfId="519"/>
    <cellStyle name="Normal 46 2" xfId="575"/>
    <cellStyle name="Normal 46 2 2" xfId="684"/>
    <cellStyle name="Normal 46 2 2 2" xfId="887"/>
    <cellStyle name="Normal 46 2 2 2 2" xfId="1323"/>
    <cellStyle name="Normal 46 2 2 2 2 2" xfId="2199"/>
    <cellStyle name="Normal 46 2 2 2 3" xfId="1763"/>
    <cellStyle name="Normal 46 2 2 3" xfId="1138"/>
    <cellStyle name="Normal 46 2 2 3 2" xfId="2014"/>
    <cellStyle name="Normal 46 2 2 4" xfId="1578"/>
    <cellStyle name="Normal 46 2 3" xfId="888"/>
    <cellStyle name="Normal 46 2 3 2" xfId="1324"/>
    <cellStyle name="Normal 46 2 3 2 2" xfId="2200"/>
    <cellStyle name="Normal 46 2 3 3" xfId="1764"/>
    <cellStyle name="Normal 46 2 4" xfId="1030"/>
    <cellStyle name="Normal 46 2 4 2" xfId="1906"/>
    <cellStyle name="Normal 46 2 5" xfId="1470"/>
    <cellStyle name="Normal 46 3" xfId="629"/>
    <cellStyle name="Normal 46 3 2" xfId="889"/>
    <cellStyle name="Normal 46 3 2 2" xfId="1325"/>
    <cellStyle name="Normal 46 3 2 2 2" xfId="2201"/>
    <cellStyle name="Normal 46 3 2 3" xfId="1765"/>
    <cellStyle name="Normal 46 3 3" xfId="1083"/>
    <cellStyle name="Normal 46 3 3 2" xfId="1959"/>
    <cellStyle name="Normal 46 3 4" xfId="1523"/>
    <cellStyle name="Normal 46 4" xfId="890"/>
    <cellStyle name="Normal 46 4 2" xfId="1326"/>
    <cellStyle name="Normal 46 4 2 2" xfId="2202"/>
    <cellStyle name="Normal 46 4 3" xfId="1766"/>
    <cellStyle name="Normal 46 5" xfId="975"/>
    <cellStyle name="Normal 46 5 2" xfId="1851"/>
    <cellStyle name="Normal 46 6" xfId="1415"/>
    <cellStyle name="Normal 47" xfId="520"/>
    <cellStyle name="Normal 47 2" xfId="576"/>
    <cellStyle name="Normal 47 2 2" xfId="685"/>
    <cellStyle name="Normal 47 2 2 2" xfId="891"/>
    <cellStyle name="Normal 47 2 2 2 2" xfId="1327"/>
    <cellStyle name="Normal 47 2 2 2 2 2" xfId="2203"/>
    <cellStyle name="Normal 47 2 2 2 3" xfId="1767"/>
    <cellStyle name="Normal 47 2 2 3" xfId="1139"/>
    <cellStyle name="Normal 47 2 2 3 2" xfId="2015"/>
    <cellStyle name="Normal 47 2 2 4" xfId="1579"/>
    <cellStyle name="Normal 47 2 3" xfId="892"/>
    <cellStyle name="Normal 47 2 3 2" xfId="1328"/>
    <cellStyle name="Normal 47 2 3 2 2" xfId="2204"/>
    <cellStyle name="Normal 47 2 3 3" xfId="1768"/>
    <cellStyle name="Normal 47 2 4" xfId="1031"/>
    <cellStyle name="Normal 47 2 4 2" xfId="1907"/>
    <cellStyle name="Normal 47 2 5" xfId="1471"/>
    <cellStyle name="Normal 47 3" xfId="630"/>
    <cellStyle name="Normal 47 3 2" xfId="893"/>
    <cellStyle name="Normal 47 3 2 2" xfId="1329"/>
    <cellStyle name="Normal 47 3 2 2 2" xfId="2205"/>
    <cellStyle name="Normal 47 3 2 3" xfId="1769"/>
    <cellStyle name="Normal 47 3 3" xfId="1084"/>
    <cellStyle name="Normal 47 3 3 2" xfId="1960"/>
    <cellStyle name="Normal 47 3 4" xfId="1524"/>
    <cellStyle name="Normal 47 4" xfId="894"/>
    <cellStyle name="Normal 47 4 2" xfId="1330"/>
    <cellStyle name="Normal 47 4 2 2" xfId="2206"/>
    <cellStyle name="Normal 47 4 3" xfId="1770"/>
    <cellStyle name="Normal 47 5" xfId="976"/>
    <cellStyle name="Normal 47 5 2" xfId="1852"/>
    <cellStyle name="Normal 47 6" xfId="1416"/>
    <cellStyle name="Normal 48" xfId="523"/>
    <cellStyle name="Normal 48 2" xfId="632"/>
    <cellStyle name="Normal 48 2 2" xfId="895"/>
    <cellStyle name="Normal 48 2 2 2" xfId="1331"/>
    <cellStyle name="Normal 48 2 2 2 2" xfId="2207"/>
    <cellStyle name="Normal 48 2 2 3" xfId="1771"/>
    <cellStyle name="Normal 48 2 3" xfId="1086"/>
    <cellStyle name="Normal 48 2 3 2" xfId="1962"/>
    <cellStyle name="Normal 48 2 4" xfId="1526"/>
    <cellStyle name="Normal 48 3" xfId="896"/>
    <cellStyle name="Normal 48 3 2" xfId="1332"/>
    <cellStyle name="Normal 48 3 2 2" xfId="2208"/>
    <cellStyle name="Normal 48 3 3" xfId="1772"/>
    <cellStyle name="Normal 48 4" xfId="978"/>
    <cellStyle name="Normal 48 4 2" xfId="1854"/>
    <cellStyle name="Normal 48 5" xfId="1418"/>
    <cellStyle name="Normal 49" xfId="687"/>
    <cellStyle name="Normal 49 2" xfId="897"/>
    <cellStyle name="Normal 49 2 2" xfId="1333"/>
    <cellStyle name="Normal 49 2 2 2" xfId="2209"/>
    <cellStyle name="Normal 49 2 3" xfId="1773"/>
    <cellStyle name="Normal 49 3" xfId="1141"/>
    <cellStyle name="Normal 49 3 2" xfId="2017"/>
    <cellStyle name="Normal 49 4" xfId="1581"/>
    <cellStyle name="Normal 5" xfId="72"/>
    <cellStyle name="Normal 5 2" xfId="514"/>
    <cellStyle name="Normal 5 3" xfId="529"/>
    <cellStyle name="Normal 5 3 2" xfId="638"/>
    <cellStyle name="Normal 5 3 2 2" xfId="898"/>
    <cellStyle name="Normal 5 3 2 2 2" xfId="1334"/>
    <cellStyle name="Normal 5 3 2 2 2 2" xfId="2210"/>
    <cellStyle name="Normal 5 3 2 2 3" xfId="1774"/>
    <cellStyle name="Normal 5 3 2 3" xfId="1092"/>
    <cellStyle name="Normal 5 3 2 3 2" xfId="1968"/>
    <cellStyle name="Normal 5 3 2 4" xfId="1532"/>
    <cellStyle name="Normal 5 3 3" xfId="899"/>
    <cellStyle name="Normal 5 3 3 2" xfId="1335"/>
    <cellStyle name="Normal 5 3 3 2 2" xfId="2211"/>
    <cellStyle name="Normal 5 3 3 3" xfId="1775"/>
    <cellStyle name="Normal 5 3 4" xfId="984"/>
    <cellStyle name="Normal 5 3 4 2" xfId="1860"/>
    <cellStyle name="Normal 5 3 5" xfId="1424"/>
    <cellStyle name="Normal 5 4" xfId="583"/>
    <cellStyle name="Normal 5 4 2" xfId="900"/>
    <cellStyle name="Normal 5 4 2 2" xfId="1336"/>
    <cellStyle name="Normal 5 4 2 2 2" xfId="2212"/>
    <cellStyle name="Normal 5 4 2 3" xfId="1776"/>
    <cellStyle name="Normal 5 4 3" xfId="1037"/>
    <cellStyle name="Normal 5 4 3 2" xfId="1913"/>
    <cellStyle name="Normal 5 4 4" xfId="1477"/>
    <cellStyle name="Normal 5 5" xfId="901"/>
    <cellStyle name="Normal 5 5 2" xfId="1337"/>
    <cellStyle name="Normal 5 5 2 2" xfId="2213"/>
    <cellStyle name="Normal 5 5 3" xfId="1777"/>
    <cellStyle name="Normal 5 6" xfId="929"/>
    <cellStyle name="Normal 5 6 2" xfId="1805"/>
    <cellStyle name="Normal 5 7" xfId="1369"/>
    <cellStyle name="Normal 50" xfId="4"/>
    <cellStyle name="Normal 6" xfId="73"/>
    <cellStyle name="Normal 6 2" xfId="515"/>
    <cellStyle name="Normal 6 3" xfId="530"/>
    <cellStyle name="Normal 6 3 2" xfId="639"/>
    <cellStyle name="Normal 6 3 2 2" xfId="902"/>
    <cellStyle name="Normal 6 3 2 2 2" xfId="1338"/>
    <cellStyle name="Normal 6 3 2 2 2 2" xfId="2214"/>
    <cellStyle name="Normal 6 3 2 2 3" xfId="1778"/>
    <cellStyle name="Normal 6 3 2 3" xfId="1093"/>
    <cellStyle name="Normal 6 3 2 3 2" xfId="1969"/>
    <cellStyle name="Normal 6 3 2 4" xfId="1533"/>
    <cellStyle name="Normal 6 3 3" xfId="903"/>
    <cellStyle name="Normal 6 3 3 2" xfId="1339"/>
    <cellStyle name="Normal 6 3 3 2 2" xfId="2215"/>
    <cellStyle name="Normal 6 3 3 3" xfId="1779"/>
    <cellStyle name="Normal 6 3 4" xfId="985"/>
    <cellStyle name="Normal 6 3 4 2" xfId="1861"/>
    <cellStyle name="Normal 6 3 5" xfId="1425"/>
    <cellStyle name="Normal 6 4" xfId="584"/>
    <cellStyle name="Normal 6 4 2" xfId="904"/>
    <cellStyle name="Normal 6 4 2 2" xfId="1340"/>
    <cellStyle name="Normal 6 4 2 2 2" xfId="2216"/>
    <cellStyle name="Normal 6 4 2 3" xfId="1780"/>
    <cellStyle name="Normal 6 4 3" xfId="1038"/>
    <cellStyle name="Normal 6 4 3 2" xfId="1914"/>
    <cellStyle name="Normal 6 4 4" xfId="1478"/>
    <cellStyle name="Normal 6 5" xfId="905"/>
    <cellStyle name="Normal 6 5 2" xfId="1341"/>
    <cellStyle name="Normal 6 5 2 2" xfId="2217"/>
    <cellStyle name="Normal 6 5 3" xfId="1781"/>
    <cellStyle name="Normal 6 6" xfId="930"/>
    <cellStyle name="Normal 6 6 2" xfId="1806"/>
    <cellStyle name="Normal 6 7" xfId="1370"/>
    <cellStyle name="Normal 7" xfId="74"/>
    <cellStyle name="Normal 7 2" xfId="516"/>
    <cellStyle name="Normal 7 3" xfId="531"/>
    <cellStyle name="Normal 7 3 2" xfId="640"/>
    <cellStyle name="Normal 7 3 2 2" xfId="906"/>
    <cellStyle name="Normal 7 3 2 2 2" xfId="1342"/>
    <cellStyle name="Normal 7 3 2 2 2 2" xfId="2218"/>
    <cellStyle name="Normal 7 3 2 2 3" xfId="1782"/>
    <cellStyle name="Normal 7 3 2 3" xfId="1094"/>
    <cellStyle name="Normal 7 3 2 3 2" xfId="1970"/>
    <cellStyle name="Normal 7 3 2 4" xfId="1534"/>
    <cellStyle name="Normal 7 3 3" xfId="907"/>
    <cellStyle name="Normal 7 3 3 2" xfId="1343"/>
    <cellStyle name="Normal 7 3 3 2 2" xfId="2219"/>
    <cellStyle name="Normal 7 3 3 3" xfId="1783"/>
    <cellStyle name="Normal 7 3 4" xfId="986"/>
    <cellStyle name="Normal 7 3 4 2" xfId="1862"/>
    <cellStyle name="Normal 7 3 5" xfId="1426"/>
    <cellStyle name="Normal 7 4" xfId="585"/>
    <cellStyle name="Normal 7 4 2" xfId="908"/>
    <cellStyle name="Normal 7 4 2 2" xfId="1344"/>
    <cellStyle name="Normal 7 4 2 2 2" xfId="2220"/>
    <cellStyle name="Normal 7 4 2 3" xfId="1784"/>
    <cellStyle name="Normal 7 4 3" xfId="1039"/>
    <cellStyle name="Normal 7 4 3 2" xfId="1915"/>
    <cellStyle name="Normal 7 4 4" xfId="1479"/>
    <cellStyle name="Normal 7 5" xfId="909"/>
    <cellStyle name="Normal 7 5 2" xfId="1345"/>
    <cellStyle name="Normal 7 5 2 2" xfId="2221"/>
    <cellStyle name="Normal 7 5 3" xfId="1785"/>
    <cellStyle name="Normal 7 6" xfId="931"/>
    <cellStyle name="Normal 7 6 2" xfId="1807"/>
    <cellStyle name="Normal 7 7" xfId="1371"/>
    <cellStyle name="Normal 8" xfId="75"/>
    <cellStyle name="Normal 8 2" xfId="532"/>
    <cellStyle name="Normal 8 2 2" xfId="641"/>
    <cellStyle name="Normal 8 2 2 2" xfId="910"/>
    <cellStyle name="Normal 8 2 2 2 2" xfId="1346"/>
    <cellStyle name="Normal 8 2 2 2 2 2" xfId="2222"/>
    <cellStyle name="Normal 8 2 2 2 3" xfId="1786"/>
    <cellStyle name="Normal 8 2 2 3" xfId="1095"/>
    <cellStyle name="Normal 8 2 2 3 2" xfId="1971"/>
    <cellStyle name="Normal 8 2 2 4" xfId="1535"/>
    <cellStyle name="Normal 8 2 3" xfId="911"/>
    <cellStyle name="Normal 8 2 3 2" xfId="1347"/>
    <cellStyle name="Normal 8 2 3 2 2" xfId="2223"/>
    <cellStyle name="Normal 8 2 3 3" xfId="1787"/>
    <cellStyle name="Normal 8 2 4" xfId="987"/>
    <cellStyle name="Normal 8 2 4 2" xfId="1863"/>
    <cellStyle name="Normal 8 2 5" xfId="1427"/>
    <cellStyle name="Normal 8 3" xfId="586"/>
    <cellStyle name="Normal 8 3 2" xfId="912"/>
    <cellStyle name="Normal 8 3 2 2" xfId="1348"/>
    <cellStyle name="Normal 8 3 2 2 2" xfId="2224"/>
    <cellStyle name="Normal 8 3 2 3" xfId="1788"/>
    <cellStyle name="Normal 8 3 3" xfId="1040"/>
    <cellStyle name="Normal 8 3 3 2" xfId="1916"/>
    <cellStyle name="Normal 8 3 4" xfId="1480"/>
    <cellStyle name="Normal 8 4" xfId="913"/>
    <cellStyle name="Normal 8 4 2" xfId="1349"/>
    <cellStyle name="Normal 8 4 2 2" xfId="2225"/>
    <cellStyle name="Normal 8 4 3" xfId="1789"/>
    <cellStyle name="Normal 8 5" xfId="932"/>
    <cellStyle name="Normal 8 5 2" xfId="1808"/>
    <cellStyle name="Normal 8 6" xfId="1372"/>
    <cellStyle name="Normal 9" xfId="81"/>
    <cellStyle name="Normal 9 2" xfId="533"/>
    <cellStyle name="Normal 9 2 2" xfId="642"/>
    <cellStyle name="Normal 9 2 2 2" xfId="914"/>
    <cellStyle name="Normal 9 2 2 2 2" xfId="1350"/>
    <cellStyle name="Normal 9 2 2 2 2 2" xfId="2226"/>
    <cellStyle name="Normal 9 2 2 2 3" xfId="1790"/>
    <cellStyle name="Normal 9 2 2 3" xfId="1096"/>
    <cellStyle name="Normal 9 2 2 3 2" xfId="1972"/>
    <cellStyle name="Normal 9 2 2 4" xfId="1536"/>
    <cellStyle name="Normal 9 2 3" xfId="915"/>
    <cellStyle name="Normal 9 2 3 2" xfId="1351"/>
    <cellStyle name="Normal 9 2 3 2 2" xfId="2227"/>
    <cellStyle name="Normal 9 2 3 3" xfId="1791"/>
    <cellStyle name="Normal 9 2 4" xfId="988"/>
    <cellStyle name="Normal 9 2 4 2" xfId="1864"/>
    <cellStyle name="Normal 9 2 5" xfId="1428"/>
    <cellStyle name="Normal 9 3" xfId="587"/>
    <cellStyle name="Normal 9 3 2" xfId="916"/>
    <cellStyle name="Normal 9 3 2 2" xfId="1352"/>
    <cellStyle name="Normal 9 3 2 2 2" xfId="2228"/>
    <cellStyle name="Normal 9 3 2 3" xfId="1792"/>
    <cellStyle name="Normal 9 3 3" xfId="1041"/>
    <cellStyle name="Normal 9 3 3 2" xfId="1917"/>
    <cellStyle name="Normal 9 3 4" xfId="1481"/>
    <cellStyle name="Normal 9 4" xfId="917"/>
    <cellStyle name="Normal 9 4 2" xfId="1353"/>
    <cellStyle name="Normal 9 4 2 2" xfId="2229"/>
    <cellStyle name="Normal 9 4 3" xfId="1793"/>
    <cellStyle name="Normal 9 5" xfId="933"/>
    <cellStyle name="Normal 9 5 2" xfId="1809"/>
    <cellStyle name="Normal 9 6" xfId="1373"/>
    <cellStyle name="Note 2" xfId="64"/>
    <cellStyle name="Output" xfId="1" builtinId="21"/>
    <cellStyle name="Output 2" xfId="65"/>
    <cellStyle name="Percent 2" xfId="498"/>
    <cellStyle name="Percent 2 2" xfId="558"/>
    <cellStyle name="Percent 2 2 2" xfId="667"/>
    <cellStyle name="Percent 2 2 2 2" xfId="918"/>
    <cellStyle name="Percent 2 2 2 2 2" xfId="1354"/>
    <cellStyle name="Percent 2 2 2 2 2 2" xfId="2230"/>
    <cellStyle name="Percent 2 2 2 2 3" xfId="1794"/>
    <cellStyle name="Percent 2 2 2 3" xfId="1121"/>
    <cellStyle name="Percent 2 2 2 3 2" xfId="1997"/>
    <cellStyle name="Percent 2 2 2 4" xfId="1561"/>
    <cellStyle name="Percent 2 2 3" xfId="919"/>
    <cellStyle name="Percent 2 2 3 2" xfId="1355"/>
    <cellStyle name="Percent 2 2 3 2 2" xfId="2231"/>
    <cellStyle name="Percent 2 2 3 3" xfId="1795"/>
    <cellStyle name="Percent 2 2 4" xfId="1013"/>
    <cellStyle name="Percent 2 2 4 2" xfId="1889"/>
    <cellStyle name="Percent 2 2 5" xfId="1453"/>
    <cellStyle name="Percent 2 3" xfId="612"/>
    <cellStyle name="Percent 2 3 2" xfId="920"/>
    <cellStyle name="Percent 2 3 2 2" xfId="1356"/>
    <cellStyle name="Percent 2 3 2 2 2" xfId="2232"/>
    <cellStyle name="Percent 2 3 2 3" xfId="1796"/>
    <cellStyle name="Percent 2 3 3" xfId="1066"/>
    <cellStyle name="Percent 2 3 3 2" xfId="1942"/>
    <cellStyle name="Percent 2 3 4" xfId="1506"/>
    <cellStyle name="Percent 2 4" xfId="921"/>
    <cellStyle name="Percent 2 4 2" xfId="1357"/>
    <cellStyle name="Percent 2 4 2 2" xfId="2233"/>
    <cellStyle name="Percent 2 4 3" xfId="1797"/>
    <cellStyle name="Percent 2 5" xfId="958"/>
    <cellStyle name="Percent 2 5 2" xfId="1834"/>
    <cellStyle name="Percent 2 6" xfId="1398"/>
    <cellStyle name="Percent 3" xfId="524"/>
    <cellStyle name="Percent 3 2" xfId="633"/>
    <cellStyle name="Percent 3 2 2" xfId="922"/>
    <cellStyle name="Percent 3 2 2 2" xfId="1358"/>
    <cellStyle name="Percent 3 2 2 2 2" xfId="2234"/>
    <cellStyle name="Percent 3 2 2 3" xfId="1798"/>
    <cellStyle name="Percent 3 2 3" xfId="1087"/>
    <cellStyle name="Percent 3 2 3 2" xfId="1963"/>
    <cellStyle name="Percent 3 2 4" xfId="1527"/>
    <cellStyle name="Percent 3 3" xfId="923"/>
    <cellStyle name="Percent 3 3 2" xfId="1359"/>
    <cellStyle name="Percent 3 3 2 2" xfId="2235"/>
    <cellStyle name="Percent 3 3 3" xfId="1799"/>
    <cellStyle name="Percent 3 4" xfId="979"/>
    <cellStyle name="Percent 3 4 2" xfId="1855"/>
    <cellStyle name="Percent 3 5" xfId="1419"/>
    <cellStyle name="Percent 4" xfId="578"/>
    <cellStyle name="Percent 5" xfId="688"/>
    <cellStyle name="Percent 5 2" xfId="924"/>
    <cellStyle name="Percent 5 2 2" xfId="1360"/>
    <cellStyle name="Percent 5 2 2 2" xfId="2236"/>
    <cellStyle name="Percent 5 2 3" xfId="1800"/>
    <cellStyle name="Percent 5 3" xfId="1142"/>
    <cellStyle name="Percent 5 3 2" xfId="2018"/>
    <cellStyle name="Percent 5 4" xfId="1582"/>
    <cellStyle name="Percent 6" xfId="522"/>
    <cellStyle name="Title 10" xfId="435"/>
    <cellStyle name="Title 11" xfId="436"/>
    <cellStyle name="Title 12" xfId="22"/>
    <cellStyle name="Title 2" xfId="66"/>
    <cellStyle name="Title 2 10" xfId="437"/>
    <cellStyle name="Title 2 11" xfId="438"/>
    <cellStyle name="Title 2 2" xfId="439"/>
    <cellStyle name="Title 2 3" xfId="440"/>
    <cellStyle name="Title 2 4" xfId="441"/>
    <cellStyle name="Title 2 5" xfId="442"/>
    <cellStyle name="Title 2 6" xfId="443"/>
    <cellStyle name="Title 2 7" xfId="444"/>
    <cellStyle name="Title 2 8" xfId="445"/>
    <cellStyle name="Title 2 9" xfId="446"/>
    <cellStyle name="Title 3" xfId="447"/>
    <cellStyle name="Title 4" xfId="448"/>
    <cellStyle name="Title 5" xfId="449"/>
    <cellStyle name="Title 6" xfId="450"/>
    <cellStyle name="Title 7" xfId="451"/>
    <cellStyle name="Title 8" xfId="452"/>
    <cellStyle name="Title 9" xfId="453"/>
    <cellStyle name="Total 10" xfId="454"/>
    <cellStyle name="Total 11" xfId="455"/>
    <cellStyle name="Total 12" xfId="23"/>
    <cellStyle name="Total 2" xfId="67"/>
    <cellStyle name="Total 2 10" xfId="456"/>
    <cellStyle name="Total 2 11" xfId="457"/>
    <cellStyle name="Total 2 2" xfId="458"/>
    <cellStyle name="Total 2 3" xfId="459"/>
    <cellStyle name="Total 2 4" xfId="460"/>
    <cellStyle name="Total 2 5" xfId="461"/>
    <cellStyle name="Total 2 6" xfId="462"/>
    <cellStyle name="Total 2 7" xfId="463"/>
    <cellStyle name="Total 2 8" xfId="464"/>
    <cellStyle name="Total 2 9" xfId="465"/>
    <cellStyle name="Total 3" xfId="466"/>
    <cellStyle name="Total 4" xfId="467"/>
    <cellStyle name="Total 5" xfId="468"/>
    <cellStyle name="Total 6" xfId="469"/>
    <cellStyle name="Total 7" xfId="470"/>
    <cellStyle name="Total 8" xfId="471"/>
    <cellStyle name="Total 9" xfId="472"/>
    <cellStyle name="Warning Text 10" xfId="473"/>
    <cellStyle name="Warning Text 11" xfId="474"/>
    <cellStyle name="Warning Text 12" xfId="24"/>
    <cellStyle name="Warning Text 2" xfId="68"/>
    <cellStyle name="Warning Text 2 10" xfId="475"/>
    <cellStyle name="Warning Text 2 11" xfId="476"/>
    <cellStyle name="Warning Text 2 2" xfId="477"/>
    <cellStyle name="Warning Text 2 3" xfId="478"/>
    <cellStyle name="Warning Text 2 4" xfId="479"/>
    <cellStyle name="Warning Text 2 5" xfId="480"/>
    <cellStyle name="Warning Text 2 6" xfId="481"/>
    <cellStyle name="Warning Text 2 7" xfId="482"/>
    <cellStyle name="Warning Text 2 8" xfId="483"/>
    <cellStyle name="Warning Text 2 9" xfId="484"/>
    <cellStyle name="Warning Text 3" xfId="485"/>
    <cellStyle name="Warning Text 4" xfId="486"/>
    <cellStyle name="Warning Text 5" xfId="487"/>
    <cellStyle name="Warning Text 6" xfId="488"/>
    <cellStyle name="Warning Text 7" xfId="489"/>
    <cellStyle name="Warning Text 8" xfId="490"/>
    <cellStyle name="Warning Text 9" xfId="491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emf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6.png"/><Relationship Id="rId18" Type="http://schemas.openxmlformats.org/officeDocument/2006/relationships/image" Target="../media/image71.png"/><Relationship Id="rId26" Type="http://schemas.openxmlformats.org/officeDocument/2006/relationships/image" Target="../media/image79.png"/><Relationship Id="rId39" Type="http://schemas.openxmlformats.org/officeDocument/2006/relationships/image" Target="../media/image91.png"/><Relationship Id="rId21" Type="http://schemas.openxmlformats.org/officeDocument/2006/relationships/image" Target="../media/image74.png"/><Relationship Id="rId34" Type="http://schemas.openxmlformats.org/officeDocument/2006/relationships/image" Target="../media/image87.emf"/><Relationship Id="rId42" Type="http://schemas.openxmlformats.org/officeDocument/2006/relationships/image" Target="../media/image94.png"/><Relationship Id="rId47" Type="http://schemas.openxmlformats.org/officeDocument/2006/relationships/image" Target="../media/image99.png"/><Relationship Id="rId50" Type="http://schemas.openxmlformats.org/officeDocument/2006/relationships/image" Target="../media/image102.png"/><Relationship Id="rId55" Type="http://schemas.openxmlformats.org/officeDocument/2006/relationships/image" Target="../media/image107.png"/><Relationship Id="rId7" Type="http://schemas.openxmlformats.org/officeDocument/2006/relationships/image" Target="../media/image60.png"/><Relationship Id="rId2" Type="http://schemas.openxmlformats.org/officeDocument/2006/relationships/image" Target="../media/image55.png"/><Relationship Id="rId16" Type="http://schemas.openxmlformats.org/officeDocument/2006/relationships/image" Target="../media/image69.png"/><Relationship Id="rId29" Type="http://schemas.openxmlformats.org/officeDocument/2006/relationships/image" Target="../media/image82.png"/><Relationship Id="rId11" Type="http://schemas.openxmlformats.org/officeDocument/2006/relationships/image" Target="../media/image64.png"/><Relationship Id="rId24" Type="http://schemas.openxmlformats.org/officeDocument/2006/relationships/image" Target="../media/image77.png"/><Relationship Id="rId32" Type="http://schemas.openxmlformats.org/officeDocument/2006/relationships/image" Target="../media/image85.png"/><Relationship Id="rId37" Type="http://schemas.openxmlformats.org/officeDocument/2006/relationships/image" Target="../media/image46.png"/><Relationship Id="rId40" Type="http://schemas.openxmlformats.org/officeDocument/2006/relationships/image" Target="../media/image92.png"/><Relationship Id="rId45" Type="http://schemas.openxmlformats.org/officeDocument/2006/relationships/image" Target="../media/image97.png"/><Relationship Id="rId53" Type="http://schemas.openxmlformats.org/officeDocument/2006/relationships/image" Target="../media/image105.png"/><Relationship Id="rId58" Type="http://schemas.openxmlformats.org/officeDocument/2006/relationships/image" Target="../media/image25.emf"/><Relationship Id="rId5" Type="http://schemas.openxmlformats.org/officeDocument/2006/relationships/image" Target="../media/image58.png"/><Relationship Id="rId19" Type="http://schemas.openxmlformats.org/officeDocument/2006/relationships/image" Target="../media/image72.png"/><Relationship Id="rId4" Type="http://schemas.openxmlformats.org/officeDocument/2006/relationships/image" Target="../media/image57.png"/><Relationship Id="rId9" Type="http://schemas.openxmlformats.org/officeDocument/2006/relationships/image" Target="../media/image62.png"/><Relationship Id="rId14" Type="http://schemas.openxmlformats.org/officeDocument/2006/relationships/image" Target="../media/image67.png"/><Relationship Id="rId22" Type="http://schemas.openxmlformats.org/officeDocument/2006/relationships/image" Target="../media/image75.png"/><Relationship Id="rId27" Type="http://schemas.openxmlformats.org/officeDocument/2006/relationships/image" Target="../media/image80.png"/><Relationship Id="rId30" Type="http://schemas.openxmlformats.org/officeDocument/2006/relationships/image" Target="../media/image83.png"/><Relationship Id="rId35" Type="http://schemas.openxmlformats.org/officeDocument/2006/relationships/image" Target="../media/image88.emf"/><Relationship Id="rId43" Type="http://schemas.openxmlformats.org/officeDocument/2006/relationships/image" Target="../media/image95.png"/><Relationship Id="rId48" Type="http://schemas.openxmlformats.org/officeDocument/2006/relationships/image" Target="../media/image100.png"/><Relationship Id="rId56" Type="http://schemas.openxmlformats.org/officeDocument/2006/relationships/image" Target="../media/image108.png"/><Relationship Id="rId8" Type="http://schemas.openxmlformats.org/officeDocument/2006/relationships/image" Target="../media/image61.png"/><Relationship Id="rId51" Type="http://schemas.openxmlformats.org/officeDocument/2006/relationships/image" Target="../media/image103.png"/><Relationship Id="rId3" Type="http://schemas.openxmlformats.org/officeDocument/2006/relationships/image" Target="../media/image56.png"/><Relationship Id="rId12" Type="http://schemas.openxmlformats.org/officeDocument/2006/relationships/image" Target="../media/image65.png"/><Relationship Id="rId17" Type="http://schemas.openxmlformats.org/officeDocument/2006/relationships/image" Target="../media/image70.png"/><Relationship Id="rId25" Type="http://schemas.openxmlformats.org/officeDocument/2006/relationships/image" Target="../media/image78.png"/><Relationship Id="rId33" Type="http://schemas.openxmlformats.org/officeDocument/2006/relationships/image" Target="../media/image86.png"/><Relationship Id="rId38" Type="http://schemas.openxmlformats.org/officeDocument/2006/relationships/image" Target="../media/image90.png"/><Relationship Id="rId46" Type="http://schemas.openxmlformats.org/officeDocument/2006/relationships/image" Target="../media/image98.png"/><Relationship Id="rId59" Type="http://schemas.openxmlformats.org/officeDocument/2006/relationships/image" Target="../media/image110.png"/><Relationship Id="rId20" Type="http://schemas.openxmlformats.org/officeDocument/2006/relationships/image" Target="../media/image73.png"/><Relationship Id="rId41" Type="http://schemas.openxmlformats.org/officeDocument/2006/relationships/image" Target="../media/image93.png"/><Relationship Id="rId54" Type="http://schemas.openxmlformats.org/officeDocument/2006/relationships/image" Target="../media/image106.png"/><Relationship Id="rId1" Type="http://schemas.openxmlformats.org/officeDocument/2006/relationships/image" Target="../media/image23.png"/><Relationship Id="rId6" Type="http://schemas.openxmlformats.org/officeDocument/2006/relationships/image" Target="../media/image59.png"/><Relationship Id="rId15" Type="http://schemas.openxmlformats.org/officeDocument/2006/relationships/image" Target="../media/image68.png"/><Relationship Id="rId23" Type="http://schemas.openxmlformats.org/officeDocument/2006/relationships/image" Target="../media/image76.png"/><Relationship Id="rId28" Type="http://schemas.openxmlformats.org/officeDocument/2006/relationships/image" Target="../media/image81.png"/><Relationship Id="rId36" Type="http://schemas.openxmlformats.org/officeDocument/2006/relationships/image" Target="../media/image89.emf"/><Relationship Id="rId49" Type="http://schemas.openxmlformats.org/officeDocument/2006/relationships/image" Target="../media/image101.png"/><Relationship Id="rId57" Type="http://schemas.openxmlformats.org/officeDocument/2006/relationships/image" Target="../media/image109.png"/><Relationship Id="rId10" Type="http://schemas.openxmlformats.org/officeDocument/2006/relationships/image" Target="../media/image63.png"/><Relationship Id="rId31" Type="http://schemas.openxmlformats.org/officeDocument/2006/relationships/image" Target="../media/image84.png"/><Relationship Id="rId44" Type="http://schemas.openxmlformats.org/officeDocument/2006/relationships/image" Target="../media/image96.png"/><Relationship Id="rId52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5.emf"/><Relationship Id="rId13" Type="http://schemas.openxmlformats.org/officeDocument/2006/relationships/image" Target="../media/image120.emf"/><Relationship Id="rId18" Type="http://schemas.openxmlformats.org/officeDocument/2006/relationships/image" Target="../media/image125.png"/><Relationship Id="rId26" Type="http://schemas.openxmlformats.org/officeDocument/2006/relationships/image" Target="../media/image133.png"/><Relationship Id="rId3" Type="http://schemas.openxmlformats.org/officeDocument/2006/relationships/image" Target="../media/image112.jpeg"/><Relationship Id="rId21" Type="http://schemas.openxmlformats.org/officeDocument/2006/relationships/image" Target="../media/image128.png"/><Relationship Id="rId7" Type="http://schemas.openxmlformats.org/officeDocument/2006/relationships/image" Target="../media/image80.png"/><Relationship Id="rId12" Type="http://schemas.openxmlformats.org/officeDocument/2006/relationships/image" Target="../media/image119.emf"/><Relationship Id="rId17" Type="http://schemas.openxmlformats.org/officeDocument/2006/relationships/image" Target="../media/image124.png"/><Relationship Id="rId25" Type="http://schemas.openxmlformats.org/officeDocument/2006/relationships/image" Target="../media/image132.emf"/><Relationship Id="rId2" Type="http://schemas.openxmlformats.org/officeDocument/2006/relationships/image" Target="../media/image111.jpeg"/><Relationship Id="rId16" Type="http://schemas.openxmlformats.org/officeDocument/2006/relationships/image" Target="../media/image123.png"/><Relationship Id="rId20" Type="http://schemas.openxmlformats.org/officeDocument/2006/relationships/image" Target="../media/image127.png"/><Relationship Id="rId1" Type="http://schemas.openxmlformats.org/officeDocument/2006/relationships/image" Target="../media/image27.png"/><Relationship Id="rId6" Type="http://schemas.openxmlformats.org/officeDocument/2006/relationships/image" Target="../media/image79.png"/><Relationship Id="rId11" Type="http://schemas.openxmlformats.org/officeDocument/2006/relationships/image" Target="../media/image118.emf"/><Relationship Id="rId24" Type="http://schemas.openxmlformats.org/officeDocument/2006/relationships/image" Target="../media/image131.emf"/><Relationship Id="rId5" Type="http://schemas.openxmlformats.org/officeDocument/2006/relationships/image" Target="../media/image114.png"/><Relationship Id="rId15" Type="http://schemas.openxmlformats.org/officeDocument/2006/relationships/image" Target="../media/image122.png"/><Relationship Id="rId23" Type="http://schemas.openxmlformats.org/officeDocument/2006/relationships/image" Target="../media/image130.png"/><Relationship Id="rId10" Type="http://schemas.openxmlformats.org/officeDocument/2006/relationships/image" Target="../media/image117.emf"/><Relationship Id="rId19" Type="http://schemas.openxmlformats.org/officeDocument/2006/relationships/image" Target="../media/image126.png"/><Relationship Id="rId4" Type="http://schemas.openxmlformats.org/officeDocument/2006/relationships/image" Target="../media/image113.png"/><Relationship Id="rId9" Type="http://schemas.openxmlformats.org/officeDocument/2006/relationships/image" Target="../media/image116.emf"/><Relationship Id="rId14" Type="http://schemas.openxmlformats.org/officeDocument/2006/relationships/image" Target="../media/image121.emf"/><Relationship Id="rId22" Type="http://schemas.openxmlformats.org/officeDocument/2006/relationships/image" Target="../media/image129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5.png"/><Relationship Id="rId18" Type="http://schemas.openxmlformats.org/officeDocument/2006/relationships/image" Target="../media/image150.emf"/><Relationship Id="rId26" Type="http://schemas.openxmlformats.org/officeDocument/2006/relationships/image" Target="../media/image158.png"/><Relationship Id="rId39" Type="http://schemas.openxmlformats.org/officeDocument/2006/relationships/image" Target="../media/image171.png"/><Relationship Id="rId21" Type="http://schemas.openxmlformats.org/officeDocument/2006/relationships/image" Target="../media/image153.png"/><Relationship Id="rId34" Type="http://schemas.openxmlformats.org/officeDocument/2006/relationships/image" Target="../media/image166.png"/><Relationship Id="rId42" Type="http://schemas.openxmlformats.org/officeDocument/2006/relationships/image" Target="../media/image174.emf"/><Relationship Id="rId47" Type="http://schemas.openxmlformats.org/officeDocument/2006/relationships/image" Target="../media/image179.png"/><Relationship Id="rId50" Type="http://schemas.openxmlformats.org/officeDocument/2006/relationships/image" Target="../media/image181.png"/><Relationship Id="rId55" Type="http://schemas.openxmlformats.org/officeDocument/2006/relationships/image" Target="../media/image186.png"/><Relationship Id="rId63" Type="http://schemas.openxmlformats.org/officeDocument/2006/relationships/image" Target="cid:image001.png@01DD274D.971C6B10" TargetMode="External"/><Relationship Id="rId7" Type="http://schemas.openxmlformats.org/officeDocument/2006/relationships/image" Target="../media/image140.emf"/><Relationship Id="rId2" Type="http://schemas.openxmlformats.org/officeDocument/2006/relationships/image" Target="../media/image135.png"/><Relationship Id="rId16" Type="http://schemas.openxmlformats.org/officeDocument/2006/relationships/image" Target="../media/image148.emf"/><Relationship Id="rId29" Type="http://schemas.openxmlformats.org/officeDocument/2006/relationships/image" Target="../media/image161.png"/><Relationship Id="rId11" Type="http://schemas.openxmlformats.org/officeDocument/2006/relationships/image" Target="../media/image24.png"/><Relationship Id="rId24" Type="http://schemas.openxmlformats.org/officeDocument/2006/relationships/image" Target="../media/image156.png"/><Relationship Id="rId32" Type="http://schemas.openxmlformats.org/officeDocument/2006/relationships/image" Target="../media/image164.png"/><Relationship Id="rId37" Type="http://schemas.openxmlformats.org/officeDocument/2006/relationships/image" Target="../media/image169.png"/><Relationship Id="rId40" Type="http://schemas.openxmlformats.org/officeDocument/2006/relationships/image" Target="../media/image172.png"/><Relationship Id="rId45" Type="http://schemas.openxmlformats.org/officeDocument/2006/relationships/image" Target="../media/image177.png"/><Relationship Id="rId53" Type="http://schemas.openxmlformats.org/officeDocument/2006/relationships/image" Target="../media/image184.png"/><Relationship Id="rId58" Type="http://schemas.openxmlformats.org/officeDocument/2006/relationships/image" Target="../media/image188.png"/><Relationship Id="rId5" Type="http://schemas.openxmlformats.org/officeDocument/2006/relationships/image" Target="../media/image138.emf"/><Relationship Id="rId61" Type="http://schemas.openxmlformats.org/officeDocument/2006/relationships/image" Target="../media/image125.png"/><Relationship Id="rId19" Type="http://schemas.openxmlformats.org/officeDocument/2006/relationships/image" Target="../media/image151.png"/><Relationship Id="rId14" Type="http://schemas.openxmlformats.org/officeDocument/2006/relationships/image" Target="../media/image146.png"/><Relationship Id="rId22" Type="http://schemas.openxmlformats.org/officeDocument/2006/relationships/image" Target="../media/image154.png"/><Relationship Id="rId27" Type="http://schemas.openxmlformats.org/officeDocument/2006/relationships/image" Target="../media/image159.png"/><Relationship Id="rId30" Type="http://schemas.openxmlformats.org/officeDocument/2006/relationships/image" Target="../media/image162.png"/><Relationship Id="rId35" Type="http://schemas.openxmlformats.org/officeDocument/2006/relationships/image" Target="../media/image167.png"/><Relationship Id="rId43" Type="http://schemas.openxmlformats.org/officeDocument/2006/relationships/image" Target="../media/image175.emf"/><Relationship Id="rId48" Type="http://schemas.openxmlformats.org/officeDocument/2006/relationships/image" Target="../media/image180.png"/><Relationship Id="rId56" Type="http://schemas.openxmlformats.org/officeDocument/2006/relationships/image" Target="../media/image187.png"/><Relationship Id="rId8" Type="http://schemas.openxmlformats.org/officeDocument/2006/relationships/image" Target="../media/image141.png"/><Relationship Id="rId51" Type="http://schemas.openxmlformats.org/officeDocument/2006/relationships/image" Target="../media/image182.png"/><Relationship Id="rId3" Type="http://schemas.openxmlformats.org/officeDocument/2006/relationships/image" Target="../media/image136.png"/><Relationship Id="rId12" Type="http://schemas.openxmlformats.org/officeDocument/2006/relationships/image" Target="../media/image144.png"/><Relationship Id="rId17" Type="http://schemas.openxmlformats.org/officeDocument/2006/relationships/image" Target="../media/image149.emf"/><Relationship Id="rId25" Type="http://schemas.openxmlformats.org/officeDocument/2006/relationships/image" Target="../media/image157.png"/><Relationship Id="rId33" Type="http://schemas.openxmlformats.org/officeDocument/2006/relationships/image" Target="../media/image165.png"/><Relationship Id="rId38" Type="http://schemas.openxmlformats.org/officeDocument/2006/relationships/image" Target="../media/image170.png"/><Relationship Id="rId46" Type="http://schemas.openxmlformats.org/officeDocument/2006/relationships/image" Target="../media/image178.png"/><Relationship Id="rId59" Type="http://schemas.openxmlformats.org/officeDocument/2006/relationships/image" Target="../media/image189.png"/><Relationship Id="rId20" Type="http://schemas.openxmlformats.org/officeDocument/2006/relationships/image" Target="../media/image152.png"/><Relationship Id="rId41" Type="http://schemas.openxmlformats.org/officeDocument/2006/relationships/image" Target="../media/image173.emf"/><Relationship Id="rId54" Type="http://schemas.openxmlformats.org/officeDocument/2006/relationships/image" Target="../media/image185.png"/><Relationship Id="rId62" Type="http://schemas.openxmlformats.org/officeDocument/2006/relationships/image" Target="../media/image190.png"/><Relationship Id="rId1" Type="http://schemas.openxmlformats.org/officeDocument/2006/relationships/image" Target="../media/image134.png"/><Relationship Id="rId6" Type="http://schemas.openxmlformats.org/officeDocument/2006/relationships/image" Target="../media/image139.emf"/><Relationship Id="rId15" Type="http://schemas.openxmlformats.org/officeDocument/2006/relationships/image" Target="../media/image147.png"/><Relationship Id="rId23" Type="http://schemas.openxmlformats.org/officeDocument/2006/relationships/image" Target="../media/image155.png"/><Relationship Id="rId28" Type="http://schemas.openxmlformats.org/officeDocument/2006/relationships/image" Target="../media/image160.png"/><Relationship Id="rId36" Type="http://schemas.openxmlformats.org/officeDocument/2006/relationships/image" Target="../media/image168.png"/><Relationship Id="rId49" Type="http://schemas.openxmlformats.org/officeDocument/2006/relationships/image" Target="../media/image1.png"/><Relationship Id="rId57" Type="http://schemas.openxmlformats.org/officeDocument/2006/relationships/image" Target="../media/image25.emf"/><Relationship Id="rId10" Type="http://schemas.openxmlformats.org/officeDocument/2006/relationships/image" Target="../media/image143.png"/><Relationship Id="rId31" Type="http://schemas.openxmlformats.org/officeDocument/2006/relationships/image" Target="../media/image163.png"/><Relationship Id="rId44" Type="http://schemas.openxmlformats.org/officeDocument/2006/relationships/image" Target="../media/image176.png"/><Relationship Id="rId52" Type="http://schemas.openxmlformats.org/officeDocument/2006/relationships/image" Target="../media/image183.png"/><Relationship Id="rId60" Type="http://schemas.openxmlformats.org/officeDocument/2006/relationships/image" Target="../media/image118.emf"/><Relationship Id="rId4" Type="http://schemas.openxmlformats.org/officeDocument/2006/relationships/image" Target="../media/image137.emf"/><Relationship Id="rId9" Type="http://schemas.openxmlformats.org/officeDocument/2006/relationships/image" Target="../media/image142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99.png"/><Relationship Id="rId18" Type="http://schemas.openxmlformats.org/officeDocument/2006/relationships/image" Target="../media/image204.png"/><Relationship Id="rId26" Type="http://schemas.openxmlformats.org/officeDocument/2006/relationships/image" Target="../media/image212.png"/><Relationship Id="rId39" Type="http://schemas.openxmlformats.org/officeDocument/2006/relationships/image" Target="../media/image223.png"/><Relationship Id="rId21" Type="http://schemas.openxmlformats.org/officeDocument/2006/relationships/image" Target="../media/image207.emf"/><Relationship Id="rId34" Type="http://schemas.openxmlformats.org/officeDocument/2006/relationships/image" Target="../media/image144.png"/><Relationship Id="rId42" Type="http://schemas.openxmlformats.org/officeDocument/2006/relationships/image" Target="../media/image226.png"/><Relationship Id="rId47" Type="http://schemas.openxmlformats.org/officeDocument/2006/relationships/image" Target="cid:image002.png@01DD3169.B3CAEA90" TargetMode="External"/><Relationship Id="rId50" Type="http://schemas.openxmlformats.org/officeDocument/2006/relationships/image" Target="../media/image231.png"/><Relationship Id="rId55" Type="http://schemas.openxmlformats.org/officeDocument/2006/relationships/image" Target="../media/image235.png"/><Relationship Id="rId7" Type="http://schemas.openxmlformats.org/officeDocument/2006/relationships/image" Target="../media/image137.emf"/><Relationship Id="rId2" Type="http://schemas.openxmlformats.org/officeDocument/2006/relationships/image" Target="../media/image192.png"/><Relationship Id="rId16" Type="http://schemas.openxmlformats.org/officeDocument/2006/relationships/image" Target="../media/image202.png"/><Relationship Id="rId29" Type="http://schemas.openxmlformats.org/officeDocument/2006/relationships/image" Target="../media/image215.png"/><Relationship Id="rId11" Type="http://schemas.openxmlformats.org/officeDocument/2006/relationships/image" Target="../media/image197.png"/><Relationship Id="rId24" Type="http://schemas.openxmlformats.org/officeDocument/2006/relationships/image" Target="../media/image210.png"/><Relationship Id="rId32" Type="http://schemas.openxmlformats.org/officeDocument/2006/relationships/image" Target="../media/image218.png"/><Relationship Id="rId37" Type="http://schemas.openxmlformats.org/officeDocument/2006/relationships/image" Target="../media/image221.png"/><Relationship Id="rId40" Type="http://schemas.openxmlformats.org/officeDocument/2006/relationships/image" Target="../media/image224.png"/><Relationship Id="rId45" Type="http://schemas.openxmlformats.org/officeDocument/2006/relationships/image" Target="cid:image001.png@01DD3169.B3CAEA90" TargetMode="External"/><Relationship Id="rId53" Type="http://schemas.openxmlformats.org/officeDocument/2006/relationships/image" Target="../media/image233.png"/><Relationship Id="rId58" Type="http://schemas.openxmlformats.org/officeDocument/2006/relationships/image" Target="cid:image001.png@01DD3C93.38FC97C0" TargetMode="External"/><Relationship Id="rId5" Type="http://schemas.openxmlformats.org/officeDocument/2006/relationships/image" Target="../media/image177.png"/><Relationship Id="rId19" Type="http://schemas.openxmlformats.org/officeDocument/2006/relationships/image" Target="../media/image205.png"/><Relationship Id="rId4" Type="http://schemas.openxmlformats.org/officeDocument/2006/relationships/image" Target="../media/image194.png"/><Relationship Id="rId9" Type="http://schemas.openxmlformats.org/officeDocument/2006/relationships/image" Target="../media/image195.png"/><Relationship Id="rId14" Type="http://schemas.openxmlformats.org/officeDocument/2006/relationships/image" Target="../media/image200.png"/><Relationship Id="rId22" Type="http://schemas.openxmlformats.org/officeDocument/2006/relationships/image" Target="../media/image208.emf"/><Relationship Id="rId27" Type="http://schemas.openxmlformats.org/officeDocument/2006/relationships/image" Target="../media/image213.png"/><Relationship Id="rId30" Type="http://schemas.openxmlformats.org/officeDocument/2006/relationships/image" Target="../media/image216.png"/><Relationship Id="rId35" Type="http://schemas.openxmlformats.org/officeDocument/2006/relationships/image" Target="../media/image142.png"/><Relationship Id="rId43" Type="http://schemas.openxmlformats.org/officeDocument/2006/relationships/image" Target="../media/image227.png"/><Relationship Id="rId48" Type="http://schemas.openxmlformats.org/officeDocument/2006/relationships/image" Target="../media/image230.gif"/><Relationship Id="rId56" Type="http://schemas.openxmlformats.org/officeDocument/2006/relationships/image" Target="../media/image236.png"/><Relationship Id="rId8" Type="http://schemas.openxmlformats.org/officeDocument/2006/relationships/image" Target="../media/image139.emf"/><Relationship Id="rId51" Type="http://schemas.openxmlformats.org/officeDocument/2006/relationships/image" Target="cid:image003.png@01DD3094.CEBF4EC0" TargetMode="External"/><Relationship Id="rId3" Type="http://schemas.openxmlformats.org/officeDocument/2006/relationships/image" Target="../media/image193.png"/><Relationship Id="rId12" Type="http://schemas.openxmlformats.org/officeDocument/2006/relationships/image" Target="../media/image198.jpeg"/><Relationship Id="rId17" Type="http://schemas.openxmlformats.org/officeDocument/2006/relationships/image" Target="../media/image203.png"/><Relationship Id="rId25" Type="http://schemas.openxmlformats.org/officeDocument/2006/relationships/image" Target="../media/image211.png"/><Relationship Id="rId33" Type="http://schemas.openxmlformats.org/officeDocument/2006/relationships/image" Target="../media/image219.png"/><Relationship Id="rId38" Type="http://schemas.openxmlformats.org/officeDocument/2006/relationships/image" Target="../media/image222.png"/><Relationship Id="rId46" Type="http://schemas.openxmlformats.org/officeDocument/2006/relationships/image" Target="../media/image229.png"/><Relationship Id="rId20" Type="http://schemas.openxmlformats.org/officeDocument/2006/relationships/image" Target="../media/image206.png"/><Relationship Id="rId41" Type="http://schemas.openxmlformats.org/officeDocument/2006/relationships/image" Target="../media/image225.png"/><Relationship Id="rId54" Type="http://schemas.openxmlformats.org/officeDocument/2006/relationships/image" Target="../media/image234.png"/><Relationship Id="rId1" Type="http://schemas.openxmlformats.org/officeDocument/2006/relationships/image" Target="../media/image191.png"/><Relationship Id="rId6" Type="http://schemas.openxmlformats.org/officeDocument/2006/relationships/image" Target="../media/image176.png"/><Relationship Id="rId15" Type="http://schemas.openxmlformats.org/officeDocument/2006/relationships/image" Target="../media/image201.png"/><Relationship Id="rId23" Type="http://schemas.openxmlformats.org/officeDocument/2006/relationships/image" Target="../media/image209.emf"/><Relationship Id="rId28" Type="http://schemas.openxmlformats.org/officeDocument/2006/relationships/image" Target="../media/image214.png"/><Relationship Id="rId36" Type="http://schemas.openxmlformats.org/officeDocument/2006/relationships/image" Target="../media/image220.png"/><Relationship Id="rId49" Type="http://schemas.openxmlformats.org/officeDocument/2006/relationships/image" Target="cid:image004.png@01DD3094.CEBF4EC0" TargetMode="External"/><Relationship Id="rId57" Type="http://schemas.openxmlformats.org/officeDocument/2006/relationships/image" Target="../media/image237.png"/><Relationship Id="rId10" Type="http://schemas.openxmlformats.org/officeDocument/2006/relationships/image" Target="../media/image196.png"/><Relationship Id="rId31" Type="http://schemas.openxmlformats.org/officeDocument/2006/relationships/image" Target="../media/image217.png"/><Relationship Id="rId44" Type="http://schemas.openxmlformats.org/officeDocument/2006/relationships/image" Target="../media/image228.png"/><Relationship Id="rId52" Type="http://schemas.openxmlformats.org/officeDocument/2006/relationships/image" Target="../media/image232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49.emf"/><Relationship Id="rId18" Type="http://schemas.openxmlformats.org/officeDocument/2006/relationships/image" Target="../media/image254.png"/><Relationship Id="rId26" Type="http://schemas.openxmlformats.org/officeDocument/2006/relationships/image" Target="../media/image262.png"/><Relationship Id="rId39" Type="http://schemas.openxmlformats.org/officeDocument/2006/relationships/image" Target="../media/image275.png"/><Relationship Id="rId21" Type="http://schemas.openxmlformats.org/officeDocument/2006/relationships/image" Target="../media/image257.png"/><Relationship Id="rId34" Type="http://schemas.openxmlformats.org/officeDocument/2006/relationships/image" Target="../media/image270.png"/><Relationship Id="rId42" Type="http://schemas.openxmlformats.org/officeDocument/2006/relationships/image" Target="../media/image278.png"/><Relationship Id="rId47" Type="http://schemas.openxmlformats.org/officeDocument/2006/relationships/image" Target="../media/image283.png"/><Relationship Id="rId50" Type="http://schemas.openxmlformats.org/officeDocument/2006/relationships/image" Target="../media/image286.png"/><Relationship Id="rId55" Type="http://schemas.openxmlformats.org/officeDocument/2006/relationships/image" Target="../media/image291.png"/><Relationship Id="rId63" Type="http://schemas.openxmlformats.org/officeDocument/2006/relationships/image" Target="../media/image298.png"/><Relationship Id="rId7" Type="http://schemas.openxmlformats.org/officeDocument/2006/relationships/image" Target="../media/image244.png"/><Relationship Id="rId2" Type="http://schemas.openxmlformats.org/officeDocument/2006/relationships/image" Target="../media/image239.png"/><Relationship Id="rId16" Type="http://schemas.openxmlformats.org/officeDocument/2006/relationships/image" Target="../media/image252.emf"/><Relationship Id="rId29" Type="http://schemas.openxmlformats.org/officeDocument/2006/relationships/image" Target="../media/image265.png"/><Relationship Id="rId11" Type="http://schemas.openxmlformats.org/officeDocument/2006/relationships/image" Target="../media/image247.emf"/><Relationship Id="rId24" Type="http://schemas.openxmlformats.org/officeDocument/2006/relationships/image" Target="../media/image260.png"/><Relationship Id="rId32" Type="http://schemas.openxmlformats.org/officeDocument/2006/relationships/image" Target="../media/image268.png"/><Relationship Id="rId37" Type="http://schemas.openxmlformats.org/officeDocument/2006/relationships/image" Target="../media/image273.png"/><Relationship Id="rId40" Type="http://schemas.openxmlformats.org/officeDocument/2006/relationships/image" Target="../media/image276.png"/><Relationship Id="rId45" Type="http://schemas.openxmlformats.org/officeDocument/2006/relationships/image" Target="../media/image281.png"/><Relationship Id="rId53" Type="http://schemas.openxmlformats.org/officeDocument/2006/relationships/image" Target="../media/image289.png"/><Relationship Id="rId58" Type="http://schemas.openxmlformats.org/officeDocument/2006/relationships/image" Target="../media/image294.png"/><Relationship Id="rId5" Type="http://schemas.openxmlformats.org/officeDocument/2006/relationships/image" Target="../media/image242.png"/><Relationship Id="rId61" Type="http://schemas.openxmlformats.org/officeDocument/2006/relationships/image" Target="../media/image296.png"/><Relationship Id="rId19" Type="http://schemas.openxmlformats.org/officeDocument/2006/relationships/image" Target="../media/image255.png"/><Relationship Id="rId14" Type="http://schemas.openxmlformats.org/officeDocument/2006/relationships/image" Target="../media/image250.emf"/><Relationship Id="rId22" Type="http://schemas.openxmlformats.org/officeDocument/2006/relationships/image" Target="../media/image258.png"/><Relationship Id="rId27" Type="http://schemas.openxmlformats.org/officeDocument/2006/relationships/image" Target="../media/image263.png"/><Relationship Id="rId30" Type="http://schemas.openxmlformats.org/officeDocument/2006/relationships/image" Target="../media/image266.png"/><Relationship Id="rId35" Type="http://schemas.openxmlformats.org/officeDocument/2006/relationships/image" Target="../media/image271.png"/><Relationship Id="rId43" Type="http://schemas.openxmlformats.org/officeDocument/2006/relationships/image" Target="../media/image279.png"/><Relationship Id="rId48" Type="http://schemas.openxmlformats.org/officeDocument/2006/relationships/image" Target="../media/image284.png"/><Relationship Id="rId56" Type="http://schemas.openxmlformats.org/officeDocument/2006/relationships/image" Target="../media/image292.png"/><Relationship Id="rId64" Type="http://schemas.openxmlformats.org/officeDocument/2006/relationships/image" Target="../media/image299.png"/><Relationship Id="rId8" Type="http://schemas.openxmlformats.org/officeDocument/2006/relationships/image" Target="../media/image245.png"/><Relationship Id="rId51" Type="http://schemas.openxmlformats.org/officeDocument/2006/relationships/image" Target="../media/image287.png"/><Relationship Id="rId3" Type="http://schemas.openxmlformats.org/officeDocument/2006/relationships/image" Target="../media/image240.png"/><Relationship Id="rId12" Type="http://schemas.openxmlformats.org/officeDocument/2006/relationships/image" Target="../media/image248.emf"/><Relationship Id="rId17" Type="http://schemas.openxmlformats.org/officeDocument/2006/relationships/image" Target="../media/image253.emf"/><Relationship Id="rId25" Type="http://schemas.openxmlformats.org/officeDocument/2006/relationships/image" Target="../media/image261.png"/><Relationship Id="rId33" Type="http://schemas.openxmlformats.org/officeDocument/2006/relationships/image" Target="../media/image269.png"/><Relationship Id="rId38" Type="http://schemas.openxmlformats.org/officeDocument/2006/relationships/image" Target="../media/image274.png"/><Relationship Id="rId46" Type="http://schemas.openxmlformats.org/officeDocument/2006/relationships/image" Target="../media/image282.png"/><Relationship Id="rId59" Type="http://schemas.openxmlformats.org/officeDocument/2006/relationships/image" Target="../media/image295.png"/><Relationship Id="rId20" Type="http://schemas.openxmlformats.org/officeDocument/2006/relationships/image" Target="../media/image256.png"/><Relationship Id="rId41" Type="http://schemas.openxmlformats.org/officeDocument/2006/relationships/image" Target="../media/image277.png"/><Relationship Id="rId54" Type="http://schemas.openxmlformats.org/officeDocument/2006/relationships/image" Target="../media/image290.png"/><Relationship Id="rId62" Type="http://schemas.openxmlformats.org/officeDocument/2006/relationships/image" Target="../media/image297.png"/><Relationship Id="rId1" Type="http://schemas.openxmlformats.org/officeDocument/2006/relationships/image" Target="../media/image238.png"/><Relationship Id="rId6" Type="http://schemas.openxmlformats.org/officeDocument/2006/relationships/image" Target="../media/image243.png"/><Relationship Id="rId15" Type="http://schemas.openxmlformats.org/officeDocument/2006/relationships/image" Target="../media/image251.emf"/><Relationship Id="rId23" Type="http://schemas.openxmlformats.org/officeDocument/2006/relationships/image" Target="../media/image259.png"/><Relationship Id="rId28" Type="http://schemas.openxmlformats.org/officeDocument/2006/relationships/image" Target="../media/image264.png"/><Relationship Id="rId36" Type="http://schemas.openxmlformats.org/officeDocument/2006/relationships/image" Target="../media/image272.png"/><Relationship Id="rId49" Type="http://schemas.openxmlformats.org/officeDocument/2006/relationships/image" Target="../media/image285.png"/><Relationship Id="rId57" Type="http://schemas.openxmlformats.org/officeDocument/2006/relationships/image" Target="../media/image293.png"/><Relationship Id="rId10" Type="http://schemas.openxmlformats.org/officeDocument/2006/relationships/image" Target="../media/image180.png"/><Relationship Id="rId31" Type="http://schemas.openxmlformats.org/officeDocument/2006/relationships/image" Target="../media/image267.png"/><Relationship Id="rId44" Type="http://schemas.openxmlformats.org/officeDocument/2006/relationships/image" Target="../media/image280.png"/><Relationship Id="rId52" Type="http://schemas.openxmlformats.org/officeDocument/2006/relationships/image" Target="../media/image288.png"/><Relationship Id="rId60" Type="http://schemas.openxmlformats.org/officeDocument/2006/relationships/image" Target="../media/image232.png"/><Relationship Id="rId4" Type="http://schemas.openxmlformats.org/officeDocument/2006/relationships/image" Target="../media/image241.png"/><Relationship Id="rId9" Type="http://schemas.openxmlformats.org/officeDocument/2006/relationships/image" Target="../media/image24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0.png"/><Relationship Id="rId3" Type="http://schemas.openxmlformats.org/officeDocument/2006/relationships/image" Target="../media/image261.png"/><Relationship Id="rId7" Type="http://schemas.openxmlformats.org/officeDocument/2006/relationships/image" Target="../media/image271.png"/><Relationship Id="rId2" Type="http://schemas.openxmlformats.org/officeDocument/2006/relationships/image" Target="../media/image260.png"/><Relationship Id="rId1" Type="http://schemas.openxmlformats.org/officeDocument/2006/relationships/image" Target="../media/image281.png"/><Relationship Id="rId6" Type="http://schemas.openxmlformats.org/officeDocument/2006/relationships/image" Target="../media/image270.png"/><Relationship Id="rId5" Type="http://schemas.openxmlformats.org/officeDocument/2006/relationships/image" Target="../media/image269.png"/><Relationship Id="rId10" Type="http://schemas.openxmlformats.org/officeDocument/2006/relationships/image" Target="../media/image282.png"/><Relationship Id="rId4" Type="http://schemas.openxmlformats.org/officeDocument/2006/relationships/image" Target="../media/image268.png"/><Relationship Id="rId9" Type="http://schemas.openxmlformats.org/officeDocument/2006/relationships/image" Target="../media/image27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59531</xdr:colOff>
      <xdr:row>37</xdr:row>
      <xdr:rowOff>140494</xdr:rowOff>
    </xdr:from>
    <xdr:to>
      <xdr:col>8</xdr:col>
      <xdr:colOff>916781</xdr:colOff>
      <xdr:row>37</xdr:row>
      <xdr:rowOff>809625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32715994"/>
          <a:ext cx="857250" cy="669131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58</xdr:row>
      <xdr:rowOff>28575</xdr:rowOff>
    </xdr:from>
    <xdr:to>
      <xdr:col>8</xdr:col>
      <xdr:colOff>833438</xdr:colOff>
      <xdr:row>58</xdr:row>
      <xdr:rowOff>654843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AC63DD-05EF-4D59-96B6-AD8C4C36B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0756" y="64000856"/>
          <a:ext cx="747713" cy="626268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59</xdr:row>
      <xdr:rowOff>100011</xdr:rowOff>
    </xdr:from>
    <xdr:to>
      <xdr:col>8</xdr:col>
      <xdr:colOff>904875</xdr:colOff>
      <xdr:row>59</xdr:row>
      <xdr:rowOff>607218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0DA79B-CA70-43F0-86B1-C6DBCCBCA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4093" y="64798574"/>
          <a:ext cx="785813" cy="507207"/>
        </a:xfrm>
        <a:prstGeom prst="rect">
          <a:avLst/>
        </a:prstGeom>
      </xdr:spPr>
    </xdr:pic>
    <xdr:clientData/>
  </xdr:twoCellAnchor>
  <xdr:twoCellAnchor editAs="oneCell">
    <xdr:from>
      <xdr:col>8</xdr:col>
      <xdr:colOff>115956</xdr:colOff>
      <xdr:row>4</xdr:row>
      <xdr:rowOff>83341</xdr:rowOff>
    </xdr:from>
    <xdr:to>
      <xdr:col>8</xdr:col>
      <xdr:colOff>809623</xdr:colOff>
      <xdr:row>4</xdr:row>
      <xdr:rowOff>1119186</xdr:rowOff>
    </xdr:to>
    <xdr:pic>
      <xdr:nvPicPr>
        <xdr:cNvPr id="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69" y="2464591"/>
          <a:ext cx="693667" cy="1035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83343</xdr:colOff>
      <xdr:row>5</xdr:row>
      <xdr:rowOff>71438</xdr:rowOff>
    </xdr:from>
    <xdr:to>
      <xdr:col>8</xdr:col>
      <xdr:colOff>797717</xdr:colOff>
      <xdr:row>5</xdr:row>
      <xdr:rowOff>1047750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6656" y="3702844"/>
          <a:ext cx="714374" cy="976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120615</xdr:colOff>
      <xdr:row>6</xdr:row>
      <xdr:rowOff>71437</xdr:rowOff>
    </xdr:from>
    <xdr:to>
      <xdr:col>8</xdr:col>
      <xdr:colOff>845342</xdr:colOff>
      <xdr:row>6</xdr:row>
      <xdr:rowOff>1107281</xdr:rowOff>
    </xdr:to>
    <xdr:pic>
      <xdr:nvPicPr>
        <xdr:cNvPr id="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3928" y="5131593"/>
          <a:ext cx="724727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59530</xdr:colOff>
      <xdr:row>7</xdr:row>
      <xdr:rowOff>107156</xdr:rowOff>
    </xdr:from>
    <xdr:to>
      <xdr:col>8</xdr:col>
      <xdr:colOff>892967</xdr:colOff>
      <xdr:row>7</xdr:row>
      <xdr:rowOff>1178718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843" y="5953125"/>
          <a:ext cx="833437" cy="1071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83343</xdr:colOff>
      <xdr:row>8</xdr:row>
      <xdr:rowOff>47625</xdr:rowOff>
    </xdr:from>
    <xdr:to>
      <xdr:col>8</xdr:col>
      <xdr:colOff>916780</xdr:colOff>
      <xdr:row>8</xdr:row>
      <xdr:rowOff>1881187</xdr:rowOff>
    </xdr:to>
    <xdr:pic>
      <xdr:nvPicPr>
        <xdr:cNvPr id="1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6656" y="8739188"/>
          <a:ext cx="833437" cy="1833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59531</xdr:colOff>
      <xdr:row>9</xdr:row>
      <xdr:rowOff>59532</xdr:rowOff>
    </xdr:from>
    <xdr:to>
      <xdr:col>8</xdr:col>
      <xdr:colOff>845343</xdr:colOff>
      <xdr:row>9</xdr:row>
      <xdr:rowOff>1512093</xdr:rowOff>
    </xdr:to>
    <xdr:pic>
      <xdr:nvPicPr>
        <xdr:cNvPr id="1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844" y="8751095"/>
          <a:ext cx="785812" cy="1452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47624</xdr:colOff>
      <xdr:row>10</xdr:row>
      <xdr:rowOff>11906</xdr:rowOff>
    </xdr:from>
    <xdr:to>
      <xdr:col>8</xdr:col>
      <xdr:colOff>881061</xdr:colOff>
      <xdr:row>10</xdr:row>
      <xdr:rowOff>2500312</xdr:rowOff>
    </xdr:to>
    <xdr:pic>
      <xdr:nvPicPr>
        <xdr:cNvPr id="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937" y="9620250"/>
          <a:ext cx="833437" cy="2488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11</xdr:row>
      <xdr:rowOff>119063</xdr:rowOff>
    </xdr:from>
    <xdr:to>
      <xdr:col>8</xdr:col>
      <xdr:colOff>809625</xdr:colOff>
      <xdr:row>11</xdr:row>
      <xdr:rowOff>821531</xdr:rowOff>
    </xdr:to>
    <xdr:pic>
      <xdr:nvPicPr>
        <xdr:cNvPr id="1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3344" y="8858251"/>
          <a:ext cx="762000" cy="702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71437</xdr:colOff>
      <xdr:row>12</xdr:row>
      <xdr:rowOff>35719</xdr:rowOff>
    </xdr:from>
    <xdr:to>
      <xdr:col>8</xdr:col>
      <xdr:colOff>904874</xdr:colOff>
      <xdr:row>12</xdr:row>
      <xdr:rowOff>869156</xdr:rowOff>
    </xdr:to>
    <xdr:pic>
      <xdr:nvPicPr>
        <xdr:cNvPr id="1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156" y="9691688"/>
          <a:ext cx="833437" cy="833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59531</xdr:colOff>
      <xdr:row>14</xdr:row>
      <xdr:rowOff>119063</xdr:rowOff>
    </xdr:from>
    <xdr:to>
      <xdr:col>8</xdr:col>
      <xdr:colOff>785812</xdr:colOff>
      <xdr:row>14</xdr:row>
      <xdr:rowOff>1738312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4562" y="19550063"/>
          <a:ext cx="726281" cy="1619249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15</xdr:row>
      <xdr:rowOff>71438</xdr:rowOff>
    </xdr:from>
    <xdr:to>
      <xdr:col>8</xdr:col>
      <xdr:colOff>762000</xdr:colOff>
      <xdr:row>15</xdr:row>
      <xdr:rowOff>2452687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98094" y="14263688"/>
          <a:ext cx="607219" cy="2381249"/>
        </a:xfrm>
        <a:prstGeom prst="rect">
          <a:avLst/>
        </a:prstGeom>
      </xdr:spPr>
    </xdr:pic>
    <xdr:clientData/>
  </xdr:twoCellAnchor>
  <xdr:twoCellAnchor editAs="oneCell">
    <xdr:from>
      <xdr:col>8</xdr:col>
      <xdr:colOff>166688</xdr:colOff>
      <xdr:row>16</xdr:row>
      <xdr:rowOff>107156</xdr:rowOff>
    </xdr:from>
    <xdr:to>
      <xdr:col>8</xdr:col>
      <xdr:colOff>705057</xdr:colOff>
      <xdr:row>16</xdr:row>
      <xdr:rowOff>786329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2407" y="13430250"/>
          <a:ext cx="538369" cy="679173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30</xdr:row>
      <xdr:rowOff>154781</xdr:rowOff>
    </xdr:from>
    <xdr:to>
      <xdr:col>8</xdr:col>
      <xdr:colOff>892969</xdr:colOff>
      <xdr:row>30</xdr:row>
      <xdr:rowOff>833954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29063" y="26312812"/>
          <a:ext cx="809625" cy="679173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18</xdr:row>
      <xdr:rowOff>107156</xdr:rowOff>
    </xdr:from>
    <xdr:to>
      <xdr:col>8</xdr:col>
      <xdr:colOff>821531</xdr:colOff>
      <xdr:row>18</xdr:row>
      <xdr:rowOff>869156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93344" y="15263812"/>
          <a:ext cx="773906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20</xdr:row>
      <xdr:rowOff>95250</xdr:rowOff>
    </xdr:from>
    <xdr:to>
      <xdr:col>8</xdr:col>
      <xdr:colOff>892968</xdr:colOff>
      <xdr:row>20</xdr:row>
      <xdr:rowOff>857250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64781" y="17085469"/>
          <a:ext cx="773906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17</xdr:row>
      <xdr:rowOff>130969</xdr:rowOff>
    </xdr:from>
    <xdr:to>
      <xdr:col>8</xdr:col>
      <xdr:colOff>821531</xdr:colOff>
      <xdr:row>17</xdr:row>
      <xdr:rowOff>901252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2875" y="14370844"/>
          <a:ext cx="714375" cy="770283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130969</xdr:colOff>
      <xdr:row>19</xdr:row>
      <xdr:rowOff>107156</xdr:rowOff>
    </xdr:from>
    <xdr:to>
      <xdr:col>8</xdr:col>
      <xdr:colOff>845344</xdr:colOff>
      <xdr:row>19</xdr:row>
      <xdr:rowOff>877439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76688" y="16180594"/>
          <a:ext cx="714375" cy="770283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21</xdr:row>
      <xdr:rowOff>154781</xdr:rowOff>
    </xdr:from>
    <xdr:to>
      <xdr:col>8</xdr:col>
      <xdr:colOff>773906</xdr:colOff>
      <xdr:row>21</xdr:row>
      <xdr:rowOff>900216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05250" y="18061781"/>
          <a:ext cx="714375" cy="745435"/>
        </a:xfrm>
        <a:prstGeom prst="rect">
          <a:avLst/>
        </a:prstGeom>
      </xdr:spPr>
    </xdr:pic>
    <xdr:clientData/>
  </xdr:twoCellAnchor>
  <xdr:oneCellAnchor>
    <xdr:from>
      <xdr:col>8</xdr:col>
      <xdr:colOff>83344</xdr:colOff>
      <xdr:row>22</xdr:row>
      <xdr:rowOff>178594</xdr:rowOff>
    </xdr:from>
    <xdr:ext cx="811696" cy="654844"/>
    <xdr:pic>
      <xdr:nvPicPr>
        <xdr:cNvPr id="27" name="Picture 26">
          <a:extLst>
            <a:ext uri="{FF2B5EF4-FFF2-40B4-BE49-F238E27FC236}">
              <a16:creationId xmlns:a16="http://schemas.microsoft.com/office/drawing/2014/main" id="{61FE461D-24F5-4E74-8EC7-4F8BFA80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29063" y="19002375"/>
          <a:ext cx="811696" cy="654844"/>
        </a:xfrm>
        <a:prstGeom prst="rect">
          <a:avLst/>
        </a:prstGeom>
      </xdr:spPr>
    </xdr:pic>
    <xdr:clientData/>
  </xdr:oneCellAnchor>
  <xdr:twoCellAnchor editAs="oneCell">
    <xdr:from>
      <xdr:col>8</xdr:col>
      <xdr:colOff>130968</xdr:colOff>
      <xdr:row>23</xdr:row>
      <xdr:rowOff>130968</xdr:rowOff>
    </xdr:from>
    <xdr:to>
      <xdr:col>8</xdr:col>
      <xdr:colOff>892968</xdr:colOff>
      <xdr:row>23</xdr:row>
      <xdr:rowOff>768729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65AC98D-4CA9-4E47-847A-078CF608F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76687" y="19871531"/>
          <a:ext cx="762000" cy="637761"/>
        </a:xfrm>
        <a:prstGeom prst="rect">
          <a:avLst/>
        </a:prstGeom>
      </xdr:spPr>
    </xdr:pic>
    <xdr:clientData/>
  </xdr:twoCellAnchor>
  <xdr:oneCellAnchor>
    <xdr:from>
      <xdr:col>8</xdr:col>
      <xdr:colOff>71437</xdr:colOff>
      <xdr:row>24</xdr:row>
      <xdr:rowOff>71438</xdr:rowOff>
    </xdr:from>
    <xdr:ext cx="698846" cy="726281"/>
    <xdr:pic>
      <xdr:nvPicPr>
        <xdr:cNvPr id="29" name="Picture 28">
          <a:extLst>
            <a:ext uri="{FF2B5EF4-FFF2-40B4-BE49-F238E27FC236}">
              <a16:creationId xmlns:a16="http://schemas.microsoft.com/office/drawing/2014/main" id="{72359EE5-F42C-4C78-AE9D-35F565BA2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17156" y="20728782"/>
          <a:ext cx="698846" cy="726281"/>
        </a:xfrm>
        <a:prstGeom prst="rect">
          <a:avLst/>
        </a:prstGeom>
      </xdr:spPr>
    </xdr:pic>
    <xdr:clientData/>
  </xdr:oneCellAnchor>
  <xdr:twoCellAnchor editAs="oneCell">
    <xdr:from>
      <xdr:col>8</xdr:col>
      <xdr:colOff>119062</xdr:colOff>
      <xdr:row>25</xdr:row>
      <xdr:rowOff>71437</xdr:rowOff>
    </xdr:from>
    <xdr:to>
      <xdr:col>8</xdr:col>
      <xdr:colOff>759081</xdr:colOff>
      <xdr:row>25</xdr:row>
      <xdr:rowOff>809624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B866850-2A97-41B5-9363-322558B2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64781" y="21645562"/>
          <a:ext cx="640019" cy="73818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42</xdr:row>
      <xdr:rowOff>178594</xdr:rowOff>
    </xdr:from>
    <xdr:to>
      <xdr:col>8</xdr:col>
      <xdr:colOff>857250</xdr:colOff>
      <xdr:row>42</xdr:row>
      <xdr:rowOff>869156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93344" y="40088344"/>
          <a:ext cx="809625" cy="690562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41</xdr:row>
      <xdr:rowOff>119062</xdr:rowOff>
    </xdr:from>
    <xdr:to>
      <xdr:col>8</xdr:col>
      <xdr:colOff>761999</xdr:colOff>
      <xdr:row>41</xdr:row>
      <xdr:rowOff>881062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64781" y="39112031"/>
          <a:ext cx="642937" cy="762000"/>
        </a:xfrm>
        <a:prstGeom prst="rect">
          <a:avLst/>
        </a:prstGeom>
      </xdr:spPr>
    </xdr:pic>
    <xdr:clientData/>
  </xdr:twoCellAnchor>
  <xdr:oneCellAnchor>
    <xdr:from>
      <xdr:col>8</xdr:col>
      <xdr:colOff>107156</xdr:colOff>
      <xdr:row>13</xdr:row>
      <xdr:rowOff>95250</xdr:rowOff>
    </xdr:from>
    <xdr:ext cx="811696" cy="714375"/>
    <xdr:pic>
      <xdr:nvPicPr>
        <xdr:cNvPr id="33" name="Picture 32">
          <a:extLst>
            <a:ext uri="{FF2B5EF4-FFF2-40B4-BE49-F238E27FC236}">
              <a16:creationId xmlns:a16="http://schemas.microsoft.com/office/drawing/2014/main" id="{E220488C-194F-4022-9ED4-A9DBD7BC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52875" y="10668000"/>
          <a:ext cx="811696" cy="714375"/>
        </a:xfrm>
        <a:prstGeom prst="rect">
          <a:avLst/>
        </a:prstGeom>
      </xdr:spPr>
    </xdr:pic>
    <xdr:clientData/>
  </xdr:oneCellAnchor>
  <xdr:twoCellAnchor editAs="oneCell">
    <xdr:from>
      <xdr:col>8</xdr:col>
      <xdr:colOff>71438</xdr:colOff>
      <xdr:row>50</xdr:row>
      <xdr:rowOff>47625</xdr:rowOff>
    </xdr:from>
    <xdr:to>
      <xdr:col>8</xdr:col>
      <xdr:colOff>881062</xdr:colOff>
      <xdr:row>50</xdr:row>
      <xdr:rowOff>666750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17157" y="44041219"/>
          <a:ext cx="809624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51</xdr:row>
      <xdr:rowOff>59531</xdr:rowOff>
    </xdr:from>
    <xdr:to>
      <xdr:col>8</xdr:col>
      <xdr:colOff>869156</xdr:colOff>
      <xdr:row>51</xdr:row>
      <xdr:rowOff>559594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29062" y="44969906"/>
          <a:ext cx="785813" cy="500063"/>
        </a:xfrm>
        <a:prstGeom prst="rect">
          <a:avLst/>
        </a:prstGeom>
      </xdr:spPr>
    </xdr:pic>
    <xdr:clientData/>
  </xdr:twoCellAnchor>
  <xdr:twoCellAnchor editAs="oneCell">
    <xdr:from>
      <xdr:col>8</xdr:col>
      <xdr:colOff>83346</xdr:colOff>
      <xdr:row>52</xdr:row>
      <xdr:rowOff>59531</xdr:rowOff>
    </xdr:from>
    <xdr:to>
      <xdr:col>8</xdr:col>
      <xdr:colOff>881064</xdr:colOff>
      <xdr:row>52</xdr:row>
      <xdr:rowOff>523876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29065" y="45886687"/>
          <a:ext cx="797718" cy="46434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26</xdr:row>
      <xdr:rowOff>71437</xdr:rowOff>
    </xdr:from>
    <xdr:to>
      <xdr:col>8</xdr:col>
      <xdr:colOff>812006</xdr:colOff>
      <xdr:row>26</xdr:row>
      <xdr:rowOff>852487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52875" y="22562343"/>
          <a:ext cx="70485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27</xdr:row>
      <xdr:rowOff>59531</xdr:rowOff>
    </xdr:from>
    <xdr:to>
      <xdr:col>8</xdr:col>
      <xdr:colOff>800100</xdr:colOff>
      <xdr:row>27</xdr:row>
      <xdr:rowOff>840581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40969" y="23467219"/>
          <a:ext cx="70485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60</xdr:row>
      <xdr:rowOff>95250</xdr:rowOff>
    </xdr:from>
    <xdr:to>
      <xdr:col>8</xdr:col>
      <xdr:colOff>940594</xdr:colOff>
      <xdr:row>60</xdr:row>
      <xdr:rowOff>607219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74094" y="65508188"/>
          <a:ext cx="821531" cy="511969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61</xdr:row>
      <xdr:rowOff>95249</xdr:rowOff>
    </xdr:from>
    <xdr:to>
      <xdr:col>8</xdr:col>
      <xdr:colOff>833438</xdr:colOff>
      <xdr:row>61</xdr:row>
      <xdr:rowOff>916781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74094" y="66198749"/>
          <a:ext cx="714375" cy="821532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107157</xdr:colOff>
      <xdr:row>57</xdr:row>
      <xdr:rowOff>47624</xdr:rowOff>
    </xdr:from>
    <xdr:to>
      <xdr:col>8</xdr:col>
      <xdr:colOff>827401</xdr:colOff>
      <xdr:row>57</xdr:row>
      <xdr:rowOff>1142999</xdr:rowOff>
    </xdr:to>
    <xdr:pic>
      <xdr:nvPicPr>
        <xdr:cNvPr id="44" name="Picture 22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0470" y="50053874"/>
          <a:ext cx="720244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67</xdr:row>
      <xdr:rowOff>107159</xdr:rowOff>
    </xdr:from>
    <xdr:to>
      <xdr:col>8</xdr:col>
      <xdr:colOff>836925</xdr:colOff>
      <xdr:row>67</xdr:row>
      <xdr:rowOff>666751</xdr:rowOff>
    </xdr:to>
    <xdr:pic>
      <xdr:nvPicPr>
        <xdr:cNvPr id="46" name="Picture 1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57959628"/>
          <a:ext cx="729769" cy="559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71437</xdr:colOff>
      <xdr:row>53</xdr:row>
      <xdr:rowOff>59532</xdr:rowOff>
    </xdr:from>
    <xdr:to>
      <xdr:col>8</xdr:col>
      <xdr:colOff>904875</xdr:colOff>
      <xdr:row>53</xdr:row>
      <xdr:rowOff>607219</xdr:rowOff>
    </xdr:to>
    <xdr:pic>
      <xdr:nvPicPr>
        <xdr:cNvPr id="47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156" y="45981938"/>
          <a:ext cx="833438" cy="547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130969</xdr:colOff>
      <xdr:row>55</xdr:row>
      <xdr:rowOff>71438</xdr:rowOff>
    </xdr:from>
    <xdr:to>
      <xdr:col>8</xdr:col>
      <xdr:colOff>860738</xdr:colOff>
      <xdr:row>55</xdr:row>
      <xdr:rowOff>595312</xdr:rowOff>
    </xdr:to>
    <xdr:pic>
      <xdr:nvPicPr>
        <xdr:cNvPr id="49" name="Picture 21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6688" y="47363063"/>
          <a:ext cx="729769" cy="523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23812</xdr:colOff>
      <xdr:row>84</xdr:row>
      <xdr:rowOff>11906</xdr:rowOff>
    </xdr:from>
    <xdr:to>
      <xdr:col>8</xdr:col>
      <xdr:colOff>940593</xdr:colOff>
      <xdr:row>84</xdr:row>
      <xdr:rowOff>888206</xdr:rowOff>
    </xdr:to>
    <xdr:pic>
      <xdr:nvPicPr>
        <xdr:cNvPr id="50" name="Picture 49" descr="C:\Users\rana.NFLBD\AppData\Local\Microsoft\Windows\Temporary Internet Files\Content.Word\EX4_SS20_2-9-B_001 _ 107142_825-Mø_15-1020TCX_825-mø_AOP INFO SHEET_15-1020 TCX.JPG"/>
        <xdr:cNvPicPr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9531" y="83010375"/>
          <a:ext cx="916781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83344</xdr:colOff>
      <xdr:row>38</xdr:row>
      <xdr:rowOff>59531</xdr:rowOff>
    </xdr:from>
    <xdr:to>
      <xdr:col>8</xdr:col>
      <xdr:colOff>916781</xdr:colOff>
      <xdr:row>38</xdr:row>
      <xdr:rowOff>833438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929063" y="31313437"/>
          <a:ext cx="833437" cy="77390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82</xdr:row>
      <xdr:rowOff>71438</xdr:rowOff>
    </xdr:from>
    <xdr:to>
      <xdr:col>8</xdr:col>
      <xdr:colOff>881062</xdr:colOff>
      <xdr:row>82</xdr:row>
      <xdr:rowOff>845344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93344" y="81236344"/>
          <a:ext cx="833437" cy="77390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83</xdr:row>
      <xdr:rowOff>83344</xdr:rowOff>
    </xdr:from>
    <xdr:to>
      <xdr:col>8</xdr:col>
      <xdr:colOff>928687</xdr:colOff>
      <xdr:row>83</xdr:row>
      <xdr:rowOff>857250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940969" y="82165032"/>
          <a:ext cx="833437" cy="773906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63</xdr:row>
      <xdr:rowOff>107155</xdr:rowOff>
    </xdr:from>
    <xdr:to>
      <xdr:col>8</xdr:col>
      <xdr:colOff>909637</xdr:colOff>
      <xdr:row>63</xdr:row>
      <xdr:rowOff>2422072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848" y="69666869"/>
          <a:ext cx="790575" cy="231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66333</xdr:colOff>
      <xdr:row>64</xdr:row>
      <xdr:rowOff>569798</xdr:rowOff>
    </xdr:from>
    <xdr:to>
      <xdr:col>8</xdr:col>
      <xdr:colOff>845343</xdr:colOff>
      <xdr:row>64</xdr:row>
      <xdr:rowOff>3097325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1364" y="72924079"/>
          <a:ext cx="779010" cy="2527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130968</xdr:colOff>
      <xdr:row>62</xdr:row>
      <xdr:rowOff>107157</xdr:rowOff>
    </xdr:from>
    <xdr:to>
      <xdr:col>8</xdr:col>
      <xdr:colOff>826293</xdr:colOff>
      <xdr:row>62</xdr:row>
      <xdr:rowOff>2177143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89754" y="67203978"/>
          <a:ext cx="695325" cy="2069986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66</xdr:row>
      <xdr:rowOff>107157</xdr:rowOff>
    </xdr:from>
    <xdr:to>
      <xdr:col>8</xdr:col>
      <xdr:colOff>869857</xdr:colOff>
      <xdr:row>66</xdr:row>
      <xdr:rowOff>659607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762376" y="55268813"/>
          <a:ext cx="750794" cy="55245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68</xdr:row>
      <xdr:rowOff>71437</xdr:rowOff>
    </xdr:from>
    <xdr:to>
      <xdr:col>8</xdr:col>
      <xdr:colOff>904875</xdr:colOff>
      <xdr:row>68</xdr:row>
      <xdr:rowOff>642937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726656" y="62210156"/>
          <a:ext cx="821532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69</xdr:row>
      <xdr:rowOff>59532</xdr:rowOff>
    </xdr:from>
    <xdr:to>
      <xdr:col>8</xdr:col>
      <xdr:colOff>916781</xdr:colOff>
      <xdr:row>69</xdr:row>
      <xdr:rowOff>535781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929063" y="59352657"/>
          <a:ext cx="833437" cy="476249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75</xdr:row>
      <xdr:rowOff>95251</xdr:rowOff>
    </xdr:from>
    <xdr:to>
      <xdr:col>8</xdr:col>
      <xdr:colOff>833436</xdr:colOff>
      <xdr:row>75</xdr:row>
      <xdr:rowOff>500063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B0E791A-312B-424F-AEC5-9E44FBFD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14750" y="62079189"/>
          <a:ext cx="761999" cy="404812"/>
        </a:xfrm>
        <a:prstGeom prst="rect">
          <a:avLst/>
        </a:prstGeom>
      </xdr:spPr>
    </xdr:pic>
    <xdr:clientData/>
  </xdr:twoCellAnchor>
  <xdr:twoCellAnchor editAs="oneCell">
    <xdr:from>
      <xdr:col>8</xdr:col>
      <xdr:colOff>71439</xdr:colOff>
      <xdr:row>74</xdr:row>
      <xdr:rowOff>83344</xdr:rowOff>
    </xdr:from>
    <xdr:to>
      <xdr:col>8</xdr:col>
      <xdr:colOff>869157</xdr:colOff>
      <xdr:row>74</xdr:row>
      <xdr:rowOff>561295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D622EEC-54F2-4F9E-ACBB-1E6579347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14752" y="61424344"/>
          <a:ext cx="797718" cy="477951"/>
        </a:xfrm>
        <a:prstGeom prst="rect">
          <a:avLst/>
        </a:prstGeom>
      </xdr:spPr>
    </xdr:pic>
    <xdr:clientData/>
  </xdr:twoCellAnchor>
  <xdr:oneCellAnchor>
    <xdr:from>
      <xdr:col>8</xdr:col>
      <xdr:colOff>223838</xdr:colOff>
      <xdr:row>77</xdr:row>
      <xdr:rowOff>216694</xdr:rowOff>
    </xdr:from>
    <xdr:ext cx="476250" cy="51435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67151" y="34780538"/>
          <a:ext cx="476250" cy="514350"/>
        </a:xfrm>
        <a:prstGeom prst="rect">
          <a:avLst/>
        </a:prstGeom>
      </xdr:spPr>
    </xdr:pic>
    <xdr:clientData/>
  </xdr:oneCellAnchor>
  <xdr:oneCellAnchor>
    <xdr:from>
      <xdr:col>8</xdr:col>
      <xdr:colOff>185738</xdr:colOff>
      <xdr:row>78</xdr:row>
      <xdr:rowOff>85724</xdr:rowOff>
    </xdr:from>
    <xdr:ext cx="581026" cy="542925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flipV="1">
          <a:off x="3829051" y="35566349"/>
          <a:ext cx="581026" cy="542925"/>
        </a:xfrm>
        <a:prstGeom prst="rect">
          <a:avLst/>
        </a:prstGeom>
      </xdr:spPr>
    </xdr:pic>
    <xdr:clientData/>
  </xdr:oneCellAnchor>
  <xdr:oneCellAnchor>
    <xdr:from>
      <xdr:col>8</xdr:col>
      <xdr:colOff>209549</xdr:colOff>
      <xdr:row>76</xdr:row>
      <xdr:rowOff>226219</xdr:rowOff>
    </xdr:from>
    <xdr:ext cx="729343" cy="447675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68335" y="84985112"/>
          <a:ext cx="729343" cy="447675"/>
        </a:xfrm>
        <a:prstGeom prst="rect">
          <a:avLst/>
        </a:prstGeom>
      </xdr:spPr>
    </xdr:pic>
    <xdr:clientData/>
  </xdr:oneCellAnchor>
  <xdr:twoCellAnchor editAs="oneCell">
    <xdr:from>
      <xdr:col>8</xdr:col>
      <xdr:colOff>119062</xdr:colOff>
      <xdr:row>54</xdr:row>
      <xdr:rowOff>107157</xdr:rowOff>
    </xdr:from>
    <xdr:to>
      <xdr:col>8</xdr:col>
      <xdr:colOff>821531</xdr:colOff>
      <xdr:row>54</xdr:row>
      <xdr:rowOff>607219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62375" y="44838938"/>
          <a:ext cx="702469" cy="500062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56</xdr:row>
      <xdr:rowOff>226219</xdr:rowOff>
    </xdr:from>
    <xdr:to>
      <xdr:col>8</xdr:col>
      <xdr:colOff>845344</xdr:colOff>
      <xdr:row>56</xdr:row>
      <xdr:rowOff>845344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86188" y="46303407"/>
          <a:ext cx="702469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73</xdr:row>
      <xdr:rowOff>83344</xdr:rowOff>
    </xdr:from>
    <xdr:to>
      <xdr:col>8</xdr:col>
      <xdr:colOff>785813</xdr:colOff>
      <xdr:row>73</xdr:row>
      <xdr:rowOff>547688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3134406-3BAC-48F6-A91E-6539AD3B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38564" y="59947969"/>
          <a:ext cx="690562" cy="46434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65</xdr:row>
      <xdr:rowOff>35718</xdr:rowOff>
    </xdr:from>
    <xdr:to>
      <xdr:col>8</xdr:col>
      <xdr:colOff>857249</xdr:colOff>
      <xdr:row>65</xdr:row>
      <xdr:rowOff>595312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54036" y="75487325"/>
          <a:ext cx="761999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178593</xdr:colOff>
      <xdr:row>28</xdr:row>
      <xdr:rowOff>166687</xdr:rowOff>
    </xdr:from>
    <xdr:to>
      <xdr:col>8</xdr:col>
      <xdr:colOff>823808</xdr:colOff>
      <xdr:row>28</xdr:row>
      <xdr:rowOff>881063</xdr:rowOff>
    </xdr:to>
    <xdr:pic>
      <xdr:nvPicPr>
        <xdr:cNvPr id="72" name="Picture 1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1906" y="25753218"/>
          <a:ext cx="645215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142873</xdr:colOff>
      <xdr:row>29</xdr:row>
      <xdr:rowOff>178594</xdr:rowOff>
    </xdr:from>
    <xdr:to>
      <xdr:col>8</xdr:col>
      <xdr:colOff>835713</xdr:colOff>
      <xdr:row>29</xdr:row>
      <xdr:rowOff>833437</xdr:rowOff>
    </xdr:to>
    <xdr:pic>
      <xdr:nvPicPr>
        <xdr:cNvPr id="73" name="Picture 2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6186" y="26681907"/>
          <a:ext cx="692840" cy="654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166687</xdr:colOff>
      <xdr:row>31</xdr:row>
      <xdr:rowOff>59531</xdr:rowOff>
    </xdr:from>
    <xdr:to>
      <xdr:col>8</xdr:col>
      <xdr:colOff>811902</xdr:colOff>
      <xdr:row>32</xdr:row>
      <xdr:rowOff>0</xdr:rowOff>
    </xdr:to>
    <xdr:pic>
      <xdr:nvPicPr>
        <xdr:cNvPr id="74" name="Picture 1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396406"/>
          <a:ext cx="645215" cy="631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119063</xdr:colOff>
      <xdr:row>32</xdr:row>
      <xdr:rowOff>83344</xdr:rowOff>
    </xdr:from>
    <xdr:to>
      <xdr:col>8</xdr:col>
      <xdr:colOff>811903</xdr:colOff>
      <xdr:row>32</xdr:row>
      <xdr:rowOff>642937</xdr:rowOff>
    </xdr:to>
    <xdr:pic>
      <xdr:nvPicPr>
        <xdr:cNvPr id="75" name="Picture 2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6" y="29110782"/>
          <a:ext cx="692840" cy="559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130970</xdr:colOff>
      <xdr:row>39</xdr:row>
      <xdr:rowOff>130969</xdr:rowOff>
    </xdr:from>
    <xdr:to>
      <xdr:col>8</xdr:col>
      <xdr:colOff>938893</xdr:colOff>
      <xdr:row>40</xdr:row>
      <xdr:rowOff>27214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55863" y="45293076"/>
          <a:ext cx="807923" cy="1311388"/>
        </a:xfrm>
        <a:prstGeom prst="rect">
          <a:avLst/>
        </a:prstGeom>
      </xdr:spPr>
    </xdr:pic>
    <xdr:clientData/>
  </xdr:twoCellAnchor>
  <xdr:twoCellAnchor editAs="oneCell">
    <xdr:from>
      <xdr:col>8</xdr:col>
      <xdr:colOff>83342</xdr:colOff>
      <xdr:row>43</xdr:row>
      <xdr:rowOff>83343</xdr:rowOff>
    </xdr:from>
    <xdr:to>
      <xdr:col>8</xdr:col>
      <xdr:colOff>821529</xdr:colOff>
      <xdr:row>43</xdr:row>
      <xdr:rowOff>833436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726655" y="39874031"/>
          <a:ext cx="738187" cy="750093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44</xdr:row>
      <xdr:rowOff>202406</xdr:rowOff>
    </xdr:from>
    <xdr:to>
      <xdr:col>8</xdr:col>
      <xdr:colOff>731043</xdr:colOff>
      <xdr:row>44</xdr:row>
      <xdr:rowOff>640556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28799A5-23A0-4241-8D21-D4EAEC43C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726656" y="40909875"/>
          <a:ext cx="647700" cy="438150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178594</xdr:colOff>
      <xdr:row>45</xdr:row>
      <xdr:rowOff>285750</xdr:rowOff>
    </xdr:from>
    <xdr:to>
      <xdr:col>8</xdr:col>
      <xdr:colOff>826294</xdr:colOff>
      <xdr:row>45</xdr:row>
      <xdr:rowOff>723900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328799A5-23A0-4241-8D21-D4EAEC43C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21907" y="41910000"/>
          <a:ext cx="647700" cy="438150"/>
        </a:xfrm>
        <a:prstGeom prst="rect">
          <a:avLst/>
        </a:prstGeom>
      </xdr:spPr>
    </xdr:pic>
    <xdr:clientData/>
  </xdr:twoCellAnchor>
  <xdr:twoCellAnchor>
    <xdr:from>
      <xdr:col>8</xdr:col>
      <xdr:colOff>119063</xdr:colOff>
      <xdr:row>71</xdr:row>
      <xdr:rowOff>23812</xdr:rowOff>
    </xdr:from>
    <xdr:to>
      <xdr:col>8</xdr:col>
      <xdr:colOff>785813</xdr:colOff>
      <xdr:row>71</xdr:row>
      <xdr:rowOff>559594</xdr:rowOff>
    </xdr:to>
    <xdr:pic>
      <xdr:nvPicPr>
        <xdr:cNvPr id="82" name="Picture 6" descr="cid:image009.png@01DCC742.811B2100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6" y="62269687"/>
          <a:ext cx="666750" cy="53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809625</xdr:colOff>
      <xdr:row>72</xdr:row>
      <xdr:rowOff>590550</xdr:rowOff>
    </xdr:to>
    <xdr:pic>
      <xdr:nvPicPr>
        <xdr:cNvPr id="83" name="Picture 5" descr="cid:image010.png@01DCC742.811B2100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3" y="62841188"/>
          <a:ext cx="80962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130969</xdr:colOff>
      <xdr:row>36</xdr:row>
      <xdr:rowOff>83344</xdr:rowOff>
    </xdr:from>
    <xdr:to>
      <xdr:col>8</xdr:col>
      <xdr:colOff>873919</xdr:colOff>
      <xdr:row>36</xdr:row>
      <xdr:rowOff>1102179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2101046-6240-4465-921E-56F48A38A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55862" y="42211058"/>
          <a:ext cx="742950" cy="101883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35</xdr:row>
      <xdr:rowOff>47625</xdr:rowOff>
    </xdr:from>
    <xdr:to>
      <xdr:col>8</xdr:col>
      <xdr:colOff>821531</xdr:colOff>
      <xdr:row>35</xdr:row>
      <xdr:rowOff>638174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50469" y="31706344"/>
          <a:ext cx="714375" cy="590549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33</xdr:row>
      <xdr:rowOff>95250</xdr:rowOff>
    </xdr:from>
    <xdr:to>
      <xdr:col>8</xdr:col>
      <xdr:colOff>988218</xdr:colOff>
      <xdr:row>33</xdr:row>
      <xdr:rowOff>1428750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738563" y="30372844"/>
          <a:ext cx="892968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70</xdr:row>
      <xdr:rowOff>35717</xdr:rowOff>
    </xdr:from>
    <xdr:to>
      <xdr:col>8</xdr:col>
      <xdr:colOff>761998</xdr:colOff>
      <xdr:row>70</xdr:row>
      <xdr:rowOff>523874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26656" y="62400655"/>
          <a:ext cx="678655" cy="488157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34</xdr:row>
      <xdr:rowOff>11906</xdr:rowOff>
    </xdr:from>
    <xdr:to>
      <xdr:col>8</xdr:col>
      <xdr:colOff>869156</xdr:colOff>
      <xdr:row>34</xdr:row>
      <xdr:rowOff>583406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26657" y="30980062"/>
          <a:ext cx="785812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40</xdr:row>
      <xdr:rowOff>107156</xdr:rowOff>
    </xdr:from>
    <xdr:to>
      <xdr:col>8</xdr:col>
      <xdr:colOff>898071</xdr:colOff>
      <xdr:row>40</xdr:row>
      <xdr:rowOff>1035843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08237" y="46684406"/>
          <a:ext cx="814727" cy="928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59532</xdr:colOff>
      <xdr:row>4</xdr:row>
      <xdr:rowOff>59532</xdr:rowOff>
    </xdr:from>
    <xdr:to>
      <xdr:col>8</xdr:col>
      <xdr:colOff>726282</xdr:colOff>
      <xdr:row>4</xdr:row>
      <xdr:rowOff>884464</xdr:rowOff>
    </xdr:to>
    <xdr:pic>
      <xdr:nvPicPr>
        <xdr:cNvPr id="2" name="Picture 2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2220" y="2440782"/>
          <a:ext cx="666750" cy="824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119062</xdr:colOff>
      <xdr:row>58</xdr:row>
      <xdr:rowOff>35719</xdr:rowOff>
    </xdr:from>
    <xdr:to>
      <xdr:col>8</xdr:col>
      <xdr:colOff>809624</xdr:colOff>
      <xdr:row>58</xdr:row>
      <xdr:rowOff>666750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2406" y="38326219"/>
          <a:ext cx="690562" cy="631031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178593</xdr:colOff>
      <xdr:row>57</xdr:row>
      <xdr:rowOff>59532</xdr:rowOff>
    </xdr:from>
    <xdr:to>
      <xdr:col>8</xdr:col>
      <xdr:colOff>740013</xdr:colOff>
      <xdr:row>57</xdr:row>
      <xdr:rowOff>640557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1937" y="37659470"/>
          <a:ext cx="561420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35720</xdr:colOff>
      <xdr:row>87</xdr:row>
      <xdr:rowOff>83344</xdr:rowOff>
    </xdr:from>
    <xdr:to>
      <xdr:col>8</xdr:col>
      <xdr:colOff>908845</xdr:colOff>
      <xdr:row>87</xdr:row>
      <xdr:rowOff>607219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9064" y="57709594"/>
          <a:ext cx="869156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85</xdr:row>
      <xdr:rowOff>59531</xdr:rowOff>
    </xdr:from>
    <xdr:to>
      <xdr:col>8</xdr:col>
      <xdr:colOff>920749</xdr:colOff>
      <xdr:row>85</xdr:row>
      <xdr:rowOff>654843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76687" y="56304656"/>
          <a:ext cx="833437" cy="595312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86</xdr:row>
      <xdr:rowOff>47625</xdr:rowOff>
    </xdr:from>
    <xdr:to>
      <xdr:col>8</xdr:col>
      <xdr:colOff>908844</xdr:colOff>
      <xdr:row>86</xdr:row>
      <xdr:rowOff>583406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0969" y="56983313"/>
          <a:ext cx="857250" cy="535781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88</xdr:row>
      <xdr:rowOff>23812</xdr:rowOff>
    </xdr:from>
    <xdr:to>
      <xdr:col>8</xdr:col>
      <xdr:colOff>885031</xdr:colOff>
      <xdr:row>88</xdr:row>
      <xdr:rowOff>631030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76688" y="58340625"/>
          <a:ext cx="797718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130970</xdr:colOff>
      <xdr:row>28</xdr:row>
      <xdr:rowOff>149677</xdr:rowOff>
    </xdr:from>
    <xdr:to>
      <xdr:col>8</xdr:col>
      <xdr:colOff>678656</xdr:colOff>
      <xdr:row>28</xdr:row>
      <xdr:rowOff>1694088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83658" y="20271240"/>
          <a:ext cx="547686" cy="1544411"/>
        </a:xfrm>
        <a:prstGeom prst="rect">
          <a:avLst/>
        </a:prstGeom>
      </xdr:spPr>
    </xdr:pic>
    <xdr:clientData/>
  </xdr:twoCellAnchor>
  <xdr:twoCellAnchor editAs="oneCell">
    <xdr:from>
      <xdr:col>8</xdr:col>
      <xdr:colOff>113958</xdr:colOff>
      <xdr:row>29</xdr:row>
      <xdr:rowOff>181996</xdr:rowOff>
    </xdr:from>
    <xdr:to>
      <xdr:col>8</xdr:col>
      <xdr:colOff>833437</xdr:colOff>
      <xdr:row>29</xdr:row>
      <xdr:rowOff>1632858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6646" y="22137121"/>
          <a:ext cx="719479" cy="1450862"/>
        </a:xfrm>
        <a:prstGeom prst="rect">
          <a:avLst/>
        </a:prstGeom>
      </xdr:spPr>
    </xdr:pic>
    <xdr:clientData/>
  </xdr:twoCellAnchor>
  <xdr:twoCellAnchor editAs="oneCell">
    <xdr:from>
      <xdr:col>8</xdr:col>
      <xdr:colOff>127568</xdr:colOff>
      <xdr:row>30</xdr:row>
      <xdr:rowOff>137772</xdr:rowOff>
    </xdr:from>
    <xdr:to>
      <xdr:col>8</xdr:col>
      <xdr:colOff>809624</xdr:colOff>
      <xdr:row>30</xdr:row>
      <xdr:rowOff>1411740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80256" y="25712397"/>
          <a:ext cx="682056" cy="1273968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31</xdr:row>
      <xdr:rowOff>59530</xdr:rowOff>
    </xdr:from>
    <xdr:to>
      <xdr:col>8</xdr:col>
      <xdr:colOff>762000</xdr:colOff>
      <xdr:row>31</xdr:row>
      <xdr:rowOff>1428749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00312" y="27277218"/>
          <a:ext cx="714376" cy="1369219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122462</xdr:colOff>
      <xdr:row>5</xdr:row>
      <xdr:rowOff>180295</xdr:rowOff>
    </xdr:from>
    <xdr:to>
      <xdr:col>8</xdr:col>
      <xdr:colOff>761999</xdr:colOff>
      <xdr:row>5</xdr:row>
      <xdr:rowOff>1573324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75150" y="3787889"/>
          <a:ext cx="639537" cy="1393029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6</xdr:row>
      <xdr:rowOff>59531</xdr:rowOff>
    </xdr:from>
    <xdr:to>
      <xdr:col>8</xdr:col>
      <xdr:colOff>809624</xdr:colOff>
      <xdr:row>6</xdr:row>
      <xdr:rowOff>966107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20724" y="6215062"/>
          <a:ext cx="741588" cy="906576"/>
        </a:xfrm>
        <a:prstGeom prst="rect">
          <a:avLst/>
        </a:prstGeom>
      </xdr:spPr>
    </xdr:pic>
    <xdr:clientData/>
  </xdr:twoCellAnchor>
  <xdr:twoCellAnchor editAs="oneCell">
    <xdr:from>
      <xdr:col>8</xdr:col>
      <xdr:colOff>137773</xdr:colOff>
      <xdr:row>32</xdr:row>
      <xdr:rowOff>307862</xdr:rowOff>
    </xdr:from>
    <xdr:to>
      <xdr:col>8</xdr:col>
      <xdr:colOff>802822</xdr:colOff>
      <xdr:row>32</xdr:row>
      <xdr:rowOff>1578430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72166" y="28978112"/>
          <a:ext cx="665049" cy="1270568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33</xdr:row>
      <xdr:rowOff>47625</xdr:rowOff>
    </xdr:from>
    <xdr:to>
      <xdr:col>8</xdr:col>
      <xdr:colOff>833437</xdr:colOff>
      <xdr:row>33</xdr:row>
      <xdr:rowOff>2428875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47938" y="31075313"/>
          <a:ext cx="738187" cy="2381250"/>
        </a:xfrm>
        <a:prstGeom prst="rect">
          <a:avLst/>
        </a:prstGeom>
      </xdr:spPr>
    </xdr:pic>
    <xdr:clientData/>
  </xdr:twoCellAnchor>
  <xdr:twoCellAnchor editAs="oneCell">
    <xdr:from>
      <xdr:col>8</xdr:col>
      <xdr:colOff>112260</xdr:colOff>
      <xdr:row>27</xdr:row>
      <xdr:rowOff>107155</xdr:rowOff>
    </xdr:from>
    <xdr:to>
      <xdr:col>8</xdr:col>
      <xdr:colOff>761999</xdr:colOff>
      <xdr:row>27</xdr:row>
      <xdr:rowOff>1061356</xdr:rowOff>
    </xdr:to>
    <xdr:pic>
      <xdr:nvPicPr>
        <xdr:cNvPr id="19" name="Picture 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4948" y="19133343"/>
          <a:ext cx="649739" cy="954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119062</xdr:colOff>
      <xdr:row>26</xdr:row>
      <xdr:rowOff>35719</xdr:rowOff>
    </xdr:from>
    <xdr:to>
      <xdr:col>8</xdr:col>
      <xdr:colOff>913716</xdr:colOff>
      <xdr:row>26</xdr:row>
      <xdr:rowOff>841375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63812" y="18069719"/>
          <a:ext cx="790685" cy="805656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39</xdr:row>
      <xdr:rowOff>130968</xdr:rowOff>
    </xdr:from>
    <xdr:to>
      <xdr:col>8</xdr:col>
      <xdr:colOff>797718</xdr:colOff>
      <xdr:row>39</xdr:row>
      <xdr:rowOff>2317749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B86D04A-B514-4FAB-A2FD-02B5C700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99594" y="41596468"/>
          <a:ext cx="714374" cy="2186781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40</xdr:row>
      <xdr:rowOff>47625</xdr:rowOff>
    </xdr:from>
    <xdr:to>
      <xdr:col>8</xdr:col>
      <xdr:colOff>845344</xdr:colOff>
      <xdr:row>40</xdr:row>
      <xdr:rowOff>660538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302C22F-C2CD-4141-9B17-312B50E81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52876" y="25217438"/>
          <a:ext cx="785812" cy="612913"/>
        </a:xfrm>
        <a:prstGeom prst="rect">
          <a:avLst/>
        </a:prstGeom>
      </xdr:spPr>
    </xdr:pic>
    <xdr:clientData/>
  </xdr:twoCellAnchor>
  <xdr:twoCellAnchor editAs="oneCell">
    <xdr:from>
      <xdr:col>8</xdr:col>
      <xdr:colOff>153081</xdr:colOff>
      <xdr:row>41</xdr:row>
      <xdr:rowOff>350384</xdr:rowOff>
    </xdr:from>
    <xdr:to>
      <xdr:col>8</xdr:col>
      <xdr:colOff>762000</xdr:colOff>
      <xdr:row>41</xdr:row>
      <xdr:rowOff>963297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302C22F-C2CD-4141-9B17-312B50E81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97831" y="45435384"/>
          <a:ext cx="608919" cy="612913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42</xdr:row>
      <xdr:rowOff>35718</xdr:rowOff>
    </xdr:from>
    <xdr:to>
      <xdr:col>8</xdr:col>
      <xdr:colOff>885031</xdr:colOff>
      <xdr:row>42</xdr:row>
      <xdr:rowOff>1428750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302C22F-C2CD-4141-9B17-312B50E81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40000" y="45644593"/>
          <a:ext cx="785812" cy="1393032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43</xdr:row>
      <xdr:rowOff>47625</xdr:rowOff>
    </xdr:from>
    <xdr:to>
      <xdr:col>8</xdr:col>
      <xdr:colOff>833437</xdr:colOff>
      <xdr:row>43</xdr:row>
      <xdr:rowOff>660538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302C22F-C2CD-4141-9B17-312B50E81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71750" y="48637031"/>
          <a:ext cx="714375" cy="612913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130966</xdr:colOff>
      <xdr:row>44</xdr:row>
      <xdr:rowOff>71437</xdr:rowOff>
    </xdr:from>
    <xdr:to>
      <xdr:col>8</xdr:col>
      <xdr:colOff>642937</xdr:colOff>
      <xdr:row>44</xdr:row>
      <xdr:rowOff>3063875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32B4B53-2934-49E6-80DD-78B329B89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83654" y="49351406"/>
          <a:ext cx="511971" cy="2992438"/>
        </a:xfrm>
        <a:prstGeom prst="rect">
          <a:avLst/>
        </a:prstGeom>
      </xdr:spPr>
    </xdr:pic>
    <xdr:clientData/>
  </xdr:twoCellAnchor>
  <xdr:twoCellAnchor editAs="oneCell">
    <xdr:from>
      <xdr:col>8</xdr:col>
      <xdr:colOff>170090</xdr:colOff>
      <xdr:row>45</xdr:row>
      <xdr:rowOff>64633</xdr:rowOff>
    </xdr:from>
    <xdr:to>
      <xdr:col>8</xdr:col>
      <xdr:colOff>833437</xdr:colOff>
      <xdr:row>45</xdr:row>
      <xdr:rowOff>1251857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BD5C618-2F70-41B8-8E00-FB87BCF4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22778" y="52606914"/>
          <a:ext cx="663347" cy="1187224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178595</xdr:colOff>
      <xdr:row>46</xdr:row>
      <xdr:rowOff>35717</xdr:rowOff>
    </xdr:from>
    <xdr:to>
      <xdr:col>8</xdr:col>
      <xdr:colOff>642937</xdr:colOff>
      <xdr:row>46</xdr:row>
      <xdr:rowOff>2367642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BD5C618-2F70-41B8-8E00-FB87BCF4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31283" y="53911498"/>
          <a:ext cx="464342" cy="233192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47</xdr:row>
      <xdr:rowOff>23811</xdr:rowOff>
    </xdr:from>
    <xdr:to>
      <xdr:col>8</xdr:col>
      <xdr:colOff>654843</xdr:colOff>
      <xdr:row>47</xdr:row>
      <xdr:rowOff>1095374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BD5C618-2F70-41B8-8E00-FB87BCF4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59844" y="56399905"/>
          <a:ext cx="547687" cy="1071563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48</xdr:row>
      <xdr:rowOff>83343</xdr:rowOff>
    </xdr:from>
    <xdr:to>
      <xdr:col>8</xdr:col>
      <xdr:colOff>845343</xdr:colOff>
      <xdr:row>48</xdr:row>
      <xdr:rowOff>1000124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BD5C618-2F70-41B8-8E00-FB87BCF4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63812" y="56471343"/>
          <a:ext cx="726281" cy="916781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49</xdr:row>
      <xdr:rowOff>23814</xdr:rowOff>
    </xdr:from>
    <xdr:to>
      <xdr:col>8</xdr:col>
      <xdr:colOff>821531</xdr:colOff>
      <xdr:row>49</xdr:row>
      <xdr:rowOff>642938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88594" y="32099252"/>
          <a:ext cx="726281" cy="619124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107157</xdr:colOff>
      <xdr:row>50</xdr:row>
      <xdr:rowOff>11906</xdr:rowOff>
    </xdr:from>
    <xdr:to>
      <xdr:col>8</xdr:col>
      <xdr:colOff>833438</xdr:colOff>
      <xdr:row>50</xdr:row>
      <xdr:rowOff>631030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00501" y="32777906"/>
          <a:ext cx="726281" cy="619124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51</xdr:row>
      <xdr:rowOff>47625</xdr:rowOff>
    </xdr:from>
    <xdr:to>
      <xdr:col>8</xdr:col>
      <xdr:colOff>833437</xdr:colOff>
      <xdr:row>51</xdr:row>
      <xdr:rowOff>666749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00500" y="33504188"/>
          <a:ext cx="726281" cy="619124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68</xdr:row>
      <xdr:rowOff>59532</xdr:rowOff>
    </xdr:from>
    <xdr:to>
      <xdr:col>8</xdr:col>
      <xdr:colOff>869155</xdr:colOff>
      <xdr:row>68</xdr:row>
      <xdr:rowOff>654844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64781" y="45946220"/>
          <a:ext cx="797718" cy="595312"/>
        </a:xfrm>
        <a:prstGeom prst="rect">
          <a:avLst/>
        </a:prstGeom>
      </xdr:spPr>
    </xdr:pic>
    <xdr:clientData/>
  </xdr:twoCellAnchor>
  <xdr:twoCellAnchor editAs="oneCell">
    <xdr:from>
      <xdr:col>8</xdr:col>
      <xdr:colOff>110559</xdr:colOff>
      <xdr:row>98</xdr:row>
      <xdr:rowOff>226218</xdr:rowOff>
    </xdr:from>
    <xdr:to>
      <xdr:col>8</xdr:col>
      <xdr:colOff>912246</xdr:colOff>
      <xdr:row>98</xdr:row>
      <xdr:rowOff>821530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73452" y="105831254"/>
          <a:ext cx="797718" cy="595312"/>
        </a:xfrm>
        <a:prstGeom prst="rect">
          <a:avLst/>
        </a:prstGeom>
      </xdr:spPr>
    </xdr:pic>
    <xdr:clientData/>
  </xdr:twoCellAnchor>
  <xdr:twoCellAnchor editAs="oneCell">
    <xdr:from>
      <xdr:col>8</xdr:col>
      <xdr:colOff>71436</xdr:colOff>
      <xdr:row>97</xdr:row>
      <xdr:rowOff>71437</xdr:rowOff>
    </xdr:from>
    <xdr:to>
      <xdr:col>8</xdr:col>
      <xdr:colOff>885030</xdr:colOff>
      <xdr:row>97</xdr:row>
      <xdr:rowOff>631031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64780" y="64603312"/>
          <a:ext cx="809625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107157</xdr:colOff>
      <xdr:row>69</xdr:row>
      <xdr:rowOff>71437</xdr:rowOff>
    </xdr:from>
    <xdr:to>
      <xdr:col>8</xdr:col>
      <xdr:colOff>773906</xdr:colOff>
      <xdr:row>69</xdr:row>
      <xdr:rowOff>511969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1345" y="79188468"/>
          <a:ext cx="666749" cy="440532"/>
        </a:xfrm>
        <a:prstGeom prst="rect">
          <a:avLst/>
        </a:prstGeom>
      </xdr:spPr>
    </xdr:pic>
    <xdr:clientData/>
  </xdr:twoCellAnchor>
  <xdr:twoCellAnchor editAs="oneCell">
    <xdr:from>
      <xdr:col>8</xdr:col>
      <xdr:colOff>141173</xdr:colOff>
      <xdr:row>100</xdr:row>
      <xdr:rowOff>187097</xdr:rowOff>
    </xdr:from>
    <xdr:to>
      <xdr:col>8</xdr:col>
      <xdr:colOff>690563</xdr:colOff>
      <xdr:row>100</xdr:row>
      <xdr:rowOff>952500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93861" y="116832628"/>
          <a:ext cx="549390" cy="765403"/>
        </a:xfrm>
        <a:prstGeom prst="rect">
          <a:avLst/>
        </a:prstGeom>
      </xdr:spPr>
    </xdr:pic>
    <xdr:clientData/>
  </xdr:twoCellAnchor>
  <xdr:twoCellAnchor editAs="oneCell">
    <xdr:from>
      <xdr:col>8</xdr:col>
      <xdr:colOff>74839</xdr:colOff>
      <xdr:row>101</xdr:row>
      <xdr:rowOff>142875</xdr:rowOff>
    </xdr:from>
    <xdr:to>
      <xdr:col>8</xdr:col>
      <xdr:colOff>690562</xdr:colOff>
      <xdr:row>101</xdr:row>
      <xdr:rowOff>773906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27527" y="117931406"/>
          <a:ext cx="615723" cy="631031"/>
        </a:xfrm>
        <a:prstGeom prst="rect">
          <a:avLst/>
        </a:prstGeom>
      </xdr:spPr>
    </xdr:pic>
    <xdr:clientData/>
  </xdr:twoCellAnchor>
  <xdr:twoCellAnchor editAs="oneCell">
    <xdr:from>
      <xdr:col>8</xdr:col>
      <xdr:colOff>162719</xdr:colOff>
      <xdr:row>99</xdr:row>
      <xdr:rowOff>59530</xdr:rowOff>
    </xdr:from>
    <xdr:to>
      <xdr:col>8</xdr:col>
      <xdr:colOff>911678</xdr:colOff>
      <xdr:row>99</xdr:row>
      <xdr:rowOff>1595438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97112" y="115380066"/>
          <a:ext cx="748959" cy="1535908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102</xdr:row>
      <xdr:rowOff>35718</xdr:rowOff>
    </xdr:from>
    <xdr:to>
      <xdr:col>8</xdr:col>
      <xdr:colOff>857250</xdr:colOff>
      <xdr:row>102</xdr:row>
      <xdr:rowOff>1768927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58143" y="110593754"/>
          <a:ext cx="762000" cy="1733209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103</xdr:row>
      <xdr:rowOff>150813</xdr:rowOff>
    </xdr:from>
    <xdr:to>
      <xdr:col>8</xdr:col>
      <xdr:colOff>821531</xdr:colOff>
      <xdr:row>103</xdr:row>
      <xdr:rowOff>1254125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71751" y="118582282"/>
          <a:ext cx="702468" cy="1103312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105</xdr:row>
      <xdr:rowOff>105455</xdr:rowOff>
    </xdr:from>
    <xdr:to>
      <xdr:col>8</xdr:col>
      <xdr:colOff>750094</xdr:colOff>
      <xdr:row>105</xdr:row>
      <xdr:rowOff>724580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43188" y="120858643"/>
          <a:ext cx="559594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166686</xdr:colOff>
      <xdr:row>107</xdr:row>
      <xdr:rowOff>35719</xdr:rowOff>
    </xdr:from>
    <xdr:to>
      <xdr:col>8</xdr:col>
      <xdr:colOff>821529</xdr:colOff>
      <xdr:row>107</xdr:row>
      <xdr:rowOff>583406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060030" y="70913625"/>
          <a:ext cx="654843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139473</xdr:colOff>
      <xdr:row>108</xdr:row>
      <xdr:rowOff>71439</xdr:rowOff>
    </xdr:from>
    <xdr:to>
      <xdr:col>8</xdr:col>
      <xdr:colOff>794316</xdr:colOff>
      <xdr:row>108</xdr:row>
      <xdr:rowOff>583407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02366" y="114970153"/>
          <a:ext cx="654843" cy="511968"/>
        </a:xfrm>
        <a:prstGeom prst="rect">
          <a:avLst/>
        </a:prstGeom>
      </xdr:spPr>
    </xdr:pic>
    <xdr:clientData/>
  </xdr:twoCellAnchor>
  <xdr:twoCellAnchor editAs="oneCell">
    <xdr:from>
      <xdr:col>8</xdr:col>
      <xdr:colOff>100353</xdr:colOff>
      <xdr:row>109</xdr:row>
      <xdr:rowOff>86748</xdr:rowOff>
    </xdr:from>
    <xdr:to>
      <xdr:col>8</xdr:col>
      <xdr:colOff>755196</xdr:colOff>
      <xdr:row>109</xdr:row>
      <xdr:rowOff>598716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63246" y="115679427"/>
          <a:ext cx="654843" cy="511968"/>
        </a:xfrm>
        <a:prstGeom prst="rect">
          <a:avLst/>
        </a:prstGeom>
      </xdr:spPr>
    </xdr:pic>
    <xdr:clientData/>
  </xdr:twoCellAnchor>
  <xdr:twoCellAnchor editAs="oneCell">
    <xdr:from>
      <xdr:col>8</xdr:col>
      <xdr:colOff>112257</xdr:colOff>
      <xdr:row>104</xdr:row>
      <xdr:rowOff>78242</xdr:rowOff>
    </xdr:from>
    <xdr:to>
      <xdr:col>8</xdr:col>
      <xdr:colOff>821531</xdr:colOff>
      <xdr:row>104</xdr:row>
      <xdr:rowOff>685460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64945" y="119974180"/>
          <a:ext cx="709274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106</xdr:row>
      <xdr:rowOff>35719</xdr:rowOff>
    </xdr:from>
    <xdr:to>
      <xdr:col>8</xdr:col>
      <xdr:colOff>896937</xdr:colOff>
      <xdr:row>106</xdr:row>
      <xdr:rowOff>642937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31406" y="80510063"/>
          <a:ext cx="821531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52</xdr:row>
      <xdr:rowOff>35717</xdr:rowOff>
    </xdr:from>
    <xdr:to>
      <xdr:col>8</xdr:col>
      <xdr:colOff>885031</xdr:colOff>
      <xdr:row>52</xdr:row>
      <xdr:rowOff>1357312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14750" y="35147248"/>
          <a:ext cx="726281" cy="132159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142876</xdr:colOff>
      <xdr:row>10</xdr:row>
      <xdr:rowOff>35719</xdr:rowOff>
    </xdr:from>
    <xdr:to>
      <xdr:col>8</xdr:col>
      <xdr:colOff>654843</xdr:colOff>
      <xdr:row>10</xdr:row>
      <xdr:rowOff>1651000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95564" y="13001625"/>
          <a:ext cx="511967" cy="1615281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9</xdr:row>
      <xdr:rowOff>59530</xdr:rowOff>
    </xdr:from>
    <xdr:to>
      <xdr:col>8</xdr:col>
      <xdr:colOff>750093</xdr:colOff>
      <xdr:row>9</xdr:row>
      <xdr:rowOff>666749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59844" y="10870405"/>
          <a:ext cx="642937" cy="607219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56</xdr:row>
      <xdr:rowOff>35719</xdr:rowOff>
    </xdr:from>
    <xdr:to>
      <xdr:col>8</xdr:col>
      <xdr:colOff>738187</xdr:colOff>
      <xdr:row>57</xdr:row>
      <xdr:rowOff>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9E1A6FE-BE2F-4955-B262-FFB023BD2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12220" y="66329719"/>
          <a:ext cx="678655" cy="654846"/>
        </a:xfrm>
        <a:prstGeom prst="rect">
          <a:avLst/>
        </a:prstGeom>
      </xdr:spPr>
    </xdr:pic>
    <xdr:clientData/>
  </xdr:twoCellAnchor>
  <xdr:twoCellAnchor editAs="oneCell">
    <xdr:from>
      <xdr:col>8</xdr:col>
      <xdr:colOff>87312</xdr:colOff>
      <xdr:row>55</xdr:row>
      <xdr:rowOff>59531</xdr:rowOff>
    </xdr:from>
    <xdr:to>
      <xdr:col>8</xdr:col>
      <xdr:colOff>718343</xdr:colOff>
      <xdr:row>55</xdr:row>
      <xdr:rowOff>984250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3715AB2-D864-44B3-97EA-37DEBA8A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03562" y="65702656"/>
          <a:ext cx="631031" cy="924719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142874</xdr:colOff>
      <xdr:row>71</xdr:row>
      <xdr:rowOff>95250</xdr:rowOff>
    </xdr:from>
    <xdr:to>
      <xdr:col>8</xdr:col>
      <xdr:colOff>761999</xdr:colOff>
      <xdr:row>71</xdr:row>
      <xdr:rowOff>583407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0EAC636-F64C-8282-FE94-3977DDFA5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167062" y="80914875"/>
          <a:ext cx="619125" cy="488157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130968</xdr:colOff>
      <xdr:row>72</xdr:row>
      <xdr:rowOff>47625</xdr:rowOff>
    </xdr:from>
    <xdr:to>
      <xdr:col>8</xdr:col>
      <xdr:colOff>821529</xdr:colOff>
      <xdr:row>72</xdr:row>
      <xdr:rowOff>631550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E4F331F-FD88-DF9B-45B5-4BFE96113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55156" y="81557813"/>
          <a:ext cx="690561" cy="583925"/>
        </a:xfrm>
        <a:prstGeom prst="rect">
          <a:avLst/>
        </a:prstGeom>
      </xdr:spPr>
    </xdr:pic>
    <xdr:clientData/>
  </xdr:twoCellAnchor>
  <xdr:twoCellAnchor editAs="oneCell">
    <xdr:from>
      <xdr:col>8</xdr:col>
      <xdr:colOff>127569</xdr:colOff>
      <xdr:row>83</xdr:row>
      <xdr:rowOff>78238</xdr:rowOff>
    </xdr:from>
    <xdr:to>
      <xdr:col>8</xdr:col>
      <xdr:colOff>884464</xdr:colOff>
      <xdr:row>83</xdr:row>
      <xdr:rowOff>1524000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6A78643-5248-3DBA-CF8B-0BAAC6891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757" y="97316582"/>
          <a:ext cx="756895" cy="1445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74838</xdr:colOff>
      <xdr:row>82</xdr:row>
      <xdr:rowOff>129269</xdr:rowOff>
    </xdr:from>
    <xdr:to>
      <xdr:col>8</xdr:col>
      <xdr:colOff>870857</xdr:colOff>
      <xdr:row>82</xdr:row>
      <xdr:rowOff>1619250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E3A6BBE-DC30-F28D-0E32-22D822DB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9231" y="95147948"/>
          <a:ext cx="796019" cy="148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96950</xdr:colOff>
      <xdr:row>70</xdr:row>
      <xdr:rowOff>75974</xdr:rowOff>
    </xdr:from>
    <xdr:to>
      <xdr:col>8</xdr:col>
      <xdr:colOff>870857</xdr:colOff>
      <xdr:row>70</xdr:row>
      <xdr:rowOff>1181554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E7678F4-8020-25E1-4B97-BD1C1CC9E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343" y="82249510"/>
          <a:ext cx="773907" cy="1105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67</xdr:row>
      <xdr:rowOff>130968</xdr:rowOff>
    </xdr:from>
    <xdr:to>
      <xdr:col>8</xdr:col>
      <xdr:colOff>833437</xdr:colOff>
      <xdr:row>67</xdr:row>
      <xdr:rowOff>1154905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55219" y="51673124"/>
          <a:ext cx="738187" cy="1023937"/>
        </a:xfrm>
        <a:prstGeom prst="rect">
          <a:avLst/>
        </a:prstGeom>
      </xdr:spPr>
    </xdr:pic>
    <xdr:clientData/>
  </xdr:twoCellAnchor>
  <xdr:oneCellAnchor>
    <xdr:from>
      <xdr:col>8</xdr:col>
      <xdr:colOff>83344</xdr:colOff>
      <xdr:row>84</xdr:row>
      <xdr:rowOff>95250</xdr:rowOff>
    </xdr:from>
    <xdr:ext cx="726280" cy="1226343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536032" y="95726250"/>
          <a:ext cx="726280" cy="1226343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65</xdr:row>
      <xdr:rowOff>11904</xdr:rowOff>
    </xdr:from>
    <xdr:to>
      <xdr:col>8</xdr:col>
      <xdr:colOff>873125</xdr:colOff>
      <xdr:row>65</xdr:row>
      <xdr:rowOff>631029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88594" y="43826904"/>
          <a:ext cx="773906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222816</xdr:colOff>
      <xdr:row>64</xdr:row>
      <xdr:rowOff>51027</xdr:rowOff>
    </xdr:from>
    <xdr:to>
      <xdr:col>8</xdr:col>
      <xdr:colOff>843642</xdr:colOff>
      <xdr:row>64</xdr:row>
      <xdr:rowOff>646339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57209" y="74060277"/>
          <a:ext cx="620826" cy="595312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63</xdr:row>
      <xdr:rowOff>23813</xdr:rowOff>
    </xdr:from>
    <xdr:to>
      <xdr:col>8</xdr:col>
      <xdr:colOff>885031</xdr:colOff>
      <xdr:row>63</xdr:row>
      <xdr:rowOff>595313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940969" y="42457688"/>
          <a:ext cx="833437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83345</xdr:colOff>
      <xdr:row>62</xdr:row>
      <xdr:rowOff>35720</xdr:rowOff>
    </xdr:from>
    <xdr:to>
      <xdr:col>8</xdr:col>
      <xdr:colOff>845345</xdr:colOff>
      <xdr:row>62</xdr:row>
      <xdr:rowOff>654844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976689" y="41779033"/>
          <a:ext cx="762000" cy="619124"/>
        </a:xfrm>
        <a:prstGeom prst="rect">
          <a:avLst/>
        </a:prstGeom>
      </xdr:spPr>
    </xdr:pic>
    <xdr:clientData/>
  </xdr:twoCellAnchor>
  <xdr:twoCellAnchor editAs="oneCell">
    <xdr:from>
      <xdr:col>8</xdr:col>
      <xdr:colOff>176892</xdr:colOff>
      <xdr:row>7</xdr:row>
      <xdr:rowOff>134371</xdr:rowOff>
    </xdr:from>
    <xdr:to>
      <xdr:col>8</xdr:col>
      <xdr:colOff>726281</xdr:colOff>
      <xdr:row>7</xdr:row>
      <xdr:rowOff>843643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629580" y="8111559"/>
          <a:ext cx="549389" cy="709272"/>
        </a:xfrm>
        <a:prstGeom prst="rect">
          <a:avLst/>
        </a:prstGeom>
      </xdr:spPr>
    </xdr:pic>
    <xdr:clientData/>
  </xdr:twoCellAnchor>
  <xdr:twoCellAnchor editAs="oneCell">
    <xdr:from>
      <xdr:col>8</xdr:col>
      <xdr:colOff>188799</xdr:colOff>
      <xdr:row>8</xdr:row>
      <xdr:rowOff>154781</xdr:rowOff>
    </xdr:from>
    <xdr:to>
      <xdr:col>8</xdr:col>
      <xdr:colOff>773906</xdr:colOff>
      <xdr:row>8</xdr:row>
      <xdr:rowOff>650909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212987" y="10096500"/>
          <a:ext cx="585107" cy="496128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34</xdr:row>
      <xdr:rowOff>238125</xdr:rowOff>
    </xdr:from>
    <xdr:to>
      <xdr:col>8</xdr:col>
      <xdr:colOff>901700</xdr:colOff>
      <xdr:row>34</xdr:row>
      <xdr:rowOff>1583531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67062" y="17692688"/>
          <a:ext cx="790575" cy="134540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35</xdr:row>
      <xdr:rowOff>47625</xdr:rowOff>
    </xdr:from>
    <xdr:to>
      <xdr:col>8</xdr:col>
      <xdr:colOff>889794</xdr:colOff>
      <xdr:row>35</xdr:row>
      <xdr:rowOff>543753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988594" y="21764625"/>
          <a:ext cx="790575" cy="496128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130969</xdr:colOff>
      <xdr:row>36</xdr:row>
      <xdr:rowOff>47625</xdr:rowOff>
    </xdr:from>
    <xdr:to>
      <xdr:col>8</xdr:col>
      <xdr:colOff>833437</xdr:colOff>
      <xdr:row>36</xdr:row>
      <xdr:rowOff>642937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D2223AB-D812-4696-AF87-F01183A8E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690938" y="20454938"/>
          <a:ext cx="702468" cy="595312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37</xdr:row>
      <xdr:rowOff>71437</xdr:rowOff>
    </xdr:from>
    <xdr:to>
      <xdr:col>8</xdr:col>
      <xdr:colOff>773905</xdr:colOff>
      <xdr:row>37</xdr:row>
      <xdr:rowOff>551828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D2223AB-D812-4696-AF87-F01183A8E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964781" y="23169562"/>
          <a:ext cx="702468" cy="480391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38</xdr:row>
      <xdr:rowOff>71437</xdr:rowOff>
    </xdr:from>
    <xdr:to>
      <xdr:col>8</xdr:col>
      <xdr:colOff>833437</xdr:colOff>
      <xdr:row>38</xdr:row>
      <xdr:rowOff>551828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D2223AB-D812-4696-AF87-F01183A8E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036219" y="23860125"/>
          <a:ext cx="690562" cy="480391"/>
        </a:xfrm>
        <a:prstGeom prst="rect">
          <a:avLst/>
        </a:prstGeom>
      </xdr:spPr>
    </xdr:pic>
    <xdr:clientData/>
  </xdr:twoCellAnchor>
  <xdr:twoCellAnchor editAs="oneCell">
    <xdr:from>
      <xdr:col>8</xdr:col>
      <xdr:colOff>150812</xdr:colOff>
      <xdr:row>89</xdr:row>
      <xdr:rowOff>23812</xdr:rowOff>
    </xdr:from>
    <xdr:to>
      <xdr:col>8</xdr:col>
      <xdr:colOff>773906</xdr:colOff>
      <xdr:row>89</xdr:row>
      <xdr:rowOff>1460500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D802E33-84EA-4876-93DA-C0B387248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03500" y="99941062"/>
          <a:ext cx="623094" cy="1436688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90</xdr:row>
      <xdr:rowOff>130969</xdr:rowOff>
    </xdr:from>
    <xdr:to>
      <xdr:col>8</xdr:col>
      <xdr:colOff>821531</xdr:colOff>
      <xdr:row>90</xdr:row>
      <xdr:rowOff>1059656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F08FDD3-8487-4D2B-9FED-3AECF2AC6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524126" y="101607938"/>
          <a:ext cx="750093" cy="928687"/>
        </a:xfrm>
        <a:prstGeom prst="rect">
          <a:avLst/>
        </a:prstGeom>
      </xdr:spPr>
    </xdr:pic>
    <xdr:clientData/>
  </xdr:twoCellAnchor>
  <xdr:oneCellAnchor>
    <xdr:from>
      <xdr:col>8</xdr:col>
      <xdr:colOff>119062</xdr:colOff>
      <xdr:row>91</xdr:row>
      <xdr:rowOff>71438</xdr:rowOff>
    </xdr:from>
    <xdr:ext cx="690562" cy="881062"/>
    <xdr:pic>
      <xdr:nvPicPr>
        <xdr:cNvPr id="78" name="Picture 77">
          <a:extLst>
            <a:ext uri="{FF2B5EF4-FFF2-40B4-BE49-F238E27FC236}">
              <a16:creationId xmlns:a16="http://schemas.microsoft.com/office/drawing/2014/main" id="{D1595051-5809-4B23-BE74-2BB422F1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563812" y="98575813"/>
          <a:ext cx="690562" cy="881062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92</xdr:row>
      <xdr:rowOff>59533</xdr:rowOff>
    </xdr:from>
    <xdr:ext cx="750093" cy="607218"/>
    <xdr:pic>
      <xdr:nvPicPr>
        <xdr:cNvPr id="79" name="Picture 78">
          <a:extLst>
            <a:ext uri="{FF2B5EF4-FFF2-40B4-BE49-F238E27FC236}">
              <a16:creationId xmlns:a16="http://schemas.microsoft.com/office/drawing/2014/main" id="{15122965-1C74-4D04-AFAE-863106711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88594" y="60579002"/>
          <a:ext cx="750093" cy="607218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93</xdr:row>
      <xdr:rowOff>83344</xdr:rowOff>
    </xdr:from>
    <xdr:ext cx="803413" cy="547688"/>
    <xdr:pic>
      <xdr:nvPicPr>
        <xdr:cNvPr id="80" name="Picture 79">
          <a:extLst>
            <a:ext uri="{FF2B5EF4-FFF2-40B4-BE49-F238E27FC236}">
              <a16:creationId xmlns:a16="http://schemas.microsoft.com/office/drawing/2014/main" id="{8BF96BA7-48F4-47F0-9400-0409C3056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940969" y="61293375"/>
          <a:ext cx="803413" cy="547688"/>
        </a:xfrm>
        <a:prstGeom prst="rect">
          <a:avLst/>
        </a:prstGeom>
      </xdr:spPr>
    </xdr:pic>
    <xdr:clientData/>
  </xdr:oneCellAnchor>
  <xdr:oneCellAnchor>
    <xdr:from>
      <xdr:col>8</xdr:col>
      <xdr:colOff>83344</xdr:colOff>
      <xdr:row>94</xdr:row>
      <xdr:rowOff>35720</xdr:rowOff>
    </xdr:from>
    <xdr:ext cx="836544" cy="571500"/>
    <xdr:pic>
      <xdr:nvPicPr>
        <xdr:cNvPr id="81" name="Picture 80">
          <a:extLst>
            <a:ext uri="{FF2B5EF4-FFF2-40B4-BE49-F238E27FC236}">
              <a16:creationId xmlns:a16="http://schemas.microsoft.com/office/drawing/2014/main" id="{72B0AE75-4A8C-4F14-9457-D589F2B5A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76688" y="61936314"/>
          <a:ext cx="836544" cy="571500"/>
        </a:xfrm>
        <a:prstGeom prst="rect">
          <a:avLst/>
        </a:prstGeom>
      </xdr:spPr>
    </xdr:pic>
    <xdr:clientData/>
  </xdr:oneCellAnchor>
  <xdr:twoCellAnchor editAs="oneCell">
    <xdr:from>
      <xdr:col>8</xdr:col>
      <xdr:colOff>59532</xdr:colOff>
      <xdr:row>95</xdr:row>
      <xdr:rowOff>59532</xdr:rowOff>
    </xdr:from>
    <xdr:to>
      <xdr:col>8</xdr:col>
      <xdr:colOff>891760</xdr:colOff>
      <xdr:row>95</xdr:row>
      <xdr:rowOff>1321594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F3F51BD6-3198-47DE-A90C-791779B3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512220" y="106763345"/>
          <a:ext cx="828259" cy="1262062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96</xdr:row>
      <xdr:rowOff>7938</xdr:rowOff>
    </xdr:from>
    <xdr:to>
      <xdr:col>8</xdr:col>
      <xdr:colOff>828260</xdr:colOff>
      <xdr:row>96</xdr:row>
      <xdr:rowOff>1476376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3F51BD6-3198-47DE-A90C-791779B3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52689" y="108271469"/>
          <a:ext cx="828259" cy="1468438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238126</xdr:colOff>
      <xdr:row>112</xdr:row>
      <xdr:rowOff>202406</xdr:rowOff>
    </xdr:from>
    <xdr:to>
      <xdr:col>8</xdr:col>
      <xdr:colOff>920750</xdr:colOff>
      <xdr:row>112</xdr:row>
      <xdr:rowOff>1214438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A164A7C-F782-48E6-9781-FC71E358B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607595" y="77688281"/>
          <a:ext cx="678655" cy="1012032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113</xdr:row>
      <xdr:rowOff>23812</xdr:rowOff>
    </xdr:from>
    <xdr:to>
      <xdr:col>8</xdr:col>
      <xdr:colOff>785812</xdr:colOff>
      <xdr:row>113</xdr:row>
      <xdr:rowOff>1345406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66E8A87-B119-40C7-B37D-C74DC54F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559844" y="130540125"/>
          <a:ext cx="678656" cy="1321594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</xdr:colOff>
      <xdr:row>110</xdr:row>
      <xdr:rowOff>273844</xdr:rowOff>
    </xdr:from>
    <xdr:to>
      <xdr:col>8</xdr:col>
      <xdr:colOff>785812</xdr:colOff>
      <xdr:row>110</xdr:row>
      <xdr:rowOff>928687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DA20480-E0BA-469F-8A7D-9C3C046A1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36094" y="125194219"/>
          <a:ext cx="773906" cy="654843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111</xdr:row>
      <xdr:rowOff>71438</xdr:rowOff>
    </xdr:from>
    <xdr:to>
      <xdr:col>8</xdr:col>
      <xdr:colOff>932657</xdr:colOff>
      <xdr:row>111</xdr:row>
      <xdr:rowOff>678657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580CB13-67AF-4856-895E-D9083430B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107532" y="71520844"/>
          <a:ext cx="881062" cy="607219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66</xdr:row>
      <xdr:rowOff>47625</xdr:rowOff>
    </xdr:from>
    <xdr:to>
      <xdr:col>8</xdr:col>
      <xdr:colOff>773906</xdr:colOff>
      <xdr:row>66</xdr:row>
      <xdr:rowOff>1360714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71750" y="74640281"/>
          <a:ext cx="654844" cy="1313089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130969</xdr:colOff>
      <xdr:row>59</xdr:row>
      <xdr:rowOff>23812</xdr:rowOff>
    </xdr:from>
    <xdr:to>
      <xdr:col>8</xdr:col>
      <xdr:colOff>854869</xdr:colOff>
      <xdr:row>59</xdr:row>
      <xdr:rowOff>681037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024313" y="39004875"/>
          <a:ext cx="723900" cy="657225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60</xdr:row>
      <xdr:rowOff>119063</xdr:rowOff>
    </xdr:from>
    <xdr:to>
      <xdr:col>8</xdr:col>
      <xdr:colOff>842963</xdr:colOff>
      <xdr:row>60</xdr:row>
      <xdr:rowOff>776288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679032" y="46660594"/>
          <a:ext cx="723900" cy="657225"/>
        </a:xfrm>
        <a:prstGeom prst="rect">
          <a:avLst/>
        </a:prstGeom>
      </xdr:spPr>
    </xdr:pic>
    <xdr:clientData/>
  </xdr:twoCellAnchor>
  <xdr:twoCellAnchor editAs="oneCell">
    <xdr:from>
      <xdr:col>8</xdr:col>
      <xdr:colOff>146276</xdr:colOff>
      <xdr:row>61</xdr:row>
      <xdr:rowOff>137774</xdr:rowOff>
    </xdr:from>
    <xdr:to>
      <xdr:col>8</xdr:col>
      <xdr:colOff>870857</xdr:colOff>
      <xdr:row>61</xdr:row>
      <xdr:rowOff>1183822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180669" y="71180667"/>
          <a:ext cx="724581" cy="1046048"/>
        </a:xfrm>
        <a:prstGeom prst="rect">
          <a:avLst/>
        </a:prstGeom>
      </xdr:spPr>
    </xdr:pic>
    <xdr:clientData/>
  </xdr:twoCellAnchor>
  <xdr:oneCellAnchor>
    <xdr:from>
      <xdr:col>8</xdr:col>
      <xdr:colOff>107157</xdr:colOff>
      <xdr:row>81</xdr:row>
      <xdr:rowOff>119062</xdr:rowOff>
    </xdr:from>
    <xdr:ext cx="809625" cy="1131093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667126" y="64043718"/>
          <a:ext cx="809625" cy="1131093"/>
        </a:xfrm>
        <a:prstGeom prst="rect">
          <a:avLst/>
        </a:prstGeom>
      </xdr:spPr>
    </xdr:pic>
    <xdr:clientData/>
  </xdr:oneCellAnchor>
  <xdr:twoCellAnchor>
    <xdr:from>
      <xdr:col>8</xdr:col>
      <xdr:colOff>95250</xdr:colOff>
      <xdr:row>80</xdr:row>
      <xdr:rowOff>83344</xdr:rowOff>
    </xdr:from>
    <xdr:to>
      <xdr:col>8</xdr:col>
      <xdr:colOff>1206500</xdr:colOff>
      <xdr:row>80</xdr:row>
      <xdr:rowOff>3429000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540000" y="86617969"/>
          <a:ext cx="1111250" cy="3345656"/>
        </a:xfrm>
        <a:prstGeom prst="rect">
          <a:avLst/>
        </a:prstGeom>
      </xdr:spPr>
    </xdr:pic>
    <xdr:clientData/>
  </xdr:twoCellAnchor>
  <xdr:oneCellAnchor>
    <xdr:from>
      <xdr:col>8</xdr:col>
      <xdr:colOff>212611</xdr:colOff>
      <xdr:row>116</xdr:row>
      <xdr:rowOff>216017</xdr:rowOff>
    </xdr:from>
    <xdr:ext cx="501763" cy="1059654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665299" y="131613392"/>
          <a:ext cx="501763" cy="1059654"/>
        </a:xfrm>
        <a:prstGeom prst="rect">
          <a:avLst/>
        </a:prstGeom>
      </xdr:spPr>
    </xdr:pic>
    <xdr:clientData/>
  </xdr:oneCellAnchor>
  <xdr:twoCellAnchor editAs="oneCell">
    <xdr:from>
      <xdr:col>8</xdr:col>
      <xdr:colOff>83342</xdr:colOff>
      <xdr:row>53</xdr:row>
      <xdr:rowOff>71437</xdr:rowOff>
    </xdr:from>
    <xdr:to>
      <xdr:col>8</xdr:col>
      <xdr:colOff>761999</xdr:colOff>
      <xdr:row>53</xdr:row>
      <xdr:rowOff>631031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143248" y="31337250"/>
          <a:ext cx="678657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54</xdr:row>
      <xdr:rowOff>59532</xdr:rowOff>
    </xdr:from>
    <xdr:to>
      <xdr:col>8</xdr:col>
      <xdr:colOff>773907</xdr:colOff>
      <xdr:row>54</xdr:row>
      <xdr:rowOff>619126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155156" y="32015907"/>
          <a:ext cx="678657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117</xdr:row>
      <xdr:rowOff>59532</xdr:rowOff>
    </xdr:from>
    <xdr:to>
      <xdr:col>8</xdr:col>
      <xdr:colOff>678656</xdr:colOff>
      <xdr:row>117</xdr:row>
      <xdr:rowOff>802822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18D537E-D084-4E92-B354-E9BD3317B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524126" y="133516688"/>
          <a:ext cx="607218" cy="743290"/>
        </a:xfrm>
        <a:prstGeom prst="rect">
          <a:avLst/>
        </a:prstGeom>
      </xdr:spPr>
    </xdr:pic>
    <xdr:clientData/>
  </xdr:twoCellAnchor>
  <xdr:twoCellAnchor editAs="oneCell">
    <xdr:from>
      <xdr:col>8</xdr:col>
      <xdr:colOff>154779</xdr:colOff>
      <xdr:row>114</xdr:row>
      <xdr:rowOff>59529</xdr:rowOff>
    </xdr:from>
    <xdr:to>
      <xdr:col>8</xdr:col>
      <xdr:colOff>750093</xdr:colOff>
      <xdr:row>114</xdr:row>
      <xdr:rowOff>1156606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607467" y="131945060"/>
          <a:ext cx="595314" cy="1097077"/>
        </a:xfrm>
        <a:prstGeom prst="rect">
          <a:avLst/>
        </a:prstGeom>
      </xdr:spPr>
    </xdr:pic>
    <xdr:clientData/>
  </xdr:twoCellAnchor>
  <xdr:oneCellAnchor>
    <xdr:from>
      <xdr:col>8</xdr:col>
      <xdr:colOff>154782</xdr:colOff>
      <xdr:row>73</xdr:row>
      <xdr:rowOff>59531</xdr:rowOff>
    </xdr:from>
    <xdr:ext cx="638175" cy="904875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631532" y="51637406"/>
          <a:ext cx="638175" cy="904875"/>
        </a:xfrm>
        <a:prstGeom prst="rect">
          <a:avLst/>
        </a:prstGeom>
      </xdr:spPr>
    </xdr:pic>
    <xdr:clientData/>
  </xdr:oneCellAnchor>
  <xdr:twoCellAnchor editAs="oneCell">
    <xdr:from>
      <xdr:col>8</xdr:col>
      <xdr:colOff>107156</xdr:colOff>
      <xdr:row>74</xdr:row>
      <xdr:rowOff>95250</xdr:rowOff>
    </xdr:from>
    <xdr:to>
      <xdr:col>8</xdr:col>
      <xdr:colOff>892175</xdr:colOff>
      <xdr:row>74</xdr:row>
      <xdr:rowOff>676275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26606" y="70418325"/>
          <a:ext cx="781050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107157</xdr:colOff>
      <xdr:row>76</xdr:row>
      <xdr:rowOff>23812</xdr:rowOff>
    </xdr:from>
    <xdr:to>
      <xdr:col>8</xdr:col>
      <xdr:colOff>908844</xdr:colOff>
      <xdr:row>76</xdr:row>
      <xdr:rowOff>631030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67126" y="55387875"/>
          <a:ext cx="797718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115</xdr:row>
      <xdr:rowOff>226219</xdr:rowOff>
    </xdr:from>
    <xdr:to>
      <xdr:col>8</xdr:col>
      <xdr:colOff>873125</xdr:colOff>
      <xdr:row>115</xdr:row>
      <xdr:rowOff>773906</xdr:rowOff>
    </xdr:to>
    <xdr:pic>
      <xdr:nvPicPr>
        <xdr:cNvPr id="10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0813" y="133326188"/>
          <a:ext cx="631031" cy="547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917122</xdr:colOff>
      <xdr:row>62</xdr:row>
      <xdr:rowOff>163285</xdr:rowOff>
    </xdr:from>
    <xdr:to>
      <xdr:col>8</xdr:col>
      <xdr:colOff>966810</xdr:colOff>
      <xdr:row>63</xdr:row>
      <xdr:rowOff>27214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951515" y="72471642"/>
          <a:ext cx="49688" cy="557893"/>
        </a:xfrm>
        <a:prstGeom prst="rect">
          <a:avLst/>
        </a:prstGeom>
      </xdr:spPr>
    </xdr:pic>
    <xdr:clientData/>
  </xdr:twoCellAnchor>
  <xdr:twoCellAnchor editAs="oneCell">
    <xdr:from>
      <xdr:col>7</xdr:col>
      <xdr:colOff>426585</xdr:colOff>
      <xdr:row>62</xdr:row>
      <xdr:rowOff>110558</xdr:rowOff>
    </xdr:from>
    <xdr:to>
      <xdr:col>9</xdr:col>
      <xdr:colOff>0</xdr:colOff>
      <xdr:row>62</xdr:row>
      <xdr:rowOff>668451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025549" y="72418915"/>
          <a:ext cx="988558" cy="557893"/>
        </a:xfrm>
        <a:prstGeom prst="rect">
          <a:avLst/>
        </a:prstGeom>
      </xdr:spPr>
    </xdr:pic>
    <xdr:clientData/>
  </xdr:twoCellAnchor>
  <xdr:twoCellAnchor editAs="oneCell">
    <xdr:from>
      <xdr:col>8</xdr:col>
      <xdr:colOff>236084</xdr:colOff>
      <xdr:row>64</xdr:row>
      <xdr:rowOff>692263</xdr:rowOff>
    </xdr:from>
    <xdr:to>
      <xdr:col>8</xdr:col>
      <xdr:colOff>925286</xdr:colOff>
      <xdr:row>64</xdr:row>
      <xdr:rowOff>1646464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270477" y="74701513"/>
          <a:ext cx="689202" cy="954201"/>
        </a:xfrm>
        <a:prstGeom prst="rect">
          <a:avLst/>
        </a:prstGeom>
      </xdr:spPr>
    </xdr:pic>
    <xdr:clientData/>
  </xdr:twoCellAnchor>
  <xdr:twoCellAnchor editAs="oneCell">
    <xdr:from>
      <xdr:col>8</xdr:col>
      <xdr:colOff>137772</xdr:colOff>
      <xdr:row>65</xdr:row>
      <xdr:rowOff>51026</xdr:rowOff>
    </xdr:from>
    <xdr:to>
      <xdr:col>8</xdr:col>
      <xdr:colOff>898071</xdr:colOff>
      <xdr:row>65</xdr:row>
      <xdr:rowOff>1404937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161960" y="75929557"/>
          <a:ext cx="760299" cy="135391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63</xdr:row>
      <xdr:rowOff>81643</xdr:rowOff>
    </xdr:from>
    <xdr:to>
      <xdr:col>8</xdr:col>
      <xdr:colOff>870857</xdr:colOff>
      <xdr:row>63</xdr:row>
      <xdr:rowOff>639536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034393" y="73083964"/>
          <a:ext cx="870857" cy="557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40821</xdr:colOff>
      <xdr:row>12</xdr:row>
      <xdr:rowOff>68037</xdr:rowOff>
    </xdr:from>
    <xdr:to>
      <xdr:col>9</xdr:col>
      <xdr:colOff>17008</xdr:colOff>
      <xdr:row>12</xdr:row>
      <xdr:rowOff>857251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9392" y="10491108"/>
          <a:ext cx="833437" cy="789214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</xdr:colOff>
      <xdr:row>38</xdr:row>
      <xdr:rowOff>108857</xdr:rowOff>
    </xdr:from>
    <xdr:to>
      <xdr:col>8</xdr:col>
      <xdr:colOff>802821</xdr:colOff>
      <xdr:row>38</xdr:row>
      <xdr:rowOff>657225</xdr:rowOff>
    </xdr:to>
    <xdr:pic>
      <xdr:nvPicPr>
        <xdr:cNvPr id="3" name="Picture 2" descr="C:\Users\rana.NFLBD\AppData\Local\Microsoft\Windows\Temporary Internet Files\Content.Word\EX4_SS20_2-9-B_001 _ 107142_825-Mø_15-1020TCX_825-mø_AOP INFO SHEET_15-1020 TCX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392" y="27989893"/>
          <a:ext cx="762000" cy="5483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8</xdr:col>
      <xdr:colOff>68035</xdr:colOff>
      <xdr:row>37</xdr:row>
      <xdr:rowOff>68036</xdr:rowOff>
    </xdr:from>
    <xdr:ext cx="619125" cy="557893"/>
    <xdr:pic>
      <xdr:nvPicPr>
        <xdr:cNvPr id="4" name="Picture 3" descr="C:\Users\rana.NFLBD\AppData\Local\Microsoft\Windows\Temporary Internet Files\Content.Word\EX4_SS20_2-9-B_001 _ 107142_825-Mø_15-1020TCX_825-mø_AOP INFO SHEET_15-1020 TCX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606" y="27255107"/>
          <a:ext cx="619125" cy="557893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8</xdr:col>
      <xdr:colOff>136072</xdr:colOff>
      <xdr:row>4</xdr:row>
      <xdr:rowOff>136073</xdr:rowOff>
    </xdr:from>
    <xdr:to>
      <xdr:col>8</xdr:col>
      <xdr:colOff>734786</xdr:colOff>
      <xdr:row>4</xdr:row>
      <xdr:rowOff>802823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F8F0C9-7AF2-4F03-97FB-71CD8F83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0643" y="2095502"/>
          <a:ext cx="598714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122465</xdr:colOff>
      <xdr:row>5</xdr:row>
      <xdr:rowOff>68035</xdr:rowOff>
    </xdr:from>
    <xdr:to>
      <xdr:col>8</xdr:col>
      <xdr:colOff>816429</xdr:colOff>
      <xdr:row>5</xdr:row>
      <xdr:rowOff>653142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ADCC0F-04F4-443B-B21B-F0F9B56E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7036" y="3034392"/>
          <a:ext cx="693964" cy="585107"/>
        </a:xfrm>
        <a:prstGeom prst="rect">
          <a:avLst/>
        </a:prstGeom>
      </xdr:spPr>
    </xdr:pic>
    <xdr:clientData/>
  </xdr:twoCellAnchor>
  <xdr:oneCellAnchor>
    <xdr:from>
      <xdr:col>8</xdr:col>
      <xdr:colOff>149678</xdr:colOff>
      <xdr:row>6</xdr:row>
      <xdr:rowOff>190500</xdr:rowOff>
    </xdr:from>
    <xdr:ext cx="612322" cy="653143"/>
    <xdr:pic>
      <xdr:nvPicPr>
        <xdr:cNvPr id="7" name="Picture 6">
          <a:extLst>
            <a:ext uri="{FF2B5EF4-FFF2-40B4-BE49-F238E27FC236}">
              <a16:creationId xmlns:a16="http://schemas.microsoft.com/office/drawing/2014/main" id="{9418501A-5F2E-46F3-9077-2C5BC52E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4249" y="4163786"/>
          <a:ext cx="612322" cy="653143"/>
        </a:xfrm>
        <a:prstGeom prst="rect">
          <a:avLst/>
        </a:prstGeom>
      </xdr:spPr>
    </xdr:pic>
    <xdr:clientData/>
  </xdr:oneCellAnchor>
  <xdr:oneCellAnchor>
    <xdr:from>
      <xdr:col>8</xdr:col>
      <xdr:colOff>81643</xdr:colOff>
      <xdr:row>7</xdr:row>
      <xdr:rowOff>81642</xdr:rowOff>
    </xdr:from>
    <xdr:ext cx="666750" cy="585107"/>
    <xdr:pic>
      <xdr:nvPicPr>
        <xdr:cNvPr id="8" name="Picture 7">
          <a:extLst>
            <a:ext uri="{FF2B5EF4-FFF2-40B4-BE49-F238E27FC236}">
              <a16:creationId xmlns:a16="http://schemas.microsoft.com/office/drawing/2014/main" id="{C5A88F05-50DF-47A7-A066-309AA6151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6214" y="5061856"/>
          <a:ext cx="666750" cy="585107"/>
        </a:xfrm>
        <a:prstGeom prst="rect">
          <a:avLst/>
        </a:prstGeom>
      </xdr:spPr>
    </xdr:pic>
    <xdr:clientData/>
  </xdr:oneCellAnchor>
  <xdr:oneCellAnchor>
    <xdr:from>
      <xdr:col>8</xdr:col>
      <xdr:colOff>81643</xdr:colOff>
      <xdr:row>8</xdr:row>
      <xdr:rowOff>54429</xdr:rowOff>
    </xdr:from>
    <xdr:ext cx="653143" cy="557893"/>
    <xdr:pic>
      <xdr:nvPicPr>
        <xdr:cNvPr id="9" name="Picture 8">
          <a:extLst>
            <a:ext uri="{FF2B5EF4-FFF2-40B4-BE49-F238E27FC236}">
              <a16:creationId xmlns:a16="http://schemas.microsoft.com/office/drawing/2014/main" id="{35FA5F88-3771-4C7C-80E3-7ECC522BE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80214" y="5197929"/>
          <a:ext cx="653143" cy="557893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9</xdr:row>
      <xdr:rowOff>108857</xdr:rowOff>
    </xdr:from>
    <xdr:ext cx="612322" cy="476250"/>
    <xdr:pic>
      <xdr:nvPicPr>
        <xdr:cNvPr id="10" name="Picture 9">
          <a:extLst>
            <a:ext uri="{FF2B5EF4-FFF2-40B4-BE49-F238E27FC236}">
              <a16:creationId xmlns:a16="http://schemas.microsoft.com/office/drawing/2014/main" id="{07590D50-96F2-4EB5-B892-FB91AB18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9821" y="7102928"/>
          <a:ext cx="612322" cy="476250"/>
        </a:xfrm>
        <a:prstGeom prst="rect">
          <a:avLst/>
        </a:prstGeom>
      </xdr:spPr>
    </xdr:pic>
    <xdr:clientData/>
  </xdr:oneCellAnchor>
  <xdr:twoCellAnchor editAs="oneCell">
    <xdr:from>
      <xdr:col>8</xdr:col>
      <xdr:colOff>81644</xdr:colOff>
      <xdr:row>10</xdr:row>
      <xdr:rowOff>136071</xdr:rowOff>
    </xdr:from>
    <xdr:to>
      <xdr:col>8</xdr:col>
      <xdr:colOff>734786</xdr:colOff>
      <xdr:row>10</xdr:row>
      <xdr:rowOff>898071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56215" y="8137071"/>
          <a:ext cx="653142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149679</xdr:colOff>
      <xdr:row>11</xdr:row>
      <xdr:rowOff>122465</xdr:rowOff>
    </xdr:from>
    <xdr:to>
      <xdr:col>8</xdr:col>
      <xdr:colOff>843643</xdr:colOff>
      <xdr:row>11</xdr:row>
      <xdr:rowOff>843643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00" y="9538608"/>
          <a:ext cx="693964" cy="721178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231322</xdr:colOff>
      <xdr:row>13</xdr:row>
      <xdr:rowOff>217714</xdr:rowOff>
    </xdr:from>
    <xdr:to>
      <xdr:col>8</xdr:col>
      <xdr:colOff>816430</xdr:colOff>
      <xdr:row>13</xdr:row>
      <xdr:rowOff>857250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BAF75C2-B816-6B95-7055-F3DEA4130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7393" y="11647714"/>
          <a:ext cx="585108" cy="63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163285</xdr:colOff>
      <xdr:row>14</xdr:row>
      <xdr:rowOff>163284</xdr:rowOff>
    </xdr:from>
    <xdr:to>
      <xdr:col>9</xdr:col>
      <xdr:colOff>0</xdr:colOff>
      <xdr:row>14</xdr:row>
      <xdr:rowOff>1415141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F0D726-23D8-FEE2-DE32-D3B8B7518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356" y="12600213"/>
          <a:ext cx="693965" cy="1251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95249</xdr:colOff>
      <xdr:row>15</xdr:row>
      <xdr:rowOff>122463</xdr:rowOff>
    </xdr:from>
    <xdr:to>
      <xdr:col>8</xdr:col>
      <xdr:colOff>816429</xdr:colOff>
      <xdr:row>15</xdr:row>
      <xdr:rowOff>2013856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820" y="14505213"/>
          <a:ext cx="721180" cy="1891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154215</xdr:colOff>
      <xdr:row>34</xdr:row>
      <xdr:rowOff>308428</xdr:rowOff>
    </xdr:from>
    <xdr:to>
      <xdr:col>8</xdr:col>
      <xdr:colOff>816429</xdr:colOff>
      <xdr:row>34</xdr:row>
      <xdr:rowOff>2027464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05C0731-A5B2-7CC8-BBD8-61A5BBE8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8465" y="22406428"/>
          <a:ext cx="662214" cy="171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54429</xdr:colOff>
      <xdr:row>35</xdr:row>
      <xdr:rowOff>81644</xdr:rowOff>
    </xdr:from>
    <xdr:to>
      <xdr:col>8</xdr:col>
      <xdr:colOff>816429</xdr:colOff>
      <xdr:row>35</xdr:row>
      <xdr:rowOff>1047750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D8B053A-B15F-78C5-2530-7F5259498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22383751"/>
          <a:ext cx="762000" cy="966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81644</xdr:colOff>
      <xdr:row>36</xdr:row>
      <xdr:rowOff>95250</xdr:rowOff>
    </xdr:from>
    <xdr:to>
      <xdr:col>8</xdr:col>
      <xdr:colOff>816429</xdr:colOff>
      <xdr:row>36</xdr:row>
      <xdr:rowOff>938893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C7E35CE-491F-097E-05FC-3FD7409C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7715" y="35147250"/>
          <a:ext cx="734785" cy="843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176894</xdr:colOff>
      <xdr:row>62</xdr:row>
      <xdr:rowOff>312964</xdr:rowOff>
    </xdr:from>
    <xdr:to>
      <xdr:col>9</xdr:col>
      <xdr:colOff>40822</xdr:colOff>
      <xdr:row>62</xdr:row>
      <xdr:rowOff>1537607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6342F0-416C-ADDA-8557-49393ACE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965" y="42617571"/>
          <a:ext cx="721178" cy="1224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40822</xdr:colOff>
      <xdr:row>66</xdr:row>
      <xdr:rowOff>163286</xdr:rowOff>
    </xdr:from>
    <xdr:ext cx="802822" cy="1537607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86893" y="49720500"/>
          <a:ext cx="802822" cy="1537607"/>
        </a:xfrm>
        <a:prstGeom prst="rect">
          <a:avLst/>
        </a:prstGeom>
      </xdr:spPr>
    </xdr:pic>
    <xdr:clientData/>
  </xdr:oneCellAnchor>
  <xdr:twoCellAnchor editAs="oneCell">
    <xdr:from>
      <xdr:col>8</xdr:col>
      <xdr:colOff>95249</xdr:colOff>
      <xdr:row>67</xdr:row>
      <xdr:rowOff>40820</xdr:rowOff>
    </xdr:from>
    <xdr:to>
      <xdr:col>8</xdr:col>
      <xdr:colOff>762000</xdr:colOff>
      <xdr:row>67</xdr:row>
      <xdr:rowOff>1170213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41320" y="40766999"/>
          <a:ext cx="666751" cy="1129393"/>
        </a:xfrm>
        <a:prstGeom prst="rect">
          <a:avLst/>
        </a:prstGeom>
      </xdr:spPr>
    </xdr:pic>
    <xdr:clientData/>
  </xdr:twoCellAnchor>
  <xdr:oneCellAnchor>
    <xdr:from>
      <xdr:col>8</xdr:col>
      <xdr:colOff>81643</xdr:colOff>
      <xdr:row>69</xdr:row>
      <xdr:rowOff>68035</xdr:rowOff>
    </xdr:from>
    <xdr:ext cx="680357" cy="612321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34643" y="38236071"/>
          <a:ext cx="680357" cy="612321"/>
        </a:xfrm>
        <a:prstGeom prst="rect">
          <a:avLst/>
        </a:prstGeom>
      </xdr:spPr>
    </xdr:pic>
    <xdr:clientData/>
  </xdr:oneCellAnchor>
  <xdr:twoCellAnchor editAs="oneCell">
    <xdr:from>
      <xdr:col>8</xdr:col>
      <xdr:colOff>149679</xdr:colOff>
      <xdr:row>68</xdr:row>
      <xdr:rowOff>108858</xdr:rowOff>
    </xdr:from>
    <xdr:to>
      <xdr:col>8</xdr:col>
      <xdr:colOff>721179</xdr:colOff>
      <xdr:row>68</xdr:row>
      <xdr:rowOff>1047750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24250" y="41542608"/>
          <a:ext cx="571500" cy="938892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122465</xdr:colOff>
      <xdr:row>70</xdr:row>
      <xdr:rowOff>95250</xdr:rowOff>
    </xdr:from>
    <xdr:to>
      <xdr:col>8</xdr:col>
      <xdr:colOff>789215</xdr:colOff>
      <xdr:row>70</xdr:row>
      <xdr:rowOff>693964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75465" y="40059429"/>
          <a:ext cx="666750" cy="598714"/>
        </a:xfrm>
        <a:prstGeom prst="rect">
          <a:avLst/>
        </a:prstGeom>
      </xdr:spPr>
    </xdr:pic>
    <xdr:clientData/>
  </xdr:twoCellAnchor>
  <xdr:twoCellAnchor editAs="oneCell">
    <xdr:from>
      <xdr:col>8</xdr:col>
      <xdr:colOff>54429</xdr:colOff>
      <xdr:row>71</xdr:row>
      <xdr:rowOff>54429</xdr:rowOff>
    </xdr:from>
    <xdr:to>
      <xdr:col>9</xdr:col>
      <xdr:colOff>0</xdr:colOff>
      <xdr:row>71</xdr:row>
      <xdr:rowOff>884464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00500" y="57258858"/>
          <a:ext cx="802821" cy="830035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136071</xdr:colOff>
      <xdr:row>72</xdr:row>
      <xdr:rowOff>81643</xdr:rowOff>
    </xdr:from>
    <xdr:to>
      <xdr:col>8</xdr:col>
      <xdr:colOff>762001</xdr:colOff>
      <xdr:row>72</xdr:row>
      <xdr:rowOff>1254125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10642" y="45992143"/>
          <a:ext cx="625930" cy="1172482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73</xdr:row>
      <xdr:rowOff>163286</xdr:rowOff>
    </xdr:from>
    <xdr:to>
      <xdr:col>8</xdr:col>
      <xdr:colOff>841963</xdr:colOff>
      <xdr:row>73</xdr:row>
      <xdr:rowOff>673937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021035" y="64348179"/>
          <a:ext cx="719499" cy="510651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75</xdr:row>
      <xdr:rowOff>95250</xdr:rowOff>
    </xdr:from>
    <xdr:to>
      <xdr:col>8</xdr:col>
      <xdr:colOff>748393</xdr:colOff>
      <xdr:row>75</xdr:row>
      <xdr:rowOff>684469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37857" y="50019857"/>
          <a:ext cx="585107" cy="589219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74</xdr:row>
      <xdr:rowOff>95250</xdr:rowOff>
    </xdr:from>
    <xdr:to>
      <xdr:col>8</xdr:col>
      <xdr:colOff>789214</xdr:colOff>
      <xdr:row>74</xdr:row>
      <xdr:rowOff>680357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6714" y="50237571"/>
          <a:ext cx="666750" cy="585107"/>
        </a:xfrm>
        <a:prstGeom prst="rect">
          <a:avLst/>
        </a:prstGeom>
      </xdr:spPr>
    </xdr:pic>
    <xdr:clientData/>
  </xdr:twoCellAnchor>
  <xdr:twoCellAnchor editAs="oneCell">
    <xdr:from>
      <xdr:col>8</xdr:col>
      <xdr:colOff>122464</xdr:colOff>
      <xdr:row>76</xdr:row>
      <xdr:rowOff>149679</xdr:rowOff>
    </xdr:from>
    <xdr:to>
      <xdr:col>8</xdr:col>
      <xdr:colOff>841963</xdr:colOff>
      <xdr:row>76</xdr:row>
      <xdr:rowOff>660330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68535" y="54564643"/>
          <a:ext cx="719499" cy="510651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77</xdr:row>
      <xdr:rowOff>272143</xdr:rowOff>
    </xdr:from>
    <xdr:to>
      <xdr:col>8</xdr:col>
      <xdr:colOff>734786</xdr:colOff>
      <xdr:row>77</xdr:row>
      <xdr:rowOff>1728107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19499" y="54197250"/>
          <a:ext cx="639537" cy="145596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63</xdr:row>
      <xdr:rowOff>68036</xdr:rowOff>
    </xdr:from>
    <xdr:to>
      <xdr:col>8</xdr:col>
      <xdr:colOff>802822</xdr:colOff>
      <xdr:row>63</xdr:row>
      <xdr:rowOff>836828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69820" y="33051750"/>
          <a:ext cx="707573" cy="768792"/>
        </a:xfrm>
        <a:prstGeom prst="rect">
          <a:avLst/>
        </a:prstGeom>
      </xdr:spPr>
    </xdr:pic>
    <xdr:clientData/>
  </xdr:twoCellAnchor>
  <xdr:twoCellAnchor editAs="oneCell">
    <xdr:from>
      <xdr:col>8</xdr:col>
      <xdr:colOff>81644</xdr:colOff>
      <xdr:row>64</xdr:row>
      <xdr:rowOff>81643</xdr:rowOff>
    </xdr:from>
    <xdr:to>
      <xdr:col>8</xdr:col>
      <xdr:colOff>748394</xdr:colOff>
      <xdr:row>64</xdr:row>
      <xdr:rowOff>1156607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56215" y="34004250"/>
          <a:ext cx="666750" cy="107496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65</xdr:row>
      <xdr:rowOff>204106</xdr:rowOff>
    </xdr:from>
    <xdr:to>
      <xdr:col>8</xdr:col>
      <xdr:colOff>843645</xdr:colOff>
      <xdr:row>65</xdr:row>
      <xdr:rowOff>1918607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41322" y="47611392"/>
          <a:ext cx="748394" cy="1714501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231322</xdr:colOff>
      <xdr:row>61</xdr:row>
      <xdr:rowOff>54428</xdr:rowOff>
    </xdr:from>
    <xdr:to>
      <xdr:col>9</xdr:col>
      <xdr:colOff>0</xdr:colOff>
      <xdr:row>61</xdr:row>
      <xdr:rowOff>1183821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77393" y="41066357"/>
          <a:ext cx="625928" cy="1129393"/>
        </a:xfrm>
        <a:prstGeom prst="rect">
          <a:avLst/>
        </a:prstGeom>
      </xdr:spPr>
    </xdr:pic>
    <xdr:clientData/>
  </xdr:twoCellAnchor>
  <xdr:twoCellAnchor editAs="oneCell">
    <xdr:from>
      <xdr:col>8</xdr:col>
      <xdr:colOff>190499</xdr:colOff>
      <xdr:row>16</xdr:row>
      <xdr:rowOff>122465</xdr:rowOff>
    </xdr:from>
    <xdr:to>
      <xdr:col>8</xdr:col>
      <xdr:colOff>734786</xdr:colOff>
      <xdr:row>16</xdr:row>
      <xdr:rowOff>1796143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E1DF46C-54F4-DDF7-E82C-D3C92AD0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9" y="16927286"/>
          <a:ext cx="544287" cy="1673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176894</xdr:colOff>
      <xdr:row>17</xdr:row>
      <xdr:rowOff>149678</xdr:rowOff>
    </xdr:from>
    <xdr:to>
      <xdr:col>8</xdr:col>
      <xdr:colOff>721180</xdr:colOff>
      <xdr:row>17</xdr:row>
      <xdr:rowOff>830036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3CF1E04-BF5A-0552-E7C2-AA9406639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1465" y="18151928"/>
          <a:ext cx="544286" cy="680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136071</xdr:colOff>
      <xdr:row>39</xdr:row>
      <xdr:rowOff>40822</xdr:rowOff>
    </xdr:from>
    <xdr:to>
      <xdr:col>8</xdr:col>
      <xdr:colOff>762000</xdr:colOff>
      <xdr:row>39</xdr:row>
      <xdr:rowOff>640896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0642" y="26683608"/>
          <a:ext cx="625929" cy="6000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83343</xdr:colOff>
      <xdr:row>6</xdr:row>
      <xdr:rowOff>119062</xdr:rowOff>
    </xdr:from>
    <xdr:to>
      <xdr:col>8</xdr:col>
      <xdr:colOff>705027</xdr:colOff>
      <xdr:row>6</xdr:row>
      <xdr:rowOff>845343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1093" y="4524375"/>
          <a:ext cx="621684" cy="726281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5</xdr:row>
      <xdr:rowOff>83343</xdr:rowOff>
    </xdr:from>
    <xdr:to>
      <xdr:col>8</xdr:col>
      <xdr:colOff>704326</xdr:colOff>
      <xdr:row>6</xdr:row>
      <xdr:rowOff>1400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9187" y="3476624"/>
          <a:ext cx="632889" cy="930089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4</xdr:row>
      <xdr:rowOff>83344</xdr:rowOff>
    </xdr:from>
    <xdr:to>
      <xdr:col>8</xdr:col>
      <xdr:colOff>703625</xdr:colOff>
      <xdr:row>4</xdr:row>
      <xdr:rowOff>892969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7281" y="2464594"/>
          <a:ext cx="644094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76</xdr:row>
      <xdr:rowOff>142875</xdr:rowOff>
    </xdr:from>
    <xdr:to>
      <xdr:col>8</xdr:col>
      <xdr:colOff>736530</xdr:colOff>
      <xdr:row>76</xdr:row>
      <xdr:rowOff>750094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7" y="88642031"/>
          <a:ext cx="665093" cy="607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77</xdr:row>
      <xdr:rowOff>59531</xdr:rowOff>
    </xdr:from>
    <xdr:to>
      <xdr:col>8</xdr:col>
      <xdr:colOff>732597</xdr:colOff>
      <xdr:row>77</xdr:row>
      <xdr:rowOff>904874</xdr:rowOff>
    </xdr:to>
    <xdr:pic>
      <xdr:nvPicPr>
        <xdr:cNvPr id="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89570719"/>
          <a:ext cx="684972" cy="845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119063</xdr:colOff>
      <xdr:row>78</xdr:row>
      <xdr:rowOff>35719</xdr:rowOff>
    </xdr:from>
    <xdr:to>
      <xdr:col>8</xdr:col>
      <xdr:colOff>784985</xdr:colOff>
      <xdr:row>79</xdr:row>
      <xdr:rowOff>340</xdr:rowOff>
    </xdr:to>
    <xdr:pic>
      <xdr:nvPicPr>
        <xdr:cNvPr id="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6813" y="90558938"/>
          <a:ext cx="665922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71438</xdr:colOff>
      <xdr:row>13</xdr:row>
      <xdr:rowOff>71438</xdr:rowOff>
    </xdr:from>
    <xdr:to>
      <xdr:col>8</xdr:col>
      <xdr:colOff>777537</xdr:colOff>
      <xdr:row>13</xdr:row>
      <xdr:rowOff>904875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1" y="11560969"/>
          <a:ext cx="706099" cy="833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59532</xdr:colOff>
      <xdr:row>12</xdr:row>
      <xdr:rowOff>71437</xdr:rowOff>
    </xdr:from>
    <xdr:to>
      <xdr:col>8</xdr:col>
      <xdr:colOff>802482</xdr:colOff>
      <xdr:row>12</xdr:row>
      <xdr:rowOff>986125</xdr:rowOff>
    </xdr:to>
    <xdr:pic>
      <xdr:nvPicPr>
        <xdr:cNvPr id="9" name="Picture 35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595" y="10548937"/>
          <a:ext cx="742950" cy="914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59531</xdr:colOff>
      <xdr:row>10</xdr:row>
      <xdr:rowOff>202406</xdr:rowOff>
    </xdr:from>
    <xdr:to>
      <xdr:col>8</xdr:col>
      <xdr:colOff>802481</xdr:colOff>
      <xdr:row>10</xdr:row>
      <xdr:rowOff>916780</xdr:rowOff>
    </xdr:to>
    <xdr:pic>
      <xdr:nvPicPr>
        <xdr:cNvPr id="10" name="Picture 3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594" y="8655844"/>
          <a:ext cx="742950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11</xdr:row>
      <xdr:rowOff>35719</xdr:rowOff>
    </xdr:from>
    <xdr:to>
      <xdr:col>8</xdr:col>
      <xdr:colOff>833437</xdr:colOff>
      <xdr:row>11</xdr:row>
      <xdr:rowOff>988219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9469" y="9775032"/>
          <a:ext cx="78581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8</xdr:row>
      <xdr:rowOff>35717</xdr:rowOff>
    </xdr:from>
    <xdr:to>
      <xdr:col>8</xdr:col>
      <xdr:colOff>678656</xdr:colOff>
      <xdr:row>8</xdr:row>
      <xdr:rowOff>857250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8" y="6465092"/>
          <a:ext cx="631031" cy="821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178595</xdr:colOff>
      <xdr:row>30</xdr:row>
      <xdr:rowOff>166686</xdr:rowOff>
    </xdr:from>
    <xdr:to>
      <xdr:col>8</xdr:col>
      <xdr:colOff>845345</xdr:colOff>
      <xdr:row>30</xdr:row>
      <xdr:rowOff>1333500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5220" y="21300280"/>
          <a:ext cx="666750" cy="116681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31</xdr:row>
      <xdr:rowOff>71437</xdr:rowOff>
    </xdr:from>
    <xdr:to>
      <xdr:col>8</xdr:col>
      <xdr:colOff>845344</xdr:colOff>
      <xdr:row>31</xdr:row>
      <xdr:rowOff>833436</xdr:rowOff>
    </xdr:to>
    <xdr:pic>
      <xdr:nvPicPr>
        <xdr:cNvPr id="15" name="Picture 2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22657593"/>
          <a:ext cx="797719" cy="761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59531</xdr:colOff>
      <xdr:row>7</xdr:row>
      <xdr:rowOff>119063</xdr:rowOff>
    </xdr:from>
    <xdr:to>
      <xdr:col>8</xdr:col>
      <xdr:colOff>765632</xdr:colOff>
      <xdr:row>7</xdr:row>
      <xdr:rowOff>857250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69594" y="5536407"/>
          <a:ext cx="706101" cy="73818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9</xdr:row>
      <xdr:rowOff>130969</xdr:rowOff>
    </xdr:from>
    <xdr:to>
      <xdr:col>8</xdr:col>
      <xdr:colOff>762000</xdr:colOff>
      <xdr:row>9</xdr:row>
      <xdr:rowOff>892969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57689" y="7572375"/>
          <a:ext cx="714374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14</xdr:row>
      <xdr:rowOff>95250</xdr:rowOff>
    </xdr:from>
    <xdr:to>
      <xdr:col>8</xdr:col>
      <xdr:colOff>797718</xdr:colOff>
      <xdr:row>14</xdr:row>
      <xdr:rowOff>881062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E39A920-E955-58DC-1A06-64B31DB8B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29000" y="12870656"/>
          <a:ext cx="690562" cy="785812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33</xdr:row>
      <xdr:rowOff>154780</xdr:rowOff>
    </xdr:from>
    <xdr:to>
      <xdr:col>8</xdr:col>
      <xdr:colOff>678656</xdr:colOff>
      <xdr:row>33</xdr:row>
      <xdr:rowOff>892967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98FB6EC-1C40-456F-BEC5-C362B479B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57687" y="31563468"/>
          <a:ext cx="631032" cy="738187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34</xdr:row>
      <xdr:rowOff>154782</xdr:rowOff>
    </xdr:from>
    <xdr:to>
      <xdr:col>8</xdr:col>
      <xdr:colOff>750093</xdr:colOff>
      <xdr:row>34</xdr:row>
      <xdr:rowOff>952500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98FB6EC-1C40-456F-BEC5-C362B479B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74281" y="32087345"/>
          <a:ext cx="678656" cy="797718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107158</xdr:colOff>
      <xdr:row>35</xdr:row>
      <xdr:rowOff>95250</xdr:rowOff>
    </xdr:from>
    <xdr:to>
      <xdr:col>8</xdr:col>
      <xdr:colOff>702470</xdr:colOff>
      <xdr:row>35</xdr:row>
      <xdr:rowOff>1047750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366BB3C-CD6E-43D9-ACB8-8A555E80D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05189" y="26991469"/>
          <a:ext cx="595312" cy="9525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74</xdr:row>
      <xdr:rowOff>142875</xdr:rowOff>
    </xdr:from>
    <xdr:to>
      <xdr:col>8</xdr:col>
      <xdr:colOff>821531</xdr:colOff>
      <xdr:row>74</xdr:row>
      <xdr:rowOff>845344</xdr:rowOff>
    </xdr:to>
    <xdr:pic>
      <xdr:nvPicPr>
        <xdr:cNvPr id="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8531" y="70234969"/>
          <a:ext cx="726281" cy="702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119062</xdr:colOff>
      <xdr:row>73</xdr:row>
      <xdr:rowOff>59531</xdr:rowOff>
    </xdr:from>
    <xdr:to>
      <xdr:col>8</xdr:col>
      <xdr:colOff>762000</xdr:colOff>
      <xdr:row>73</xdr:row>
      <xdr:rowOff>833437</xdr:rowOff>
    </xdr:to>
    <xdr:pic>
      <xdr:nvPicPr>
        <xdr:cNvPr id="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2343" y="69139594"/>
          <a:ext cx="642938" cy="773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59532</xdr:colOff>
      <xdr:row>75</xdr:row>
      <xdr:rowOff>130969</xdr:rowOff>
    </xdr:from>
    <xdr:to>
      <xdr:col>8</xdr:col>
      <xdr:colOff>731252</xdr:colOff>
      <xdr:row>75</xdr:row>
      <xdr:rowOff>845344</xdr:rowOff>
    </xdr:to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595" y="75104625"/>
          <a:ext cx="67172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44</xdr:row>
      <xdr:rowOff>35720</xdr:rowOff>
    </xdr:from>
    <xdr:to>
      <xdr:col>8</xdr:col>
      <xdr:colOff>726281</xdr:colOff>
      <xdr:row>44</xdr:row>
      <xdr:rowOff>952501</xdr:rowOff>
    </xdr:to>
    <xdr:pic>
      <xdr:nvPicPr>
        <xdr:cNvPr id="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8094" y="42088595"/>
          <a:ext cx="631031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119062</xdr:colOff>
      <xdr:row>43</xdr:row>
      <xdr:rowOff>83343</xdr:rowOff>
    </xdr:from>
    <xdr:to>
      <xdr:col>8</xdr:col>
      <xdr:colOff>723278</xdr:colOff>
      <xdr:row>43</xdr:row>
      <xdr:rowOff>869155</xdr:rowOff>
    </xdr:to>
    <xdr:pic>
      <xdr:nvPicPr>
        <xdr:cNvPr id="2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41612343"/>
          <a:ext cx="604216" cy="785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45</xdr:row>
      <xdr:rowOff>119062</xdr:rowOff>
    </xdr:from>
    <xdr:to>
      <xdr:col>8</xdr:col>
      <xdr:colOff>713547</xdr:colOff>
      <xdr:row>45</xdr:row>
      <xdr:rowOff>857249</xdr:rowOff>
    </xdr:to>
    <xdr:pic>
      <xdr:nvPicPr>
        <xdr:cNvPr id="2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8" y="43672125"/>
          <a:ext cx="665922" cy="738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71438</xdr:colOff>
      <xdr:row>79</xdr:row>
      <xdr:rowOff>166687</xdr:rowOff>
    </xdr:from>
    <xdr:to>
      <xdr:col>8</xdr:col>
      <xdr:colOff>750093</xdr:colOff>
      <xdr:row>79</xdr:row>
      <xdr:rowOff>988217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74282" y="78783656"/>
          <a:ext cx="678655" cy="82153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80</xdr:row>
      <xdr:rowOff>119063</xdr:rowOff>
    </xdr:from>
    <xdr:to>
      <xdr:col>8</xdr:col>
      <xdr:colOff>773905</xdr:colOff>
      <xdr:row>80</xdr:row>
      <xdr:rowOff>916781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93406" y="80152876"/>
          <a:ext cx="690562" cy="797718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81</xdr:row>
      <xdr:rowOff>154781</xdr:rowOff>
    </xdr:from>
    <xdr:to>
      <xdr:col>8</xdr:col>
      <xdr:colOff>785811</xdr:colOff>
      <xdr:row>81</xdr:row>
      <xdr:rowOff>928687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57687" y="81200625"/>
          <a:ext cx="738187" cy="77390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82</xdr:row>
      <xdr:rowOff>107156</xdr:rowOff>
    </xdr:from>
    <xdr:to>
      <xdr:col>8</xdr:col>
      <xdr:colOff>726281</xdr:colOff>
      <xdr:row>82</xdr:row>
      <xdr:rowOff>892970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57688" y="82165031"/>
          <a:ext cx="678656" cy="785814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92</xdr:row>
      <xdr:rowOff>83343</xdr:rowOff>
    </xdr:from>
    <xdr:to>
      <xdr:col>8</xdr:col>
      <xdr:colOff>735911</xdr:colOff>
      <xdr:row>92</xdr:row>
      <xdr:rowOff>770801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417219" y="92261531"/>
          <a:ext cx="628755" cy="687458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119064</xdr:colOff>
      <xdr:row>93</xdr:row>
      <xdr:rowOff>214312</xdr:rowOff>
    </xdr:from>
    <xdr:to>
      <xdr:col>8</xdr:col>
      <xdr:colOff>773906</xdr:colOff>
      <xdr:row>93</xdr:row>
      <xdr:rowOff>816255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21908" y="90106500"/>
          <a:ext cx="654842" cy="601943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94</xdr:row>
      <xdr:rowOff>95250</xdr:rowOff>
    </xdr:from>
    <xdr:to>
      <xdr:col>8</xdr:col>
      <xdr:colOff>760787</xdr:colOff>
      <xdr:row>94</xdr:row>
      <xdr:rowOff>790990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36157" y="90475594"/>
          <a:ext cx="641724" cy="695740"/>
        </a:xfrm>
        <a:prstGeom prst="rect">
          <a:avLst/>
        </a:prstGeom>
      </xdr:spPr>
    </xdr:pic>
    <xdr:clientData/>
  </xdr:twoCellAnchor>
  <xdr:oneCellAnchor>
    <xdr:from>
      <xdr:col>8</xdr:col>
      <xdr:colOff>130969</xdr:colOff>
      <xdr:row>95</xdr:row>
      <xdr:rowOff>154781</xdr:rowOff>
    </xdr:from>
    <xdr:ext cx="628755" cy="687458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441032" y="95369062"/>
          <a:ext cx="628755" cy="687458"/>
        </a:xfrm>
        <a:prstGeom prst="rect">
          <a:avLst/>
        </a:prstGeom>
      </xdr:spPr>
    </xdr:pic>
    <xdr:clientData/>
  </xdr:oneCellAnchor>
  <xdr:oneCellAnchor>
    <xdr:from>
      <xdr:col>8</xdr:col>
      <xdr:colOff>119063</xdr:colOff>
      <xdr:row>96</xdr:row>
      <xdr:rowOff>154781</xdr:rowOff>
    </xdr:from>
    <xdr:ext cx="678655" cy="607219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238501" y="93404531"/>
          <a:ext cx="678655" cy="607219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97</xdr:row>
      <xdr:rowOff>190500</xdr:rowOff>
    </xdr:from>
    <xdr:ext cx="567182" cy="563218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405313" y="97428844"/>
          <a:ext cx="567182" cy="563218"/>
        </a:xfrm>
        <a:prstGeom prst="rect">
          <a:avLst/>
        </a:prstGeom>
      </xdr:spPr>
    </xdr:pic>
    <xdr:clientData/>
  </xdr:oneCellAnchor>
  <xdr:oneCellAnchor>
    <xdr:from>
      <xdr:col>8</xdr:col>
      <xdr:colOff>59531</xdr:colOff>
      <xdr:row>98</xdr:row>
      <xdr:rowOff>130969</xdr:rowOff>
    </xdr:from>
    <xdr:ext cx="732233" cy="773905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62375" y="97976532"/>
          <a:ext cx="732233" cy="773905"/>
        </a:xfrm>
        <a:prstGeom prst="rect">
          <a:avLst/>
        </a:prstGeom>
      </xdr:spPr>
    </xdr:pic>
    <xdr:clientData/>
  </xdr:oneCellAnchor>
  <xdr:oneCellAnchor>
    <xdr:from>
      <xdr:col>8</xdr:col>
      <xdr:colOff>71438</xdr:colOff>
      <xdr:row>111</xdr:row>
      <xdr:rowOff>178592</xdr:rowOff>
    </xdr:from>
    <xdr:ext cx="666749" cy="807969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74282" y="111180561"/>
          <a:ext cx="666749" cy="807969"/>
        </a:xfrm>
        <a:prstGeom prst="rect">
          <a:avLst/>
        </a:prstGeom>
      </xdr:spPr>
    </xdr:pic>
    <xdr:clientData/>
  </xdr:oneCellAnchor>
  <xdr:oneCellAnchor>
    <xdr:from>
      <xdr:col>8</xdr:col>
      <xdr:colOff>59531</xdr:colOff>
      <xdr:row>106</xdr:row>
      <xdr:rowOff>95250</xdr:rowOff>
    </xdr:from>
    <xdr:ext cx="654844" cy="891311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76625" y="102798563"/>
          <a:ext cx="654844" cy="891311"/>
        </a:xfrm>
        <a:prstGeom prst="rect">
          <a:avLst/>
        </a:prstGeom>
      </xdr:spPr>
    </xdr:pic>
    <xdr:clientData/>
  </xdr:oneCellAnchor>
  <xdr:twoCellAnchor editAs="oneCell">
    <xdr:from>
      <xdr:col>8</xdr:col>
      <xdr:colOff>23813</xdr:colOff>
      <xdr:row>99</xdr:row>
      <xdr:rowOff>142875</xdr:rowOff>
    </xdr:from>
    <xdr:to>
      <xdr:col>8</xdr:col>
      <xdr:colOff>738187</xdr:colOff>
      <xdr:row>99</xdr:row>
      <xdr:rowOff>845344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333876" y="99405281"/>
          <a:ext cx="714374" cy="70246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110</xdr:row>
      <xdr:rowOff>154781</xdr:rowOff>
    </xdr:from>
    <xdr:to>
      <xdr:col>8</xdr:col>
      <xdr:colOff>793060</xdr:colOff>
      <xdr:row>110</xdr:row>
      <xdr:rowOff>900216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357688" y="110549531"/>
          <a:ext cx="745435" cy="74543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109</xdr:row>
      <xdr:rowOff>190500</xdr:rowOff>
    </xdr:from>
    <xdr:to>
      <xdr:col>8</xdr:col>
      <xdr:colOff>706898</xdr:colOff>
      <xdr:row>109</xdr:row>
      <xdr:rowOff>737152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774281" y="109168406"/>
          <a:ext cx="635461" cy="546652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108</xdr:row>
      <xdr:rowOff>71437</xdr:rowOff>
    </xdr:from>
    <xdr:to>
      <xdr:col>8</xdr:col>
      <xdr:colOff>778048</xdr:colOff>
      <xdr:row>108</xdr:row>
      <xdr:rowOff>976313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24250" y="108049218"/>
          <a:ext cx="670892" cy="904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103</xdr:row>
      <xdr:rowOff>83344</xdr:rowOff>
    </xdr:from>
    <xdr:to>
      <xdr:col>8</xdr:col>
      <xdr:colOff>750094</xdr:colOff>
      <xdr:row>103</xdr:row>
      <xdr:rowOff>959411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24250" y="103000969"/>
          <a:ext cx="642938" cy="876067"/>
        </a:xfrm>
        <a:prstGeom prst="rect">
          <a:avLst/>
        </a:prstGeom>
      </xdr:spPr>
    </xdr:pic>
    <xdr:clientData/>
  </xdr:twoCellAnchor>
  <xdr:twoCellAnchor editAs="oneCell">
    <xdr:from>
      <xdr:col>8</xdr:col>
      <xdr:colOff>91848</xdr:colOff>
      <xdr:row>104</xdr:row>
      <xdr:rowOff>146278</xdr:rowOff>
    </xdr:from>
    <xdr:to>
      <xdr:col>8</xdr:col>
      <xdr:colOff>820718</xdr:colOff>
      <xdr:row>104</xdr:row>
      <xdr:rowOff>860652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06598" y="97736707"/>
          <a:ext cx="728870" cy="71437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112</xdr:row>
      <xdr:rowOff>119063</xdr:rowOff>
    </xdr:from>
    <xdr:to>
      <xdr:col>8</xdr:col>
      <xdr:colOff>776495</xdr:colOff>
      <xdr:row>112</xdr:row>
      <xdr:rowOff>881062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357688" y="112537876"/>
          <a:ext cx="728870" cy="761999"/>
        </a:xfrm>
        <a:prstGeom prst="rect">
          <a:avLst/>
        </a:prstGeom>
      </xdr:spPr>
    </xdr:pic>
    <xdr:clientData/>
  </xdr:twoCellAnchor>
  <xdr:twoCellAnchor editAs="oneCell">
    <xdr:from>
      <xdr:col>8</xdr:col>
      <xdr:colOff>35718</xdr:colOff>
      <xdr:row>107</xdr:row>
      <xdr:rowOff>83344</xdr:rowOff>
    </xdr:from>
    <xdr:to>
      <xdr:col>8</xdr:col>
      <xdr:colOff>764588</xdr:colOff>
      <xdr:row>107</xdr:row>
      <xdr:rowOff>904876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345781" y="107442000"/>
          <a:ext cx="728870" cy="821532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113</xdr:row>
      <xdr:rowOff>95250</xdr:rowOff>
    </xdr:from>
    <xdr:to>
      <xdr:col>8</xdr:col>
      <xdr:colOff>705576</xdr:colOff>
      <xdr:row>113</xdr:row>
      <xdr:rowOff>923511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369595" y="113526094"/>
          <a:ext cx="646044" cy="828261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105</xdr:row>
      <xdr:rowOff>130968</xdr:rowOff>
    </xdr:from>
    <xdr:to>
      <xdr:col>8</xdr:col>
      <xdr:colOff>729388</xdr:colOff>
      <xdr:row>105</xdr:row>
      <xdr:rowOff>959229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393407" y="105465562"/>
          <a:ext cx="646044" cy="828261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142874</xdr:colOff>
      <xdr:row>101</xdr:row>
      <xdr:rowOff>178593</xdr:rowOff>
    </xdr:from>
    <xdr:to>
      <xdr:col>8</xdr:col>
      <xdr:colOff>821531</xdr:colOff>
      <xdr:row>101</xdr:row>
      <xdr:rowOff>833437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64718" y="98167031"/>
          <a:ext cx="678657" cy="65484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100</xdr:row>
      <xdr:rowOff>202406</xdr:rowOff>
    </xdr:from>
    <xdr:to>
      <xdr:col>8</xdr:col>
      <xdr:colOff>690563</xdr:colOff>
      <xdr:row>100</xdr:row>
      <xdr:rowOff>892969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93345" y="100072031"/>
          <a:ext cx="500062" cy="690563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102</xdr:row>
      <xdr:rowOff>119063</xdr:rowOff>
    </xdr:from>
    <xdr:to>
      <xdr:col>8</xdr:col>
      <xdr:colOff>738187</xdr:colOff>
      <xdr:row>102</xdr:row>
      <xdr:rowOff>797719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98094" y="102012751"/>
          <a:ext cx="642937" cy="678656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</xdr:colOff>
      <xdr:row>65</xdr:row>
      <xdr:rowOff>107155</xdr:rowOff>
    </xdr:from>
    <xdr:to>
      <xdr:col>8</xdr:col>
      <xdr:colOff>845343</xdr:colOff>
      <xdr:row>65</xdr:row>
      <xdr:rowOff>881062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29E60A6-F87B-6AC8-CF66-DF7A24DF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33750" y="57923905"/>
          <a:ext cx="833437" cy="77390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46</xdr:row>
      <xdr:rowOff>59532</xdr:rowOff>
    </xdr:from>
    <xdr:to>
      <xdr:col>8</xdr:col>
      <xdr:colOff>570822</xdr:colOff>
      <xdr:row>46</xdr:row>
      <xdr:rowOff>978415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98094" y="44136470"/>
          <a:ext cx="475572" cy="918883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154782</xdr:colOff>
      <xdr:row>47</xdr:row>
      <xdr:rowOff>83344</xdr:rowOff>
    </xdr:from>
    <xdr:to>
      <xdr:col>8</xdr:col>
      <xdr:colOff>630354</xdr:colOff>
      <xdr:row>47</xdr:row>
      <xdr:rowOff>1002227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57626" y="45172313"/>
          <a:ext cx="475572" cy="918883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48</xdr:row>
      <xdr:rowOff>23812</xdr:rowOff>
    </xdr:from>
    <xdr:to>
      <xdr:col>8</xdr:col>
      <xdr:colOff>582728</xdr:colOff>
      <xdr:row>48</xdr:row>
      <xdr:rowOff>942695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00" y="46124812"/>
          <a:ext cx="475572" cy="918883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64</xdr:row>
      <xdr:rowOff>166687</xdr:rowOff>
    </xdr:from>
    <xdr:to>
      <xdr:col>8</xdr:col>
      <xdr:colOff>701501</xdr:colOff>
      <xdr:row>64</xdr:row>
      <xdr:rowOff>971950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62376" y="62460187"/>
          <a:ext cx="641969" cy="805263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53</xdr:row>
      <xdr:rowOff>107157</xdr:rowOff>
    </xdr:from>
    <xdr:to>
      <xdr:col>8</xdr:col>
      <xdr:colOff>725312</xdr:colOff>
      <xdr:row>53</xdr:row>
      <xdr:rowOff>940595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86187" y="51268313"/>
          <a:ext cx="641969" cy="833438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61</xdr:row>
      <xdr:rowOff>130968</xdr:rowOff>
    </xdr:from>
    <xdr:to>
      <xdr:col>8</xdr:col>
      <xdr:colOff>713406</xdr:colOff>
      <xdr:row>61</xdr:row>
      <xdr:rowOff>960043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74281" y="59388374"/>
          <a:ext cx="641969" cy="8290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62</xdr:row>
      <xdr:rowOff>130967</xdr:rowOff>
    </xdr:from>
    <xdr:to>
      <xdr:col>8</xdr:col>
      <xdr:colOff>737219</xdr:colOff>
      <xdr:row>62</xdr:row>
      <xdr:rowOff>900512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98094" y="60400405"/>
          <a:ext cx="641969" cy="76954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63</xdr:row>
      <xdr:rowOff>107156</xdr:rowOff>
    </xdr:from>
    <xdr:to>
      <xdr:col>8</xdr:col>
      <xdr:colOff>749764</xdr:colOff>
      <xdr:row>63</xdr:row>
      <xdr:rowOff>964406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96469" y="58050906"/>
          <a:ext cx="66642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52</xdr:row>
      <xdr:rowOff>47625</xdr:rowOff>
    </xdr:from>
    <xdr:to>
      <xdr:col>8</xdr:col>
      <xdr:colOff>725951</xdr:colOff>
      <xdr:row>52</xdr:row>
      <xdr:rowOff>904875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62375" y="50196750"/>
          <a:ext cx="66642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35719</xdr:colOff>
      <xdr:row>50</xdr:row>
      <xdr:rowOff>178593</xdr:rowOff>
    </xdr:from>
    <xdr:to>
      <xdr:col>8</xdr:col>
      <xdr:colOff>709840</xdr:colOff>
      <xdr:row>50</xdr:row>
      <xdr:rowOff>936995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38563" y="48303656"/>
          <a:ext cx="674121" cy="758402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51</xdr:row>
      <xdr:rowOff>83344</xdr:rowOff>
    </xdr:from>
    <xdr:to>
      <xdr:col>8</xdr:col>
      <xdr:colOff>744580</xdr:colOff>
      <xdr:row>51</xdr:row>
      <xdr:rowOff>833437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62375" y="49220438"/>
          <a:ext cx="685049" cy="750093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56</xdr:row>
      <xdr:rowOff>130968</xdr:rowOff>
    </xdr:from>
    <xdr:to>
      <xdr:col>8</xdr:col>
      <xdr:colOff>768393</xdr:colOff>
      <xdr:row>56</xdr:row>
      <xdr:rowOff>916781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86188" y="54328218"/>
          <a:ext cx="685049" cy="785813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42</xdr:row>
      <xdr:rowOff>130967</xdr:rowOff>
    </xdr:from>
    <xdr:to>
      <xdr:col>8</xdr:col>
      <xdr:colOff>756487</xdr:colOff>
      <xdr:row>42</xdr:row>
      <xdr:rowOff>916780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74282" y="40159780"/>
          <a:ext cx="685049" cy="785813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57</xdr:row>
      <xdr:rowOff>119062</xdr:rowOff>
    </xdr:from>
    <xdr:to>
      <xdr:col>8</xdr:col>
      <xdr:colOff>756486</xdr:colOff>
      <xdr:row>57</xdr:row>
      <xdr:rowOff>928687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74281" y="55328343"/>
          <a:ext cx="685049" cy="809625"/>
        </a:xfrm>
        <a:prstGeom prst="rect">
          <a:avLst/>
        </a:prstGeom>
      </xdr:spPr>
    </xdr:pic>
    <xdr:clientData/>
  </xdr:twoCellAnchor>
  <xdr:oneCellAnchor>
    <xdr:from>
      <xdr:col>8</xdr:col>
      <xdr:colOff>47625</xdr:colOff>
      <xdr:row>49</xdr:row>
      <xdr:rowOff>59531</xdr:rowOff>
    </xdr:from>
    <xdr:ext cx="641969" cy="85725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50469" y="47172562"/>
          <a:ext cx="641969" cy="857250"/>
        </a:xfrm>
        <a:prstGeom prst="rect">
          <a:avLst/>
        </a:prstGeom>
      </xdr:spPr>
    </xdr:pic>
    <xdr:clientData/>
  </xdr:oneCellAnchor>
  <xdr:oneCellAnchor>
    <xdr:from>
      <xdr:col>8</xdr:col>
      <xdr:colOff>71438</xdr:colOff>
      <xdr:row>55</xdr:row>
      <xdr:rowOff>59530</xdr:rowOff>
    </xdr:from>
    <xdr:ext cx="641969" cy="876701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774282" y="53244749"/>
          <a:ext cx="641969" cy="876701"/>
        </a:xfrm>
        <a:prstGeom prst="rect">
          <a:avLst/>
        </a:prstGeom>
      </xdr:spPr>
    </xdr:pic>
    <xdr:clientData/>
  </xdr:oneCellAnchor>
  <xdr:oneCellAnchor>
    <xdr:from>
      <xdr:col>8</xdr:col>
      <xdr:colOff>59531</xdr:colOff>
      <xdr:row>54</xdr:row>
      <xdr:rowOff>95250</xdr:rowOff>
    </xdr:from>
    <xdr:ext cx="666420" cy="797718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62375" y="52268438"/>
          <a:ext cx="666420" cy="797718"/>
        </a:xfrm>
        <a:prstGeom prst="rect">
          <a:avLst/>
        </a:prstGeom>
      </xdr:spPr>
    </xdr:pic>
    <xdr:clientData/>
  </xdr:oneCellAnchor>
  <xdr:oneCellAnchor>
    <xdr:from>
      <xdr:col>8</xdr:col>
      <xdr:colOff>71437</xdr:colOff>
      <xdr:row>59</xdr:row>
      <xdr:rowOff>95250</xdr:rowOff>
    </xdr:from>
    <xdr:ext cx="674121" cy="817933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74281" y="57328594"/>
          <a:ext cx="674121" cy="817933"/>
        </a:xfrm>
        <a:prstGeom prst="rect">
          <a:avLst/>
        </a:prstGeom>
      </xdr:spPr>
    </xdr:pic>
    <xdr:clientData/>
  </xdr:oneCellAnchor>
  <xdr:oneCellAnchor>
    <xdr:from>
      <xdr:col>8</xdr:col>
      <xdr:colOff>59532</xdr:colOff>
      <xdr:row>58</xdr:row>
      <xdr:rowOff>83344</xdr:rowOff>
    </xdr:from>
    <xdr:ext cx="685049" cy="833437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62376" y="56304657"/>
          <a:ext cx="685049" cy="833437"/>
        </a:xfrm>
        <a:prstGeom prst="rect">
          <a:avLst/>
        </a:prstGeom>
      </xdr:spPr>
    </xdr:pic>
    <xdr:clientData/>
  </xdr:oneCellAnchor>
  <xdr:oneCellAnchor>
    <xdr:from>
      <xdr:col>8</xdr:col>
      <xdr:colOff>71438</xdr:colOff>
      <xdr:row>60</xdr:row>
      <xdr:rowOff>71437</xdr:rowOff>
    </xdr:from>
    <xdr:ext cx="685049" cy="892969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74282" y="58316812"/>
          <a:ext cx="685049" cy="892969"/>
        </a:xfrm>
        <a:prstGeom prst="rect">
          <a:avLst/>
        </a:prstGeom>
      </xdr:spPr>
    </xdr:pic>
    <xdr:clientData/>
  </xdr:oneCellAnchor>
  <xdr:twoCellAnchor editAs="oneCell">
    <xdr:from>
      <xdr:col>8</xdr:col>
      <xdr:colOff>59532</xdr:colOff>
      <xdr:row>87</xdr:row>
      <xdr:rowOff>59532</xdr:rowOff>
    </xdr:from>
    <xdr:to>
      <xdr:col>8</xdr:col>
      <xdr:colOff>773907</xdr:colOff>
      <xdr:row>87</xdr:row>
      <xdr:rowOff>904875</xdr:rowOff>
    </xdr:to>
    <xdr:pic>
      <xdr:nvPicPr>
        <xdr:cNvPr id="7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6" y="86772751"/>
          <a:ext cx="714375" cy="845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88</xdr:row>
      <xdr:rowOff>83344</xdr:rowOff>
    </xdr:from>
    <xdr:to>
      <xdr:col>8</xdr:col>
      <xdr:colOff>631031</xdr:colOff>
      <xdr:row>88</xdr:row>
      <xdr:rowOff>964406</xdr:rowOff>
    </xdr:to>
    <xdr:pic>
      <xdr:nvPicPr>
        <xdr:cNvPr id="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8531" y="85236844"/>
          <a:ext cx="535781" cy="88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71438</xdr:colOff>
      <xdr:row>84</xdr:row>
      <xdr:rowOff>59531</xdr:rowOff>
    </xdr:from>
    <xdr:to>
      <xdr:col>8</xdr:col>
      <xdr:colOff>762000</xdr:colOff>
      <xdr:row>84</xdr:row>
      <xdr:rowOff>1619249</xdr:rowOff>
    </xdr:to>
    <xdr:pic>
      <xdr:nvPicPr>
        <xdr:cNvPr id="8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8532" y="80521969"/>
          <a:ext cx="690562" cy="1559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119062</xdr:colOff>
      <xdr:row>85</xdr:row>
      <xdr:rowOff>59531</xdr:rowOff>
    </xdr:from>
    <xdr:to>
      <xdr:col>8</xdr:col>
      <xdr:colOff>685178</xdr:colOff>
      <xdr:row>85</xdr:row>
      <xdr:rowOff>773906</xdr:rowOff>
    </xdr:to>
    <xdr:pic>
      <xdr:nvPicPr>
        <xdr:cNvPr id="8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1906" y="84748687"/>
          <a:ext cx="566116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86</xdr:row>
      <xdr:rowOff>166687</xdr:rowOff>
    </xdr:from>
    <xdr:to>
      <xdr:col>8</xdr:col>
      <xdr:colOff>702469</xdr:colOff>
      <xdr:row>86</xdr:row>
      <xdr:rowOff>857249</xdr:rowOff>
    </xdr:to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0906" y="83296125"/>
          <a:ext cx="654844" cy="690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83344</xdr:colOff>
      <xdr:row>90</xdr:row>
      <xdr:rowOff>107157</xdr:rowOff>
    </xdr:from>
    <xdr:to>
      <xdr:col>8</xdr:col>
      <xdr:colOff>667589</xdr:colOff>
      <xdr:row>90</xdr:row>
      <xdr:rowOff>970010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786188" y="89856470"/>
          <a:ext cx="584245" cy="862853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89</xdr:row>
      <xdr:rowOff>95250</xdr:rowOff>
    </xdr:from>
    <xdr:to>
      <xdr:col>8</xdr:col>
      <xdr:colOff>667450</xdr:colOff>
      <xdr:row>89</xdr:row>
      <xdr:rowOff>846043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10000" y="88832531"/>
          <a:ext cx="560294" cy="750793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107157</xdr:colOff>
      <xdr:row>32</xdr:row>
      <xdr:rowOff>95250</xdr:rowOff>
    </xdr:from>
    <xdr:to>
      <xdr:col>8</xdr:col>
      <xdr:colOff>773906</xdr:colOff>
      <xdr:row>32</xdr:row>
      <xdr:rowOff>988219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405188" y="23693438"/>
          <a:ext cx="666749" cy="892969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91</xdr:row>
      <xdr:rowOff>107156</xdr:rowOff>
    </xdr:from>
    <xdr:to>
      <xdr:col>8</xdr:col>
      <xdr:colOff>690563</xdr:colOff>
      <xdr:row>91</xdr:row>
      <xdr:rowOff>943964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1FEC216-F55C-4CA7-A015-CB3A711C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88531" y="88296750"/>
          <a:ext cx="595313" cy="836808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178595</xdr:colOff>
      <xdr:row>117</xdr:row>
      <xdr:rowOff>59527</xdr:rowOff>
    </xdr:from>
    <xdr:to>
      <xdr:col>8</xdr:col>
      <xdr:colOff>845345</xdr:colOff>
      <xdr:row>117</xdr:row>
      <xdr:rowOff>857246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9F18878-A794-41BD-A6B2-73FA2F9C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flipV="1">
          <a:off x="3524251" y="117776621"/>
          <a:ext cx="666750" cy="797719"/>
        </a:xfrm>
        <a:prstGeom prst="rect">
          <a:avLst/>
        </a:prstGeom>
      </xdr:spPr>
    </xdr:pic>
    <xdr:clientData/>
  </xdr:twoCellAnchor>
  <xdr:twoCellAnchor editAs="oneCell">
    <xdr:from>
      <xdr:col>8</xdr:col>
      <xdr:colOff>309563</xdr:colOff>
      <xdr:row>118</xdr:row>
      <xdr:rowOff>71438</xdr:rowOff>
    </xdr:from>
    <xdr:to>
      <xdr:col>8</xdr:col>
      <xdr:colOff>809625</xdr:colOff>
      <xdr:row>118</xdr:row>
      <xdr:rowOff>740569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631407" y="120193594"/>
          <a:ext cx="500062" cy="669131"/>
        </a:xfrm>
        <a:prstGeom prst="rect">
          <a:avLst/>
        </a:prstGeom>
      </xdr:spPr>
    </xdr:pic>
    <xdr:clientData/>
  </xdr:twoCellAnchor>
  <xdr:twoCellAnchor editAs="oneCell">
    <xdr:from>
      <xdr:col>8</xdr:col>
      <xdr:colOff>83342</xdr:colOff>
      <xdr:row>37</xdr:row>
      <xdr:rowOff>83344</xdr:rowOff>
    </xdr:from>
    <xdr:to>
      <xdr:col>8</xdr:col>
      <xdr:colOff>726279</xdr:colOff>
      <xdr:row>37</xdr:row>
      <xdr:rowOff>821531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3" y="29170313"/>
          <a:ext cx="642937" cy="738187"/>
        </a:xfrm>
        <a:prstGeom prst="rect">
          <a:avLst/>
        </a:prstGeom>
      </xdr:spPr>
    </xdr:pic>
    <xdr:clientData/>
  </xdr:twoCellAnchor>
  <xdr:twoCellAnchor editAs="oneCell">
    <xdr:from>
      <xdr:col>8</xdr:col>
      <xdr:colOff>273844</xdr:colOff>
      <xdr:row>40</xdr:row>
      <xdr:rowOff>59531</xdr:rowOff>
    </xdr:from>
    <xdr:to>
      <xdr:col>8</xdr:col>
      <xdr:colOff>834138</xdr:colOff>
      <xdr:row>40</xdr:row>
      <xdr:rowOff>881062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976688" y="31801594"/>
          <a:ext cx="560294" cy="821531"/>
        </a:xfrm>
        <a:prstGeom prst="rect">
          <a:avLst/>
        </a:prstGeom>
      </xdr:spPr>
    </xdr:pic>
    <xdr:clientData/>
  </xdr:twoCellAnchor>
  <xdr:twoCellAnchor editAs="oneCell">
    <xdr:from>
      <xdr:col>8</xdr:col>
      <xdr:colOff>214312</xdr:colOff>
      <xdr:row>15</xdr:row>
      <xdr:rowOff>59531</xdr:rowOff>
    </xdr:from>
    <xdr:to>
      <xdr:col>8</xdr:col>
      <xdr:colOff>869155</xdr:colOff>
      <xdr:row>15</xdr:row>
      <xdr:rowOff>785812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917156" y="13846969"/>
          <a:ext cx="654843" cy="726281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238126</xdr:colOff>
      <xdr:row>16</xdr:row>
      <xdr:rowOff>47625</xdr:rowOff>
    </xdr:from>
    <xdr:to>
      <xdr:col>8</xdr:col>
      <xdr:colOff>787215</xdr:colOff>
      <xdr:row>16</xdr:row>
      <xdr:rowOff>762000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940970" y="14847094"/>
          <a:ext cx="549089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36</xdr:row>
      <xdr:rowOff>83344</xdr:rowOff>
    </xdr:from>
    <xdr:to>
      <xdr:col>8</xdr:col>
      <xdr:colOff>726281</xdr:colOff>
      <xdr:row>36</xdr:row>
      <xdr:rowOff>809625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405187" y="28158282"/>
          <a:ext cx="619125" cy="726281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38</xdr:row>
      <xdr:rowOff>71438</xdr:rowOff>
    </xdr:from>
    <xdr:to>
      <xdr:col>8</xdr:col>
      <xdr:colOff>809624</xdr:colOff>
      <xdr:row>38</xdr:row>
      <xdr:rowOff>797719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857625" y="29789438"/>
          <a:ext cx="654843" cy="726281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41</xdr:row>
      <xdr:rowOff>166687</xdr:rowOff>
    </xdr:from>
    <xdr:to>
      <xdr:col>8</xdr:col>
      <xdr:colOff>761999</xdr:colOff>
      <xdr:row>41</xdr:row>
      <xdr:rowOff>809625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810000" y="32920781"/>
          <a:ext cx="654843" cy="642938"/>
        </a:xfrm>
        <a:prstGeom prst="rect">
          <a:avLst/>
        </a:prstGeom>
      </xdr:spPr>
    </xdr:pic>
    <xdr:clientData/>
  </xdr:twoCellAnchor>
  <xdr:twoCellAnchor editAs="oneCell">
    <xdr:from>
      <xdr:col>8</xdr:col>
      <xdr:colOff>166687</xdr:colOff>
      <xdr:row>39</xdr:row>
      <xdr:rowOff>83344</xdr:rowOff>
    </xdr:from>
    <xdr:to>
      <xdr:col>8</xdr:col>
      <xdr:colOff>715776</xdr:colOff>
      <xdr:row>39</xdr:row>
      <xdr:rowOff>797719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69531" y="30813375"/>
          <a:ext cx="549089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202407</xdr:colOff>
      <xdr:row>114</xdr:row>
      <xdr:rowOff>119063</xdr:rowOff>
    </xdr:from>
    <xdr:to>
      <xdr:col>8</xdr:col>
      <xdr:colOff>845345</xdr:colOff>
      <xdr:row>114</xdr:row>
      <xdr:rowOff>762000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548063" y="111763969"/>
          <a:ext cx="642938" cy="642937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178594</xdr:colOff>
      <xdr:row>83</xdr:row>
      <xdr:rowOff>35718</xdr:rowOff>
    </xdr:from>
    <xdr:to>
      <xdr:col>9</xdr:col>
      <xdr:colOff>1</xdr:colOff>
      <xdr:row>83</xdr:row>
      <xdr:rowOff>404811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881438" y="76628624"/>
          <a:ext cx="714375" cy="369093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178594</xdr:colOff>
      <xdr:row>115</xdr:row>
      <xdr:rowOff>142875</xdr:rowOff>
    </xdr:from>
    <xdr:to>
      <xdr:col>8</xdr:col>
      <xdr:colOff>821531</xdr:colOff>
      <xdr:row>115</xdr:row>
      <xdr:rowOff>773906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24250" y="115835906"/>
          <a:ext cx="642937" cy="631031"/>
        </a:xfrm>
        <a:prstGeom prst="rect">
          <a:avLst/>
        </a:prstGeom>
      </xdr:spPr>
    </xdr:pic>
    <xdr:clientData/>
  </xdr:twoCellAnchor>
  <xdr:twoCellAnchor editAs="oneCell">
    <xdr:from>
      <xdr:col>8</xdr:col>
      <xdr:colOff>214313</xdr:colOff>
      <xdr:row>116</xdr:row>
      <xdr:rowOff>142875</xdr:rowOff>
    </xdr:from>
    <xdr:to>
      <xdr:col>8</xdr:col>
      <xdr:colOff>678656</xdr:colOff>
      <xdr:row>116</xdr:row>
      <xdr:rowOff>690562</xdr:rowOff>
    </xdr:to>
    <xdr:pic>
      <xdr:nvPicPr>
        <xdr:cNvPr id="105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969" y="116847938"/>
          <a:ext cx="464343" cy="547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166688</xdr:colOff>
      <xdr:row>83</xdr:row>
      <xdr:rowOff>523875</xdr:rowOff>
    </xdr:from>
    <xdr:to>
      <xdr:col>8</xdr:col>
      <xdr:colOff>881063</xdr:colOff>
      <xdr:row>83</xdr:row>
      <xdr:rowOff>895350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869532" y="77116781"/>
          <a:ext cx="714375" cy="3714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83</xdr:row>
      <xdr:rowOff>940594</xdr:rowOff>
    </xdr:from>
    <xdr:to>
      <xdr:col>8</xdr:col>
      <xdr:colOff>828675</xdr:colOff>
      <xdr:row>83</xdr:row>
      <xdr:rowOff>1293019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845719" y="77533500"/>
          <a:ext cx="685800" cy="35242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66</xdr:row>
      <xdr:rowOff>142874</xdr:rowOff>
    </xdr:from>
    <xdr:to>
      <xdr:col>8</xdr:col>
      <xdr:colOff>745558</xdr:colOff>
      <xdr:row>66</xdr:row>
      <xdr:rowOff>833436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05C0731-A5B2-7CC8-BBD8-61A5BBE8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62007749"/>
          <a:ext cx="662214" cy="690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226219</xdr:colOff>
      <xdr:row>67</xdr:row>
      <xdr:rowOff>190500</xdr:rowOff>
    </xdr:from>
    <xdr:to>
      <xdr:col>8</xdr:col>
      <xdr:colOff>833438</xdr:colOff>
      <xdr:row>67</xdr:row>
      <xdr:rowOff>701151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571875" y="63067406"/>
          <a:ext cx="607219" cy="510651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68</xdr:row>
      <xdr:rowOff>59531</xdr:rowOff>
    </xdr:from>
    <xdr:to>
      <xdr:col>8</xdr:col>
      <xdr:colOff>1083468</xdr:colOff>
      <xdr:row>68</xdr:row>
      <xdr:rowOff>1000124</xdr:rowOff>
    </xdr:to>
    <xdr:pic>
      <xdr:nvPicPr>
        <xdr:cNvPr id="110" name="Picture 4" descr="cid:image001.png@01DD274D.971C6B10"/>
        <xdr:cNvPicPr>
          <a:picLocks noChangeAspect="1" noChangeArrowheads="1"/>
        </xdr:cNvPicPr>
      </xdr:nvPicPr>
      <xdr:blipFill>
        <a:blip xmlns:r="http://schemas.openxmlformats.org/officeDocument/2006/relationships" r:embed="rId62" r:link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5719" y="64960500"/>
          <a:ext cx="940593" cy="940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83342</xdr:colOff>
      <xdr:row>37</xdr:row>
      <xdr:rowOff>83344</xdr:rowOff>
    </xdr:from>
    <xdr:ext cx="642937" cy="738187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559967" y="29170313"/>
          <a:ext cx="642937" cy="738187"/>
        </a:xfrm>
        <a:prstGeom prst="rect">
          <a:avLst/>
        </a:prstGeom>
      </xdr:spPr>
    </xdr:pic>
    <xdr:clientData/>
  </xdr:oneCellAnchor>
  <xdr:oneCellAnchor>
    <xdr:from>
      <xdr:col>8</xdr:col>
      <xdr:colOff>273844</xdr:colOff>
      <xdr:row>40</xdr:row>
      <xdr:rowOff>59531</xdr:rowOff>
    </xdr:from>
    <xdr:ext cx="560294" cy="821531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50469" y="32182594"/>
          <a:ext cx="560294" cy="821531"/>
        </a:xfrm>
        <a:prstGeom prst="rect">
          <a:avLst/>
        </a:prstGeom>
      </xdr:spPr>
    </xdr:pic>
    <xdr:clientData/>
  </xdr:oneCellAnchor>
  <xdr:oneCellAnchor>
    <xdr:from>
      <xdr:col>8</xdr:col>
      <xdr:colOff>107156</xdr:colOff>
      <xdr:row>36</xdr:row>
      <xdr:rowOff>83344</xdr:rowOff>
    </xdr:from>
    <xdr:ext cx="619125" cy="726281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83781" y="28158282"/>
          <a:ext cx="619125" cy="726281"/>
        </a:xfrm>
        <a:prstGeom prst="rect">
          <a:avLst/>
        </a:prstGeom>
      </xdr:spPr>
    </xdr:pic>
    <xdr:clientData/>
  </xdr:oneCellAnchor>
  <xdr:oneCellAnchor>
    <xdr:from>
      <xdr:col>8</xdr:col>
      <xdr:colOff>154781</xdr:colOff>
      <xdr:row>38</xdr:row>
      <xdr:rowOff>71438</xdr:rowOff>
    </xdr:from>
    <xdr:ext cx="654843" cy="726281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631406" y="30170438"/>
          <a:ext cx="654843" cy="726281"/>
        </a:xfrm>
        <a:prstGeom prst="rect">
          <a:avLst/>
        </a:prstGeom>
      </xdr:spPr>
    </xdr:pic>
    <xdr:clientData/>
  </xdr:oneCellAnchor>
  <xdr:oneCellAnchor>
    <xdr:from>
      <xdr:col>8</xdr:col>
      <xdr:colOff>107156</xdr:colOff>
      <xdr:row>41</xdr:row>
      <xdr:rowOff>166687</xdr:rowOff>
    </xdr:from>
    <xdr:ext cx="654843" cy="642938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83781" y="33301781"/>
          <a:ext cx="654843" cy="642938"/>
        </a:xfrm>
        <a:prstGeom prst="rect">
          <a:avLst/>
        </a:prstGeom>
      </xdr:spPr>
    </xdr:pic>
    <xdr:clientData/>
  </xdr:oneCellAnchor>
  <xdr:oneCellAnchor>
    <xdr:from>
      <xdr:col>8</xdr:col>
      <xdr:colOff>166687</xdr:colOff>
      <xdr:row>39</xdr:row>
      <xdr:rowOff>83344</xdr:rowOff>
    </xdr:from>
    <xdr:ext cx="549089" cy="714375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643312" y="31194375"/>
          <a:ext cx="549089" cy="7143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</xdr:colOff>
      <xdr:row>74</xdr:row>
      <xdr:rowOff>119062</xdr:rowOff>
    </xdr:from>
    <xdr:to>
      <xdr:col>8</xdr:col>
      <xdr:colOff>785812</xdr:colOff>
      <xdr:row>74</xdr:row>
      <xdr:rowOff>1492250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06127-BD3F-B368-DF95-14766381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8187" y="42425937"/>
          <a:ext cx="714375" cy="1373188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26</xdr:row>
      <xdr:rowOff>119063</xdr:rowOff>
    </xdr:from>
    <xdr:to>
      <xdr:col>8</xdr:col>
      <xdr:colOff>835819</xdr:colOff>
      <xdr:row>26</xdr:row>
      <xdr:rowOff>1071562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4EA54-A0BC-40FE-FCFD-E77EE9865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1094" y="16787813"/>
          <a:ext cx="752475" cy="952499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13</xdr:row>
      <xdr:rowOff>83344</xdr:rowOff>
    </xdr:from>
    <xdr:to>
      <xdr:col>8</xdr:col>
      <xdr:colOff>845343</xdr:colOff>
      <xdr:row>13</xdr:row>
      <xdr:rowOff>571500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7281" y="7500938"/>
          <a:ext cx="785812" cy="48815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19</xdr:row>
      <xdr:rowOff>47624</xdr:rowOff>
    </xdr:from>
    <xdr:to>
      <xdr:col>8</xdr:col>
      <xdr:colOff>845344</xdr:colOff>
      <xdr:row>19</xdr:row>
      <xdr:rowOff>619124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6125" y="11894343"/>
          <a:ext cx="750094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18</xdr:row>
      <xdr:rowOff>59531</xdr:rowOff>
    </xdr:from>
    <xdr:to>
      <xdr:col>8</xdr:col>
      <xdr:colOff>712571</xdr:colOff>
      <xdr:row>18</xdr:row>
      <xdr:rowOff>595312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6813" y="10751344"/>
          <a:ext cx="593508" cy="535781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12</xdr:row>
      <xdr:rowOff>47626</xdr:rowOff>
    </xdr:from>
    <xdr:to>
      <xdr:col>8</xdr:col>
      <xdr:colOff>748289</xdr:colOff>
      <xdr:row>12</xdr:row>
      <xdr:rowOff>535782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12531" y="6774657"/>
          <a:ext cx="593508" cy="488156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8</xdr:row>
      <xdr:rowOff>71437</xdr:rowOff>
    </xdr:from>
    <xdr:to>
      <xdr:col>8</xdr:col>
      <xdr:colOff>721896</xdr:colOff>
      <xdr:row>8</xdr:row>
      <xdr:rowOff>619124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12531" y="4214812"/>
          <a:ext cx="567115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10</xdr:row>
      <xdr:rowOff>59531</xdr:rowOff>
    </xdr:from>
    <xdr:to>
      <xdr:col>8</xdr:col>
      <xdr:colOff>638553</xdr:colOff>
      <xdr:row>10</xdr:row>
      <xdr:rowOff>559595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29188" y="5512594"/>
          <a:ext cx="567115" cy="50006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9</xdr:row>
      <xdr:rowOff>47626</xdr:rowOff>
    </xdr:from>
    <xdr:to>
      <xdr:col>8</xdr:col>
      <xdr:colOff>686316</xdr:colOff>
      <xdr:row>9</xdr:row>
      <xdr:rowOff>535782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0" y="4845845"/>
          <a:ext cx="591066" cy="488156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11</xdr:row>
      <xdr:rowOff>119062</xdr:rowOff>
    </xdr:from>
    <xdr:to>
      <xdr:col>8</xdr:col>
      <xdr:colOff>650598</xdr:colOff>
      <xdr:row>11</xdr:row>
      <xdr:rowOff>559593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17282" y="6226968"/>
          <a:ext cx="591066" cy="440531"/>
        </a:xfrm>
        <a:prstGeom prst="rect">
          <a:avLst/>
        </a:prstGeom>
      </xdr:spPr>
    </xdr:pic>
    <xdr:clientData/>
  </xdr:twoCellAnchor>
  <xdr:twoCellAnchor editAs="oneCell">
    <xdr:from>
      <xdr:col>8</xdr:col>
      <xdr:colOff>59533</xdr:colOff>
      <xdr:row>4</xdr:row>
      <xdr:rowOff>23813</xdr:rowOff>
    </xdr:from>
    <xdr:to>
      <xdr:col>8</xdr:col>
      <xdr:colOff>845345</xdr:colOff>
      <xdr:row>4</xdr:row>
      <xdr:rowOff>571500</xdr:rowOff>
    </xdr:to>
    <xdr:pic>
      <xdr:nvPicPr>
        <xdr:cNvPr id="1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283" y="1547813"/>
          <a:ext cx="785812" cy="547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71437</xdr:colOff>
      <xdr:row>5</xdr:row>
      <xdr:rowOff>83343</xdr:rowOff>
    </xdr:from>
    <xdr:to>
      <xdr:col>8</xdr:col>
      <xdr:colOff>892968</xdr:colOff>
      <xdr:row>5</xdr:row>
      <xdr:rowOff>569118</xdr:rowOff>
    </xdr:to>
    <xdr:pic>
      <xdr:nvPicPr>
        <xdr:cNvPr id="1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7" y="2262187"/>
          <a:ext cx="821531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95251</xdr:colOff>
      <xdr:row>14</xdr:row>
      <xdr:rowOff>11906</xdr:rowOff>
    </xdr:from>
    <xdr:to>
      <xdr:col>8</xdr:col>
      <xdr:colOff>797719</xdr:colOff>
      <xdr:row>14</xdr:row>
      <xdr:rowOff>631030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EB269C2-408B-41EC-B208-20A3B83FF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86126" y="8262937"/>
          <a:ext cx="702468" cy="619124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154782</xdr:colOff>
      <xdr:row>15</xdr:row>
      <xdr:rowOff>95250</xdr:rowOff>
    </xdr:from>
    <xdr:to>
      <xdr:col>8</xdr:col>
      <xdr:colOff>797719</xdr:colOff>
      <xdr:row>15</xdr:row>
      <xdr:rowOff>583406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3BF246-2EAC-4ED2-8E94-2AFE36E07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45657" y="9322594"/>
          <a:ext cx="642937" cy="488156"/>
        </a:xfrm>
        <a:prstGeom prst="rect">
          <a:avLst/>
        </a:prstGeom>
      </xdr:spPr>
    </xdr:pic>
    <xdr:clientData/>
  </xdr:twoCellAnchor>
  <xdr:oneCellAnchor>
    <xdr:from>
      <xdr:col>8</xdr:col>
      <xdr:colOff>95250</xdr:colOff>
      <xdr:row>16</xdr:row>
      <xdr:rowOff>107156</xdr:rowOff>
    </xdr:from>
    <xdr:ext cx="795129" cy="404812"/>
    <xdr:pic>
      <xdr:nvPicPr>
        <xdr:cNvPr id="17" name="Picture 16">
          <a:extLst>
            <a:ext uri="{FF2B5EF4-FFF2-40B4-BE49-F238E27FC236}">
              <a16:creationId xmlns:a16="http://schemas.microsoft.com/office/drawing/2014/main" id="{AB4F8C40-5F6A-4868-A6C2-38392FEBC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53000" y="9489281"/>
          <a:ext cx="795129" cy="404812"/>
        </a:xfrm>
        <a:prstGeom prst="rect">
          <a:avLst/>
        </a:prstGeom>
      </xdr:spPr>
    </xdr:pic>
    <xdr:clientData/>
  </xdr:oneCellAnchor>
  <xdr:oneCellAnchor>
    <xdr:from>
      <xdr:col>8</xdr:col>
      <xdr:colOff>83344</xdr:colOff>
      <xdr:row>17</xdr:row>
      <xdr:rowOff>71438</xdr:rowOff>
    </xdr:from>
    <xdr:ext cx="793151" cy="547687"/>
    <xdr:pic>
      <xdr:nvPicPr>
        <xdr:cNvPr id="18" name="Picture 17">
          <a:extLst>
            <a:ext uri="{FF2B5EF4-FFF2-40B4-BE49-F238E27FC236}">
              <a16:creationId xmlns:a16="http://schemas.microsoft.com/office/drawing/2014/main" id="{E5764558-02A5-49AD-AAD2-70DFB981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41094" y="10108407"/>
          <a:ext cx="793151" cy="547687"/>
        </a:xfrm>
        <a:prstGeom prst="rect">
          <a:avLst/>
        </a:prstGeom>
      </xdr:spPr>
    </xdr:pic>
    <xdr:clientData/>
  </xdr:oneCellAnchor>
  <xdr:oneCellAnchor>
    <xdr:from>
      <xdr:col>8</xdr:col>
      <xdr:colOff>119063</xdr:colOff>
      <xdr:row>6</xdr:row>
      <xdr:rowOff>95250</xdr:rowOff>
    </xdr:from>
    <xdr:ext cx="726281" cy="500062"/>
    <xdr:pic>
      <xdr:nvPicPr>
        <xdr:cNvPr id="19" name="Picture 18">
          <a:extLst>
            <a:ext uri="{FF2B5EF4-FFF2-40B4-BE49-F238E27FC236}">
              <a16:creationId xmlns:a16="http://schemas.microsoft.com/office/drawing/2014/main" id="{B4116097-0688-492C-BA14-52C104487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09938" y="2881313"/>
          <a:ext cx="726281" cy="500062"/>
        </a:xfrm>
        <a:prstGeom prst="rect">
          <a:avLst/>
        </a:prstGeom>
      </xdr:spPr>
    </xdr:pic>
    <xdr:clientData/>
  </xdr:oneCellAnchor>
  <xdr:oneCellAnchor>
    <xdr:from>
      <xdr:col>8</xdr:col>
      <xdr:colOff>83344</xdr:colOff>
      <xdr:row>7</xdr:row>
      <xdr:rowOff>35719</xdr:rowOff>
    </xdr:from>
    <xdr:ext cx="793151" cy="619125"/>
    <xdr:pic>
      <xdr:nvPicPr>
        <xdr:cNvPr id="20" name="Picture 19">
          <a:extLst>
            <a:ext uri="{FF2B5EF4-FFF2-40B4-BE49-F238E27FC236}">
              <a16:creationId xmlns:a16="http://schemas.microsoft.com/office/drawing/2014/main" id="{ACE5B6B6-518C-4867-B0E3-50C586C6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41094" y="3524250"/>
          <a:ext cx="793151" cy="619125"/>
        </a:xfrm>
        <a:prstGeom prst="rect">
          <a:avLst/>
        </a:prstGeom>
      </xdr:spPr>
    </xdr:pic>
    <xdr:clientData/>
  </xdr:oneCellAnchor>
  <xdr:twoCellAnchor editAs="oneCell">
    <xdr:from>
      <xdr:col>8</xdr:col>
      <xdr:colOff>71438</xdr:colOff>
      <xdr:row>27</xdr:row>
      <xdr:rowOff>11907</xdr:rowOff>
    </xdr:from>
    <xdr:to>
      <xdr:col>8</xdr:col>
      <xdr:colOff>857250</xdr:colOff>
      <xdr:row>27</xdr:row>
      <xdr:rowOff>595313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29188" y="17204532"/>
          <a:ext cx="785812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28</xdr:row>
      <xdr:rowOff>47625</xdr:rowOff>
    </xdr:from>
    <xdr:to>
      <xdr:col>8</xdr:col>
      <xdr:colOff>845343</xdr:colOff>
      <xdr:row>28</xdr:row>
      <xdr:rowOff>631031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17281" y="17895094"/>
          <a:ext cx="785812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70</xdr:row>
      <xdr:rowOff>35719</xdr:rowOff>
    </xdr:from>
    <xdr:to>
      <xdr:col>8</xdr:col>
      <xdr:colOff>836084</xdr:colOff>
      <xdr:row>70</xdr:row>
      <xdr:rowOff>635794</xdr:rowOff>
    </xdr:to>
    <xdr:pic>
      <xdr:nvPicPr>
        <xdr:cNvPr id="22" name="Picture 21" descr="C:\Users\Rana\AppData\Local\Microsoft\Windows\Temporary Internet Files\Content.Word\dot_4_5.jpg"/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020" y="38527302"/>
          <a:ext cx="764647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107157</xdr:colOff>
      <xdr:row>46</xdr:row>
      <xdr:rowOff>35720</xdr:rowOff>
    </xdr:from>
    <xdr:to>
      <xdr:col>8</xdr:col>
      <xdr:colOff>869157</xdr:colOff>
      <xdr:row>46</xdr:row>
      <xdr:rowOff>619126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64907" y="48887064"/>
          <a:ext cx="762000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22</xdr:row>
      <xdr:rowOff>95251</xdr:rowOff>
    </xdr:from>
    <xdr:to>
      <xdr:col>8</xdr:col>
      <xdr:colOff>898418</xdr:colOff>
      <xdr:row>22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E3B5258-8819-4CC9-8C1A-7F76BDD2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48250" y="13406439"/>
          <a:ext cx="707918" cy="4762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8</xdr:col>
      <xdr:colOff>119062</xdr:colOff>
      <xdr:row>20</xdr:row>
      <xdr:rowOff>83344</xdr:rowOff>
    </xdr:from>
    <xdr:to>
      <xdr:col>8</xdr:col>
      <xdr:colOff>769003</xdr:colOff>
      <xdr:row>20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DA6E7D3-9416-46F2-A4EB-3D3B63A79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76812" y="12084844"/>
          <a:ext cx="649941" cy="48815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8</xdr:col>
      <xdr:colOff>119062</xdr:colOff>
      <xdr:row>24</xdr:row>
      <xdr:rowOff>107156</xdr:rowOff>
    </xdr:from>
    <xdr:to>
      <xdr:col>8</xdr:col>
      <xdr:colOff>830492</xdr:colOff>
      <xdr:row>24</xdr:row>
      <xdr:rowOff>583406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829CD33-527F-4D44-B000-AB2863CB8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76812" y="14728031"/>
          <a:ext cx="71143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23</xdr:row>
      <xdr:rowOff>35719</xdr:rowOff>
    </xdr:from>
    <xdr:to>
      <xdr:col>8</xdr:col>
      <xdr:colOff>847340</xdr:colOff>
      <xdr:row>23</xdr:row>
      <xdr:rowOff>619125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A3A2A01-28B5-4F06-984E-F7E27A11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12531" y="14001750"/>
          <a:ext cx="692559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154782</xdr:colOff>
      <xdr:row>21</xdr:row>
      <xdr:rowOff>71437</xdr:rowOff>
    </xdr:from>
    <xdr:to>
      <xdr:col>8</xdr:col>
      <xdr:colOff>838340</xdr:colOff>
      <xdr:row>21</xdr:row>
      <xdr:rowOff>535780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A7320A3-4774-4288-9B54-8FCEF8173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012532" y="12727781"/>
          <a:ext cx="683558" cy="464343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25</xdr:row>
      <xdr:rowOff>71438</xdr:rowOff>
    </xdr:from>
    <xdr:to>
      <xdr:col>8</xdr:col>
      <xdr:colOff>754995</xdr:colOff>
      <xdr:row>25</xdr:row>
      <xdr:rowOff>547688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7A755BE-5F73-449D-95A0-AA327E057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29187" y="15347157"/>
          <a:ext cx="683558" cy="476250"/>
        </a:xfrm>
        <a:prstGeom prst="rect">
          <a:avLst/>
        </a:prstGeom>
      </xdr:spPr>
    </xdr:pic>
    <xdr:clientData/>
  </xdr:twoCellAnchor>
  <xdr:oneCellAnchor>
    <xdr:from>
      <xdr:col>8</xdr:col>
      <xdr:colOff>154781</xdr:colOff>
      <xdr:row>44</xdr:row>
      <xdr:rowOff>47626</xdr:rowOff>
    </xdr:from>
    <xdr:ext cx="649941" cy="488156"/>
    <xdr:pic>
      <xdr:nvPicPr>
        <xdr:cNvPr id="30" name="Picture 29">
          <a:extLst>
            <a:ext uri="{FF2B5EF4-FFF2-40B4-BE49-F238E27FC236}">
              <a16:creationId xmlns:a16="http://schemas.microsoft.com/office/drawing/2014/main" id="{D152249F-7597-497C-BD89-7894FFF8D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12531" y="47589282"/>
          <a:ext cx="649941" cy="48815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8</xdr:col>
      <xdr:colOff>130969</xdr:colOff>
      <xdr:row>45</xdr:row>
      <xdr:rowOff>71438</xdr:rowOff>
    </xdr:from>
    <xdr:ext cx="692559" cy="511969"/>
    <xdr:pic>
      <xdr:nvPicPr>
        <xdr:cNvPr id="31" name="Picture 30">
          <a:extLst>
            <a:ext uri="{FF2B5EF4-FFF2-40B4-BE49-F238E27FC236}">
              <a16:creationId xmlns:a16="http://schemas.microsoft.com/office/drawing/2014/main" id="{0BFD8E5B-3E85-4B52-AA81-B3281BD1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88719" y="48267938"/>
          <a:ext cx="692559" cy="511969"/>
        </a:xfrm>
        <a:prstGeom prst="rect">
          <a:avLst/>
        </a:prstGeom>
      </xdr:spPr>
    </xdr:pic>
    <xdr:clientData/>
  </xdr:oneCellAnchor>
  <xdr:twoCellAnchor editAs="oneCell">
    <xdr:from>
      <xdr:col>8</xdr:col>
      <xdr:colOff>71438</xdr:colOff>
      <xdr:row>67</xdr:row>
      <xdr:rowOff>47625</xdr:rowOff>
    </xdr:from>
    <xdr:to>
      <xdr:col>8</xdr:col>
      <xdr:colOff>765177</xdr:colOff>
      <xdr:row>67</xdr:row>
      <xdr:rowOff>607218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334692E-BA4D-4B35-B571-44A18C379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29188" y="82522219"/>
          <a:ext cx="693739" cy="559593"/>
        </a:xfrm>
        <a:prstGeom prst="rect">
          <a:avLst/>
        </a:prstGeom>
      </xdr:spPr>
    </xdr:pic>
    <xdr:clientData/>
  </xdr:twoCellAnchor>
  <xdr:oneCellAnchor>
    <xdr:from>
      <xdr:col>8</xdr:col>
      <xdr:colOff>130968</xdr:colOff>
      <xdr:row>68</xdr:row>
      <xdr:rowOff>47625</xdr:rowOff>
    </xdr:from>
    <xdr:ext cx="693739" cy="547687"/>
    <xdr:pic>
      <xdr:nvPicPr>
        <xdr:cNvPr id="33" name="Picture 32">
          <a:extLst>
            <a:ext uri="{FF2B5EF4-FFF2-40B4-BE49-F238E27FC236}">
              <a16:creationId xmlns:a16="http://schemas.microsoft.com/office/drawing/2014/main" id="{2B941BDF-5AB6-4ED7-91F8-8381C6E8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88718" y="83177063"/>
          <a:ext cx="693739" cy="547687"/>
        </a:xfrm>
        <a:prstGeom prst="rect">
          <a:avLst/>
        </a:prstGeom>
      </xdr:spPr>
    </xdr:pic>
    <xdr:clientData/>
  </xdr:oneCellAnchor>
  <xdr:oneCellAnchor>
    <xdr:from>
      <xdr:col>8</xdr:col>
      <xdr:colOff>83344</xdr:colOff>
      <xdr:row>69</xdr:row>
      <xdr:rowOff>47625</xdr:rowOff>
    </xdr:from>
    <xdr:ext cx="693739" cy="523875"/>
    <xdr:pic>
      <xdr:nvPicPr>
        <xdr:cNvPr id="34" name="Picture 33">
          <a:extLst>
            <a:ext uri="{FF2B5EF4-FFF2-40B4-BE49-F238E27FC236}">
              <a16:creationId xmlns:a16="http://schemas.microsoft.com/office/drawing/2014/main" id="{2DF64A94-2A5A-4A85-B18D-49F83048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41094" y="83831906"/>
          <a:ext cx="693739" cy="523875"/>
        </a:xfrm>
        <a:prstGeom prst="rect">
          <a:avLst/>
        </a:prstGeom>
      </xdr:spPr>
    </xdr:pic>
    <xdr:clientData/>
  </xdr:oneCellAnchor>
  <xdr:twoCellAnchor editAs="oneCell">
    <xdr:from>
      <xdr:col>8</xdr:col>
      <xdr:colOff>154781</xdr:colOff>
      <xdr:row>41</xdr:row>
      <xdr:rowOff>35720</xdr:rowOff>
    </xdr:from>
    <xdr:to>
      <xdr:col>8</xdr:col>
      <xdr:colOff>858803</xdr:colOff>
      <xdr:row>41</xdr:row>
      <xdr:rowOff>642938</xdr:rowOff>
    </xdr:to>
    <xdr:pic>
      <xdr:nvPicPr>
        <xdr:cNvPr id="3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2531" y="30551439"/>
          <a:ext cx="704022" cy="607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83344</xdr:colOff>
      <xdr:row>42</xdr:row>
      <xdr:rowOff>47625</xdr:rowOff>
    </xdr:from>
    <xdr:to>
      <xdr:col>8</xdr:col>
      <xdr:colOff>796891</xdr:colOff>
      <xdr:row>42</xdr:row>
      <xdr:rowOff>631031</xdr:rowOff>
    </xdr:to>
    <xdr:pic>
      <xdr:nvPicPr>
        <xdr:cNvPr id="3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094" y="31218188"/>
          <a:ext cx="713547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43</xdr:row>
      <xdr:rowOff>71437</xdr:rowOff>
    </xdr:from>
    <xdr:to>
      <xdr:col>8</xdr:col>
      <xdr:colOff>762724</xdr:colOff>
      <xdr:row>43</xdr:row>
      <xdr:rowOff>631031</xdr:rowOff>
    </xdr:to>
    <xdr:pic>
      <xdr:nvPicPr>
        <xdr:cNvPr id="3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4906" y="31896843"/>
          <a:ext cx="655568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65</xdr:row>
      <xdr:rowOff>95250</xdr:rowOff>
    </xdr:from>
    <xdr:to>
      <xdr:col>8</xdr:col>
      <xdr:colOff>811178</xdr:colOff>
      <xdr:row>65</xdr:row>
      <xdr:rowOff>642937</xdr:rowOff>
    </xdr:to>
    <xdr:pic>
      <xdr:nvPicPr>
        <xdr:cNvPr id="3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4906" y="66198750"/>
          <a:ext cx="704022" cy="547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66</xdr:row>
      <xdr:rowOff>59532</xdr:rowOff>
    </xdr:from>
    <xdr:to>
      <xdr:col>8</xdr:col>
      <xdr:colOff>750818</xdr:colOff>
      <xdr:row>67</xdr:row>
      <xdr:rowOff>3968</xdr:rowOff>
    </xdr:to>
    <xdr:pic>
      <xdr:nvPicPr>
        <xdr:cNvPr id="3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6817876"/>
          <a:ext cx="655568" cy="595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71437</xdr:colOff>
      <xdr:row>75</xdr:row>
      <xdr:rowOff>202407</xdr:rowOff>
    </xdr:from>
    <xdr:to>
      <xdr:col>8</xdr:col>
      <xdr:colOff>899584</xdr:colOff>
      <xdr:row>75</xdr:row>
      <xdr:rowOff>1111250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F430D37-64F1-B71A-5FB8-743D2F8B4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257020" y="44631240"/>
          <a:ext cx="828147" cy="908843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71</xdr:row>
      <xdr:rowOff>119063</xdr:rowOff>
    </xdr:from>
    <xdr:to>
      <xdr:col>8</xdr:col>
      <xdr:colOff>833435</xdr:colOff>
      <xdr:row>71</xdr:row>
      <xdr:rowOff>678657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976812" y="58459688"/>
          <a:ext cx="714373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72</xdr:row>
      <xdr:rowOff>95250</xdr:rowOff>
    </xdr:from>
    <xdr:to>
      <xdr:col>8</xdr:col>
      <xdr:colOff>846667</xdr:colOff>
      <xdr:row>72</xdr:row>
      <xdr:rowOff>738188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268927" y="40248417"/>
          <a:ext cx="763323" cy="642938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73</xdr:row>
      <xdr:rowOff>178594</xdr:rowOff>
    </xdr:from>
    <xdr:to>
      <xdr:col>8</xdr:col>
      <xdr:colOff>797719</xdr:colOff>
      <xdr:row>73</xdr:row>
      <xdr:rowOff>816769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943AA8A-550B-20BC-F825-4F4B5DC6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941094" y="60293250"/>
          <a:ext cx="714375" cy="638175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77</xdr:row>
      <xdr:rowOff>130969</xdr:rowOff>
    </xdr:from>
    <xdr:to>
      <xdr:col>8</xdr:col>
      <xdr:colOff>885825</xdr:colOff>
      <xdr:row>77</xdr:row>
      <xdr:rowOff>809625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76813" y="66353532"/>
          <a:ext cx="766762" cy="67865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78</xdr:row>
      <xdr:rowOff>71438</xdr:rowOff>
    </xdr:from>
    <xdr:to>
      <xdr:col>8</xdr:col>
      <xdr:colOff>799272</xdr:colOff>
      <xdr:row>78</xdr:row>
      <xdr:rowOff>833437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953000" y="67198876"/>
          <a:ext cx="704022" cy="761999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79</xdr:row>
      <xdr:rowOff>71438</xdr:rowOff>
    </xdr:from>
    <xdr:to>
      <xdr:col>8</xdr:col>
      <xdr:colOff>792025</xdr:colOff>
      <xdr:row>79</xdr:row>
      <xdr:rowOff>845344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929188" y="68175188"/>
          <a:ext cx="720587" cy="773906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84</xdr:row>
      <xdr:rowOff>71439</xdr:rowOff>
    </xdr:from>
    <xdr:to>
      <xdr:col>8</xdr:col>
      <xdr:colOff>806622</xdr:colOff>
      <xdr:row>84</xdr:row>
      <xdr:rowOff>631033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CDEC6B6-5F66-28AD-3267-747C7D145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631531" y="49184720"/>
          <a:ext cx="699466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85</xdr:row>
      <xdr:rowOff>47625</xdr:rowOff>
    </xdr:from>
    <xdr:to>
      <xdr:col>8</xdr:col>
      <xdr:colOff>816974</xdr:colOff>
      <xdr:row>85</xdr:row>
      <xdr:rowOff>619125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159E1E1-683F-220C-8FEB-3E54B75CB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583906" y="49815750"/>
          <a:ext cx="757443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178594</xdr:colOff>
      <xdr:row>86</xdr:row>
      <xdr:rowOff>47625</xdr:rowOff>
    </xdr:from>
    <xdr:to>
      <xdr:col>8</xdr:col>
      <xdr:colOff>772043</xdr:colOff>
      <xdr:row>86</xdr:row>
      <xdr:rowOff>571500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2CCDF8F-E5E8-602E-8D2F-47ED322CE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702969" y="50470594"/>
          <a:ext cx="593449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47</xdr:row>
      <xdr:rowOff>11906</xdr:rowOff>
    </xdr:from>
    <xdr:to>
      <xdr:col>8</xdr:col>
      <xdr:colOff>821530</xdr:colOff>
      <xdr:row>47</xdr:row>
      <xdr:rowOff>559593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631531" y="28372594"/>
          <a:ext cx="714374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48</xdr:row>
      <xdr:rowOff>35718</xdr:rowOff>
    </xdr:from>
    <xdr:to>
      <xdr:col>8</xdr:col>
      <xdr:colOff>826294</xdr:colOff>
      <xdr:row>48</xdr:row>
      <xdr:rowOff>607218</xdr:rowOff>
    </xdr:to>
    <xdr:pic>
      <xdr:nvPicPr>
        <xdr:cNvPr id="51" name="Picture 31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7719" y="29051249"/>
          <a:ext cx="7429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76</xdr:row>
      <xdr:rowOff>95250</xdr:rowOff>
    </xdr:from>
    <xdr:to>
      <xdr:col>8</xdr:col>
      <xdr:colOff>869156</xdr:colOff>
      <xdr:row>76</xdr:row>
      <xdr:rowOff>715068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B3BBE86-FB27-67D8-1DF8-805D33517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5350906"/>
          <a:ext cx="821531" cy="61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59532</xdr:colOff>
      <xdr:row>80</xdr:row>
      <xdr:rowOff>47626</xdr:rowOff>
    </xdr:from>
    <xdr:to>
      <xdr:col>8</xdr:col>
      <xdr:colOff>797719</xdr:colOff>
      <xdr:row>80</xdr:row>
      <xdr:rowOff>547688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50407" y="50613470"/>
          <a:ext cx="738187" cy="500062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82</xdr:row>
      <xdr:rowOff>59531</xdr:rowOff>
    </xdr:from>
    <xdr:to>
      <xdr:col>8</xdr:col>
      <xdr:colOff>765106</xdr:colOff>
      <xdr:row>82</xdr:row>
      <xdr:rowOff>571500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8B74360-F7E5-5D85-DEB4-815B1A1F1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09937" y="51935062"/>
          <a:ext cx="646044" cy="511969"/>
        </a:xfrm>
        <a:prstGeom prst="rect">
          <a:avLst/>
        </a:prstGeom>
      </xdr:spPr>
    </xdr:pic>
    <xdr:clientData/>
  </xdr:twoCellAnchor>
  <xdr:twoCellAnchor editAs="oneCell">
    <xdr:from>
      <xdr:col>8</xdr:col>
      <xdr:colOff>166688</xdr:colOff>
      <xdr:row>83</xdr:row>
      <xdr:rowOff>71438</xdr:rowOff>
    </xdr:from>
    <xdr:to>
      <xdr:col>8</xdr:col>
      <xdr:colOff>787883</xdr:colOff>
      <xdr:row>83</xdr:row>
      <xdr:rowOff>642937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BBE9B6A-6A82-4F79-9D68-CA959CB7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57563" y="52601813"/>
          <a:ext cx="621195" cy="571499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87</xdr:row>
      <xdr:rowOff>142875</xdr:rowOff>
    </xdr:from>
    <xdr:to>
      <xdr:col>8</xdr:col>
      <xdr:colOff>729388</xdr:colOff>
      <xdr:row>87</xdr:row>
      <xdr:rowOff>762000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8B74360-F7E5-5D85-DEB4-815B1A1F1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74219" y="55292625"/>
          <a:ext cx="646044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88</xdr:row>
      <xdr:rowOff>71438</xdr:rowOff>
    </xdr:from>
    <xdr:to>
      <xdr:col>8</xdr:col>
      <xdr:colOff>704539</xdr:colOff>
      <xdr:row>88</xdr:row>
      <xdr:rowOff>762000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BBE9B6A-6A82-4F79-9D68-CA959CB7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274219" y="56066532"/>
          <a:ext cx="621195" cy="690562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89</xdr:row>
      <xdr:rowOff>83344</xdr:rowOff>
    </xdr:from>
    <xdr:to>
      <xdr:col>8</xdr:col>
      <xdr:colOff>839650</xdr:colOff>
      <xdr:row>89</xdr:row>
      <xdr:rowOff>857250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9F3F50C-4D5A-A9AB-F71F-4904C8AA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09937" y="56923782"/>
          <a:ext cx="720588" cy="77390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90</xdr:row>
      <xdr:rowOff>35719</xdr:rowOff>
    </xdr:from>
    <xdr:to>
      <xdr:col>8</xdr:col>
      <xdr:colOff>741294</xdr:colOff>
      <xdr:row>90</xdr:row>
      <xdr:rowOff>607219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8B74360-F7E5-5D85-DEB4-815B1A1F1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86125" y="57852469"/>
          <a:ext cx="646044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91</xdr:row>
      <xdr:rowOff>23814</xdr:rowOff>
    </xdr:from>
    <xdr:to>
      <xdr:col>8</xdr:col>
      <xdr:colOff>680726</xdr:colOff>
      <xdr:row>91</xdr:row>
      <xdr:rowOff>607220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BBE9B6A-6A82-4F79-9D68-CA959CB7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250406" y="58495408"/>
          <a:ext cx="621195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92</xdr:row>
      <xdr:rowOff>71438</xdr:rowOff>
    </xdr:from>
    <xdr:to>
      <xdr:col>8</xdr:col>
      <xdr:colOff>803932</xdr:colOff>
      <xdr:row>92</xdr:row>
      <xdr:rowOff>642937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9F3F50C-4D5A-A9AB-F71F-4904C8AA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74219" y="59805094"/>
          <a:ext cx="720588" cy="571499"/>
        </a:xfrm>
        <a:prstGeom prst="rect">
          <a:avLst/>
        </a:prstGeom>
      </xdr:spPr>
    </xdr:pic>
    <xdr:clientData/>
  </xdr:twoCellAnchor>
  <xdr:oneCellAnchor>
    <xdr:from>
      <xdr:col>8</xdr:col>
      <xdr:colOff>142876</xdr:colOff>
      <xdr:row>49</xdr:row>
      <xdr:rowOff>47625</xdr:rowOff>
    </xdr:from>
    <xdr:ext cx="654844" cy="523875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28459" y="71961375"/>
          <a:ext cx="654844" cy="523875"/>
        </a:xfrm>
        <a:prstGeom prst="rect">
          <a:avLst/>
        </a:prstGeom>
      </xdr:spPr>
    </xdr:pic>
    <xdr:clientData/>
  </xdr:oneCellAnchor>
  <xdr:oneCellAnchor>
    <xdr:from>
      <xdr:col>8</xdr:col>
      <xdr:colOff>157426</xdr:colOff>
      <xdr:row>50</xdr:row>
      <xdr:rowOff>70115</xdr:rowOff>
    </xdr:from>
    <xdr:ext cx="607220" cy="437885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43009" y="33047782"/>
          <a:ext cx="607220" cy="437885"/>
        </a:xfrm>
        <a:prstGeom prst="rect">
          <a:avLst/>
        </a:prstGeom>
      </xdr:spPr>
    </xdr:pic>
    <xdr:clientData/>
  </xdr:oneCellAnchor>
  <xdr:oneCellAnchor>
    <xdr:from>
      <xdr:col>8</xdr:col>
      <xdr:colOff>164042</xdr:colOff>
      <xdr:row>51</xdr:row>
      <xdr:rowOff>15877</xdr:rowOff>
    </xdr:from>
    <xdr:ext cx="583406" cy="449791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49625" y="33649710"/>
          <a:ext cx="583406" cy="449791"/>
        </a:xfrm>
        <a:prstGeom prst="rect">
          <a:avLst/>
        </a:prstGeom>
      </xdr:spPr>
    </xdr:pic>
    <xdr:clientData/>
  </xdr:oneCellAnchor>
  <xdr:twoCellAnchor>
    <xdr:from>
      <xdr:col>8</xdr:col>
      <xdr:colOff>71438</xdr:colOff>
      <xdr:row>30</xdr:row>
      <xdr:rowOff>11906</xdr:rowOff>
    </xdr:from>
    <xdr:to>
      <xdr:col>8</xdr:col>
      <xdr:colOff>859632</xdr:colOff>
      <xdr:row>30</xdr:row>
      <xdr:rowOff>619125</xdr:rowOff>
    </xdr:to>
    <xdr:pic>
      <xdr:nvPicPr>
        <xdr:cNvPr id="68" name="Picture 2" descr="cid:image001.png@01DD3169.B3CAEA90"/>
        <xdr:cNvPicPr>
          <a:picLocks noChangeAspect="1" noChangeArrowheads="1"/>
        </xdr:cNvPicPr>
      </xdr:nvPicPr>
      <xdr:blipFill>
        <a:blip xmlns:r="http://schemas.openxmlformats.org/officeDocument/2006/relationships" r:embed="rId44" r:link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2313" y="20252531"/>
          <a:ext cx="788194" cy="607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59532</xdr:colOff>
      <xdr:row>29</xdr:row>
      <xdr:rowOff>47625</xdr:rowOff>
    </xdr:from>
    <xdr:to>
      <xdr:col>8</xdr:col>
      <xdr:colOff>842238</xdr:colOff>
      <xdr:row>29</xdr:row>
      <xdr:rowOff>603250</xdr:rowOff>
    </xdr:to>
    <xdr:pic>
      <xdr:nvPicPr>
        <xdr:cNvPr id="69" name="Picture 1" descr="cid:image002.png@01DD3169.B3CAEA90"/>
        <xdr:cNvPicPr>
          <a:picLocks noChangeAspect="1" noChangeArrowheads="1"/>
        </xdr:cNvPicPr>
      </xdr:nvPicPr>
      <xdr:blipFill>
        <a:blip xmlns:r="http://schemas.openxmlformats.org/officeDocument/2006/relationships" r:embed="rId46" r:link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6282" y="19700875"/>
          <a:ext cx="782706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71437</xdr:colOff>
      <xdr:row>32</xdr:row>
      <xdr:rowOff>23812</xdr:rowOff>
    </xdr:from>
    <xdr:to>
      <xdr:col>8</xdr:col>
      <xdr:colOff>719137</xdr:colOff>
      <xdr:row>32</xdr:row>
      <xdr:rowOff>797717</xdr:rowOff>
    </xdr:to>
    <xdr:pic>
      <xdr:nvPicPr>
        <xdr:cNvPr id="70" name="Picture 1" descr="cid:image004.png@01DD3094.CEBF4EC0"/>
        <xdr:cNvPicPr>
          <a:picLocks noChangeAspect="1" noChangeArrowheads="1"/>
        </xdr:cNvPicPr>
      </xdr:nvPicPr>
      <xdr:blipFill>
        <a:blip xmlns:r="http://schemas.openxmlformats.org/officeDocument/2006/relationships" r:embed="rId48" r:link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2312" y="21574125"/>
          <a:ext cx="647700" cy="773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35719</xdr:colOff>
      <xdr:row>31</xdr:row>
      <xdr:rowOff>47625</xdr:rowOff>
    </xdr:from>
    <xdr:to>
      <xdr:col>8</xdr:col>
      <xdr:colOff>821531</xdr:colOff>
      <xdr:row>31</xdr:row>
      <xdr:rowOff>607218</xdr:rowOff>
    </xdr:to>
    <xdr:pic>
      <xdr:nvPicPr>
        <xdr:cNvPr id="71" name="Picture 2" descr="cid:image003.png@01DD3094.CEBF4EC0"/>
        <xdr:cNvPicPr>
          <a:picLocks noChangeAspect="1" noChangeArrowheads="1"/>
        </xdr:cNvPicPr>
      </xdr:nvPicPr>
      <xdr:blipFill>
        <a:blip xmlns:r="http://schemas.openxmlformats.org/officeDocument/2006/relationships" r:embed="rId50" r:link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594" y="20943094"/>
          <a:ext cx="785812" cy="559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137583</xdr:colOff>
      <xdr:row>95</xdr:row>
      <xdr:rowOff>42334</xdr:rowOff>
    </xdr:from>
    <xdr:to>
      <xdr:col>8</xdr:col>
      <xdr:colOff>836084</xdr:colOff>
      <xdr:row>95</xdr:row>
      <xdr:rowOff>613834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297642" y="62111716"/>
          <a:ext cx="698501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96</xdr:row>
      <xdr:rowOff>74085</xdr:rowOff>
    </xdr:from>
    <xdr:to>
      <xdr:col>8</xdr:col>
      <xdr:colOff>857250</xdr:colOff>
      <xdr:row>96</xdr:row>
      <xdr:rowOff>645585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255309" y="62804614"/>
          <a:ext cx="7620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97</xdr:row>
      <xdr:rowOff>63500</xdr:rowOff>
    </xdr:from>
    <xdr:to>
      <xdr:col>8</xdr:col>
      <xdr:colOff>793750</xdr:colOff>
      <xdr:row>97</xdr:row>
      <xdr:rowOff>910168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223559" y="63455176"/>
          <a:ext cx="730250" cy="846668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105834</xdr:colOff>
      <xdr:row>98</xdr:row>
      <xdr:rowOff>158750</xdr:rowOff>
    </xdr:from>
    <xdr:to>
      <xdr:col>8</xdr:col>
      <xdr:colOff>718747</xdr:colOff>
      <xdr:row>98</xdr:row>
      <xdr:rowOff>721519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291417" y="64262000"/>
          <a:ext cx="612913" cy="562769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99</xdr:row>
      <xdr:rowOff>59530</xdr:rowOff>
    </xdr:from>
    <xdr:to>
      <xdr:col>8</xdr:col>
      <xdr:colOff>773907</xdr:colOff>
      <xdr:row>99</xdr:row>
      <xdr:rowOff>595311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9F3F50C-4D5A-A9AB-F71F-4904C8AA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62313" y="65091468"/>
          <a:ext cx="702469" cy="535781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81</xdr:row>
      <xdr:rowOff>130968</xdr:rowOff>
    </xdr:from>
    <xdr:to>
      <xdr:col>8</xdr:col>
      <xdr:colOff>762000</xdr:colOff>
      <xdr:row>81</xdr:row>
      <xdr:rowOff>583406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89B0CAD-4AD2-3F00-8903-AFE22A131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250406" y="51756468"/>
          <a:ext cx="702469" cy="452438"/>
        </a:xfrm>
        <a:prstGeom prst="rect">
          <a:avLst/>
        </a:prstGeom>
      </xdr:spPr>
    </xdr:pic>
    <xdr:clientData/>
  </xdr:twoCellAnchor>
  <xdr:twoCellAnchor>
    <xdr:from>
      <xdr:col>8</xdr:col>
      <xdr:colOff>134471</xdr:colOff>
      <xdr:row>93</xdr:row>
      <xdr:rowOff>78441</xdr:rowOff>
    </xdr:from>
    <xdr:to>
      <xdr:col>8</xdr:col>
      <xdr:colOff>806604</xdr:colOff>
      <xdr:row>93</xdr:row>
      <xdr:rowOff>619125</xdr:rowOff>
    </xdr:to>
    <xdr:pic>
      <xdr:nvPicPr>
        <xdr:cNvPr id="80" name="Picture 1" descr="cid:image001.png@01DD3C93.38FC97C0"/>
        <xdr:cNvPicPr>
          <a:picLocks noChangeAspect="1" noChangeArrowheads="1"/>
        </xdr:cNvPicPr>
      </xdr:nvPicPr>
      <xdr:blipFill>
        <a:blip xmlns:r="http://schemas.openxmlformats.org/officeDocument/2006/relationships" r:embed="rId57" r:link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530" y="60825529"/>
          <a:ext cx="672133" cy="540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83342</xdr:colOff>
      <xdr:row>7</xdr:row>
      <xdr:rowOff>83344</xdr:rowOff>
    </xdr:from>
    <xdr:to>
      <xdr:col>8</xdr:col>
      <xdr:colOff>726281</xdr:colOff>
      <xdr:row>7</xdr:row>
      <xdr:rowOff>803931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4333873" y="3762375"/>
          <a:ext cx="642939" cy="720587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8</xdr:row>
      <xdr:rowOff>130969</xdr:rowOff>
    </xdr:from>
    <xdr:to>
      <xdr:col>8</xdr:col>
      <xdr:colOff>773906</xdr:colOff>
      <xdr:row>8</xdr:row>
      <xdr:rowOff>868121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3874" y="4750594"/>
          <a:ext cx="690563" cy="73715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10</xdr:row>
      <xdr:rowOff>71438</xdr:rowOff>
    </xdr:from>
    <xdr:to>
      <xdr:col>8</xdr:col>
      <xdr:colOff>881062</xdr:colOff>
      <xdr:row>10</xdr:row>
      <xdr:rowOff>869156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0063" y="7072313"/>
          <a:ext cx="785812" cy="797718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107155</xdr:colOff>
      <xdr:row>9</xdr:row>
      <xdr:rowOff>71438</xdr:rowOff>
    </xdr:from>
    <xdr:to>
      <xdr:col>8</xdr:col>
      <xdr:colOff>785813</xdr:colOff>
      <xdr:row>9</xdr:row>
      <xdr:rowOff>825155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4357686" y="5715001"/>
          <a:ext cx="678658" cy="753717"/>
        </a:xfrm>
        <a:prstGeom prst="rect">
          <a:avLst/>
        </a:prstGeom>
      </xdr:spPr>
    </xdr:pic>
    <xdr:clientData/>
  </xdr:twoCellAnchor>
  <xdr:oneCellAnchor>
    <xdr:from>
      <xdr:col>8</xdr:col>
      <xdr:colOff>47625</xdr:colOff>
      <xdr:row>11</xdr:row>
      <xdr:rowOff>130969</xdr:rowOff>
    </xdr:from>
    <xdr:ext cx="797718" cy="612914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2438" y="8060532"/>
          <a:ext cx="797718" cy="612914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77</xdr:row>
      <xdr:rowOff>95250</xdr:rowOff>
    </xdr:from>
    <xdr:to>
      <xdr:col>9</xdr:col>
      <xdr:colOff>31750</xdr:colOff>
      <xdr:row>77</xdr:row>
      <xdr:rowOff>869156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45781" y="52244625"/>
          <a:ext cx="857250" cy="773906"/>
        </a:xfrm>
        <a:prstGeom prst="rect">
          <a:avLst/>
        </a:prstGeom>
      </xdr:spPr>
    </xdr:pic>
    <xdr:clientData/>
  </xdr:twoCellAnchor>
  <xdr:twoCellAnchor editAs="oneCell">
    <xdr:from>
      <xdr:col>8</xdr:col>
      <xdr:colOff>35718</xdr:colOff>
      <xdr:row>78</xdr:row>
      <xdr:rowOff>71437</xdr:rowOff>
    </xdr:from>
    <xdr:to>
      <xdr:col>8</xdr:col>
      <xdr:colOff>857249</xdr:colOff>
      <xdr:row>78</xdr:row>
      <xdr:rowOff>940592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49" y="53197125"/>
          <a:ext cx="821531" cy="86915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13</xdr:row>
      <xdr:rowOff>107156</xdr:rowOff>
    </xdr:from>
    <xdr:to>
      <xdr:col>8</xdr:col>
      <xdr:colOff>689527</xdr:colOff>
      <xdr:row>13</xdr:row>
      <xdr:rowOff>792870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93406" y="9132094"/>
          <a:ext cx="546652" cy="6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178594</xdr:colOff>
      <xdr:row>12</xdr:row>
      <xdr:rowOff>59531</xdr:rowOff>
    </xdr:from>
    <xdr:to>
      <xdr:col>8</xdr:col>
      <xdr:colOff>733529</xdr:colOff>
      <xdr:row>12</xdr:row>
      <xdr:rowOff>753929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29125" y="8239125"/>
          <a:ext cx="554935" cy="694398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6</xdr:row>
      <xdr:rowOff>154780</xdr:rowOff>
    </xdr:from>
    <xdr:to>
      <xdr:col>8</xdr:col>
      <xdr:colOff>821531</xdr:colOff>
      <xdr:row>6</xdr:row>
      <xdr:rowOff>785811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F18878-A794-41BD-A6B2-73FA2F9C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V="1">
          <a:off x="4405312" y="3262311"/>
          <a:ext cx="666750" cy="631031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130969</xdr:colOff>
      <xdr:row>46</xdr:row>
      <xdr:rowOff>71438</xdr:rowOff>
    </xdr:from>
    <xdr:to>
      <xdr:col>8</xdr:col>
      <xdr:colOff>834991</xdr:colOff>
      <xdr:row>46</xdr:row>
      <xdr:rowOff>631032</xdr:rowOff>
    </xdr:to>
    <xdr:pic>
      <xdr:nvPicPr>
        <xdr:cNvPr id="1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31420594"/>
          <a:ext cx="704022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130968</xdr:colOff>
      <xdr:row>47</xdr:row>
      <xdr:rowOff>59532</xdr:rowOff>
    </xdr:from>
    <xdr:to>
      <xdr:col>8</xdr:col>
      <xdr:colOff>844515</xdr:colOff>
      <xdr:row>47</xdr:row>
      <xdr:rowOff>573882</xdr:rowOff>
    </xdr:to>
    <xdr:pic>
      <xdr:nvPicPr>
        <xdr:cNvPr id="1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9" y="32063532"/>
          <a:ext cx="713547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142875</xdr:colOff>
      <xdr:row>48</xdr:row>
      <xdr:rowOff>119062</xdr:rowOff>
    </xdr:from>
    <xdr:to>
      <xdr:col>8</xdr:col>
      <xdr:colOff>750093</xdr:colOff>
      <xdr:row>48</xdr:row>
      <xdr:rowOff>547688</xdr:rowOff>
    </xdr:to>
    <xdr:pic>
      <xdr:nvPicPr>
        <xdr:cNvPr id="1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8" y="32777906"/>
          <a:ext cx="607218" cy="428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71437</xdr:colOff>
      <xdr:row>37</xdr:row>
      <xdr:rowOff>35719</xdr:rowOff>
    </xdr:from>
    <xdr:to>
      <xdr:col>8</xdr:col>
      <xdr:colOff>775459</xdr:colOff>
      <xdr:row>37</xdr:row>
      <xdr:rowOff>523875</xdr:rowOff>
    </xdr:to>
    <xdr:pic>
      <xdr:nvPicPr>
        <xdr:cNvPr id="1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1968" y="25491282"/>
          <a:ext cx="704022" cy="488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130968</xdr:colOff>
      <xdr:row>38</xdr:row>
      <xdr:rowOff>59531</xdr:rowOff>
    </xdr:from>
    <xdr:to>
      <xdr:col>8</xdr:col>
      <xdr:colOff>796061</xdr:colOff>
      <xdr:row>38</xdr:row>
      <xdr:rowOff>621506</xdr:rowOff>
    </xdr:to>
    <xdr:pic>
      <xdr:nvPicPr>
        <xdr:cNvPr id="1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9" y="26169937"/>
          <a:ext cx="665093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83345</xdr:colOff>
      <xdr:row>39</xdr:row>
      <xdr:rowOff>130969</xdr:rowOff>
    </xdr:from>
    <xdr:to>
      <xdr:col>8</xdr:col>
      <xdr:colOff>809625</xdr:colOff>
      <xdr:row>39</xdr:row>
      <xdr:rowOff>595312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8158" y="26896219"/>
          <a:ext cx="726280" cy="464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23813</xdr:colOff>
      <xdr:row>40</xdr:row>
      <xdr:rowOff>47625</xdr:rowOff>
    </xdr:from>
    <xdr:to>
      <xdr:col>8</xdr:col>
      <xdr:colOff>727835</xdr:colOff>
      <xdr:row>40</xdr:row>
      <xdr:rowOff>619125</xdr:rowOff>
    </xdr:to>
    <xdr:pic>
      <xdr:nvPicPr>
        <xdr:cNvPr id="1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344" y="27467719"/>
          <a:ext cx="704022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107157</xdr:colOff>
      <xdr:row>41</xdr:row>
      <xdr:rowOff>71437</xdr:rowOff>
    </xdr:from>
    <xdr:to>
      <xdr:col>8</xdr:col>
      <xdr:colOff>792129</xdr:colOff>
      <xdr:row>41</xdr:row>
      <xdr:rowOff>585787</xdr:rowOff>
    </xdr:to>
    <xdr:pic>
      <xdr:nvPicPr>
        <xdr:cNvPr id="2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8" y="28146375"/>
          <a:ext cx="68497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42</xdr:row>
      <xdr:rowOff>95250</xdr:rowOff>
    </xdr:from>
    <xdr:to>
      <xdr:col>8</xdr:col>
      <xdr:colOff>801653</xdr:colOff>
      <xdr:row>42</xdr:row>
      <xdr:rowOff>485775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7" y="28825031"/>
          <a:ext cx="694497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71437</xdr:colOff>
      <xdr:row>119</xdr:row>
      <xdr:rowOff>71437</xdr:rowOff>
    </xdr:from>
    <xdr:to>
      <xdr:col>8</xdr:col>
      <xdr:colOff>775459</xdr:colOff>
      <xdr:row>119</xdr:row>
      <xdr:rowOff>631031</xdr:rowOff>
    </xdr:to>
    <xdr:pic>
      <xdr:nvPicPr>
        <xdr:cNvPr id="2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1968" y="79795687"/>
          <a:ext cx="704022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59532</xdr:colOff>
      <xdr:row>120</xdr:row>
      <xdr:rowOff>47625</xdr:rowOff>
    </xdr:from>
    <xdr:to>
      <xdr:col>8</xdr:col>
      <xdr:colOff>744504</xdr:colOff>
      <xdr:row>120</xdr:row>
      <xdr:rowOff>561975</xdr:rowOff>
    </xdr:to>
    <xdr:pic>
      <xdr:nvPicPr>
        <xdr:cNvPr id="2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3" y="80426719"/>
          <a:ext cx="68497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119063</xdr:colOff>
      <xdr:row>121</xdr:row>
      <xdr:rowOff>71438</xdr:rowOff>
    </xdr:from>
    <xdr:to>
      <xdr:col>8</xdr:col>
      <xdr:colOff>809625</xdr:colOff>
      <xdr:row>121</xdr:row>
      <xdr:rowOff>535781</xdr:rowOff>
    </xdr:to>
    <xdr:pic>
      <xdr:nvPicPr>
        <xdr:cNvPr id="25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6" y="81212532"/>
          <a:ext cx="690562" cy="464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43</xdr:row>
      <xdr:rowOff>71438</xdr:rowOff>
    </xdr:from>
    <xdr:to>
      <xdr:col>8</xdr:col>
      <xdr:colOff>780222</xdr:colOff>
      <xdr:row>43</xdr:row>
      <xdr:rowOff>597694</xdr:rowOff>
    </xdr:to>
    <xdr:pic>
      <xdr:nvPicPr>
        <xdr:cNvPr id="2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8156" y="29456063"/>
          <a:ext cx="732597" cy="526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44</xdr:row>
      <xdr:rowOff>47625</xdr:rowOff>
    </xdr:from>
    <xdr:to>
      <xdr:col>8</xdr:col>
      <xdr:colOff>751647</xdr:colOff>
      <xdr:row>44</xdr:row>
      <xdr:rowOff>538163</xdr:rowOff>
    </xdr:to>
    <xdr:pic>
      <xdr:nvPicPr>
        <xdr:cNvPr id="2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8156" y="30087094"/>
          <a:ext cx="704022" cy="490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45</xdr:row>
      <xdr:rowOff>47625</xdr:rowOff>
    </xdr:from>
    <xdr:to>
      <xdr:col>8</xdr:col>
      <xdr:colOff>759826</xdr:colOff>
      <xdr:row>45</xdr:row>
      <xdr:rowOff>609600</xdr:rowOff>
    </xdr:to>
    <xdr:pic>
      <xdr:nvPicPr>
        <xdr:cNvPr id="3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7" y="30741938"/>
          <a:ext cx="65267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119063</xdr:colOff>
      <xdr:row>135</xdr:row>
      <xdr:rowOff>35718</xdr:rowOff>
    </xdr:from>
    <xdr:to>
      <xdr:col>8</xdr:col>
      <xdr:colOff>851660</xdr:colOff>
      <xdr:row>135</xdr:row>
      <xdr:rowOff>585787</xdr:rowOff>
    </xdr:to>
    <xdr:pic>
      <xdr:nvPicPr>
        <xdr:cNvPr id="3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594" y="90237468"/>
          <a:ext cx="732597" cy="550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136</xdr:row>
      <xdr:rowOff>11907</xdr:rowOff>
    </xdr:from>
    <xdr:to>
      <xdr:col>8</xdr:col>
      <xdr:colOff>811178</xdr:colOff>
      <xdr:row>136</xdr:row>
      <xdr:rowOff>526257</xdr:rowOff>
    </xdr:to>
    <xdr:pic>
      <xdr:nvPicPr>
        <xdr:cNvPr id="3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7" y="90868501"/>
          <a:ext cx="70402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59531</xdr:colOff>
      <xdr:row>137</xdr:row>
      <xdr:rowOff>35718</xdr:rowOff>
    </xdr:from>
    <xdr:to>
      <xdr:col>8</xdr:col>
      <xdr:colOff>712201</xdr:colOff>
      <xdr:row>137</xdr:row>
      <xdr:rowOff>597693</xdr:rowOff>
    </xdr:to>
    <xdr:pic>
      <xdr:nvPicPr>
        <xdr:cNvPr id="3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2" y="91547156"/>
          <a:ext cx="65267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138</xdr:row>
      <xdr:rowOff>0</xdr:rowOff>
    </xdr:from>
    <xdr:to>
      <xdr:col>8</xdr:col>
      <xdr:colOff>808797</xdr:colOff>
      <xdr:row>138</xdr:row>
      <xdr:rowOff>619125</xdr:rowOff>
    </xdr:to>
    <xdr:pic>
      <xdr:nvPicPr>
        <xdr:cNvPr id="35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5781" y="92166281"/>
          <a:ext cx="713547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107156</xdr:colOff>
      <xdr:row>139</xdr:row>
      <xdr:rowOff>1</xdr:rowOff>
    </xdr:from>
    <xdr:to>
      <xdr:col>8</xdr:col>
      <xdr:colOff>792128</xdr:colOff>
      <xdr:row>139</xdr:row>
      <xdr:rowOff>607219</xdr:rowOff>
    </xdr:to>
    <xdr:pic>
      <xdr:nvPicPr>
        <xdr:cNvPr id="36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687" y="92821126"/>
          <a:ext cx="684972" cy="607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119062</xdr:colOff>
      <xdr:row>60</xdr:row>
      <xdr:rowOff>47625</xdr:rowOff>
    </xdr:from>
    <xdr:to>
      <xdr:col>8</xdr:col>
      <xdr:colOff>783975</xdr:colOff>
      <xdr:row>60</xdr:row>
      <xdr:rowOff>666750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33875" y="40564594"/>
          <a:ext cx="664913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61</xdr:row>
      <xdr:rowOff>35719</xdr:rowOff>
    </xdr:from>
    <xdr:to>
      <xdr:col>8</xdr:col>
      <xdr:colOff>772069</xdr:colOff>
      <xdr:row>61</xdr:row>
      <xdr:rowOff>607219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21969" y="41314688"/>
          <a:ext cx="664913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63</xdr:row>
      <xdr:rowOff>47625</xdr:rowOff>
    </xdr:from>
    <xdr:to>
      <xdr:col>8</xdr:col>
      <xdr:colOff>807788</xdr:colOff>
      <xdr:row>63</xdr:row>
      <xdr:rowOff>607219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57688" y="42636281"/>
          <a:ext cx="664913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64</xdr:row>
      <xdr:rowOff>47625</xdr:rowOff>
    </xdr:from>
    <xdr:to>
      <xdr:col>8</xdr:col>
      <xdr:colOff>760163</xdr:colOff>
      <xdr:row>64</xdr:row>
      <xdr:rowOff>631031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10063" y="43291125"/>
          <a:ext cx="664913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70</xdr:row>
      <xdr:rowOff>47625</xdr:rowOff>
    </xdr:from>
    <xdr:to>
      <xdr:col>8</xdr:col>
      <xdr:colOff>807788</xdr:colOff>
      <xdr:row>70</xdr:row>
      <xdr:rowOff>559593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57688" y="47220188"/>
          <a:ext cx="664913" cy="511968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59</xdr:row>
      <xdr:rowOff>47625</xdr:rowOff>
    </xdr:from>
    <xdr:to>
      <xdr:col>8</xdr:col>
      <xdr:colOff>869156</xdr:colOff>
      <xdr:row>59</xdr:row>
      <xdr:rowOff>571500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98157" y="39909750"/>
          <a:ext cx="785812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62</xdr:row>
      <xdr:rowOff>47625</xdr:rowOff>
    </xdr:from>
    <xdr:to>
      <xdr:col>8</xdr:col>
      <xdr:colOff>869156</xdr:colOff>
      <xdr:row>62</xdr:row>
      <xdr:rowOff>571500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98157" y="41981438"/>
          <a:ext cx="785812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35719</xdr:colOff>
      <xdr:row>65</xdr:row>
      <xdr:rowOff>71437</xdr:rowOff>
    </xdr:from>
    <xdr:to>
      <xdr:col>8</xdr:col>
      <xdr:colOff>821531</xdr:colOff>
      <xdr:row>65</xdr:row>
      <xdr:rowOff>595312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50532" y="43969781"/>
          <a:ext cx="785812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69</xdr:row>
      <xdr:rowOff>59531</xdr:rowOff>
    </xdr:from>
    <xdr:to>
      <xdr:col>8</xdr:col>
      <xdr:colOff>845343</xdr:colOff>
      <xdr:row>69</xdr:row>
      <xdr:rowOff>583406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74344" y="46577250"/>
          <a:ext cx="785812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71</xdr:row>
      <xdr:rowOff>23812</xdr:rowOff>
    </xdr:from>
    <xdr:to>
      <xdr:col>8</xdr:col>
      <xdr:colOff>857249</xdr:colOff>
      <xdr:row>71</xdr:row>
      <xdr:rowOff>547687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86250" y="47851218"/>
          <a:ext cx="785812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92</xdr:row>
      <xdr:rowOff>23813</xdr:rowOff>
    </xdr:from>
    <xdr:to>
      <xdr:col>8</xdr:col>
      <xdr:colOff>869155</xdr:colOff>
      <xdr:row>92</xdr:row>
      <xdr:rowOff>547688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98156" y="62364938"/>
          <a:ext cx="785812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55</xdr:row>
      <xdr:rowOff>35719</xdr:rowOff>
    </xdr:from>
    <xdr:to>
      <xdr:col>8</xdr:col>
      <xdr:colOff>766141</xdr:colOff>
      <xdr:row>55</xdr:row>
      <xdr:rowOff>619125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10063" y="37278469"/>
          <a:ext cx="670891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57</xdr:row>
      <xdr:rowOff>47625</xdr:rowOff>
    </xdr:from>
    <xdr:to>
      <xdr:col>8</xdr:col>
      <xdr:colOff>718516</xdr:colOff>
      <xdr:row>57</xdr:row>
      <xdr:rowOff>631031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62438" y="38600063"/>
          <a:ext cx="670891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66</xdr:row>
      <xdr:rowOff>59531</xdr:rowOff>
    </xdr:from>
    <xdr:to>
      <xdr:col>8</xdr:col>
      <xdr:colOff>730423</xdr:colOff>
      <xdr:row>66</xdr:row>
      <xdr:rowOff>642937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74345" y="44612719"/>
          <a:ext cx="670891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67</xdr:row>
      <xdr:rowOff>47625</xdr:rowOff>
    </xdr:from>
    <xdr:to>
      <xdr:col>8</xdr:col>
      <xdr:colOff>766141</xdr:colOff>
      <xdr:row>67</xdr:row>
      <xdr:rowOff>631031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10063" y="45255656"/>
          <a:ext cx="670891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72</xdr:row>
      <xdr:rowOff>23812</xdr:rowOff>
    </xdr:from>
    <xdr:to>
      <xdr:col>8</xdr:col>
      <xdr:colOff>778047</xdr:colOff>
      <xdr:row>72</xdr:row>
      <xdr:rowOff>607218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21969" y="48506062"/>
          <a:ext cx="670891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56</xdr:row>
      <xdr:rowOff>47625</xdr:rowOff>
    </xdr:from>
    <xdr:to>
      <xdr:col>8</xdr:col>
      <xdr:colOff>775062</xdr:colOff>
      <xdr:row>56</xdr:row>
      <xdr:rowOff>619125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310063" y="37945219"/>
          <a:ext cx="679812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58</xdr:row>
      <xdr:rowOff>35718</xdr:rowOff>
    </xdr:from>
    <xdr:to>
      <xdr:col>8</xdr:col>
      <xdr:colOff>763155</xdr:colOff>
      <xdr:row>58</xdr:row>
      <xdr:rowOff>631031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98156" y="39242999"/>
          <a:ext cx="679812" cy="595313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68</xdr:row>
      <xdr:rowOff>95250</xdr:rowOff>
    </xdr:from>
    <xdr:to>
      <xdr:col>8</xdr:col>
      <xdr:colOff>786968</xdr:colOff>
      <xdr:row>68</xdr:row>
      <xdr:rowOff>631031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321969" y="45958125"/>
          <a:ext cx="679812" cy="535781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73</xdr:row>
      <xdr:rowOff>47625</xdr:rowOff>
    </xdr:from>
    <xdr:to>
      <xdr:col>8</xdr:col>
      <xdr:colOff>763156</xdr:colOff>
      <xdr:row>74</xdr:row>
      <xdr:rowOff>-1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98157" y="49184719"/>
          <a:ext cx="679812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74</xdr:row>
      <xdr:rowOff>119062</xdr:rowOff>
    </xdr:from>
    <xdr:to>
      <xdr:col>8</xdr:col>
      <xdr:colOff>727437</xdr:colOff>
      <xdr:row>74</xdr:row>
      <xdr:rowOff>607218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62438" y="49911000"/>
          <a:ext cx="679812" cy="488156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130968</xdr:colOff>
      <xdr:row>156</xdr:row>
      <xdr:rowOff>59532</xdr:rowOff>
    </xdr:from>
    <xdr:to>
      <xdr:col>8</xdr:col>
      <xdr:colOff>845342</xdr:colOff>
      <xdr:row>156</xdr:row>
      <xdr:rowOff>583407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345781" y="104120157"/>
          <a:ext cx="714374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35719</xdr:colOff>
      <xdr:row>158</xdr:row>
      <xdr:rowOff>59530</xdr:rowOff>
    </xdr:from>
    <xdr:to>
      <xdr:col>8</xdr:col>
      <xdr:colOff>785812</xdr:colOff>
      <xdr:row>158</xdr:row>
      <xdr:rowOff>785811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50532" y="105429843"/>
          <a:ext cx="750093" cy="726281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130968</xdr:colOff>
      <xdr:row>155</xdr:row>
      <xdr:rowOff>35719</xdr:rowOff>
    </xdr:from>
    <xdr:to>
      <xdr:col>8</xdr:col>
      <xdr:colOff>845342</xdr:colOff>
      <xdr:row>155</xdr:row>
      <xdr:rowOff>619125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345781" y="103441500"/>
          <a:ext cx="714374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157</xdr:row>
      <xdr:rowOff>59531</xdr:rowOff>
    </xdr:from>
    <xdr:to>
      <xdr:col>8</xdr:col>
      <xdr:colOff>821531</xdr:colOff>
      <xdr:row>157</xdr:row>
      <xdr:rowOff>654842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62438" y="104775000"/>
          <a:ext cx="773906" cy="595311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159</xdr:row>
      <xdr:rowOff>35719</xdr:rowOff>
    </xdr:from>
    <xdr:to>
      <xdr:col>8</xdr:col>
      <xdr:colOff>785812</xdr:colOff>
      <xdr:row>160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98157" y="106287094"/>
          <a:ext cx="702468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59530</xdr:colOff>
      <xdr:row>161</xdr:row>
      <xdr:rowOff>23812</xdr:rowOff>
    </xdr:from>
    <xdr:to>
      <xdr:col>8</xdr:col>
      <xdr:colOff>702467</xdr:colOff>
      <xdr:row>161</xdr:row>
      <xdr:rowOff>619125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74343" y="107584875"/>
          <a:ext cx="642937" cy="595313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163</xdr:row>
      <xdr:rowOff>47626</xdr:rowOff>
    </xdr:from>
    <xdr:to>
      <xdr:col>8</xdr:col>
      <xdr:colOff>773906</xdr:colOff>
      <xdr:row>163</xdr:row>
      <xdr:rowOff>619126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86251" y="108918376"/>
          <a:ext cx="702468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160</xdr:row>
      <xdr:rowOff>83344</xdr:rowOff>
    </xdr:from>
    <xdr:to>
      <xdr:col>8</xdr:col>
      <xdr:colOff>750093</xdr:colOff>
      <xdr:row>160</xdr:row>
      <xdr:rowOff>595312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86250" y="106989563"/>
          <a:ext cx="678656" cy="511968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162</xdr:row>
      <xdr:rowOff>71437</xdr:rowOff>
    </xdr:from>
    <xdr:to>
      <xdr:col>8</xdr:col>
      <xdr:colOff>702468</xdr:colOff>
      <xdr:row>162</xdr:row>
      <xdr:rowOff>631031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86250" y="108287343"/>
          <a:ext cx="631031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164</xdr:row>
      <xdr:rowOff>71438</xdr:rowOff>
    </xdr:from>
    <xdr:to>
      <xdr:col>8</xdr:col>
      <xdr:colOff>797717</xdr:colOff>
      <xdr:row>164</xdr:row>
      <xdr:rowOff>631031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62437" y="109597032"/>
          <a:ext cx="750093" cy="559593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98</xdr:row>
      <xdr:rowOff>23814</xdr:rowOff>
    </xdr:from>
    <xdr:to>
      <xdr:col>8</xdr:col>
      <xdr:colOff>809624</xdr:colOff>
      <xdr:row>98</xdr:row>
      <xdr:rowOff>642938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21969" y="66294002"/>
          <a:ext cx="702468" cy="61912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99</xdr:row>
      <xdr:rowOff>23812</xdr:rowOff>
    </xdr:from>
    <xdr:to>
      <xdr:col>8</xdr:col>
      <xdr:colOff>809624</xdr:colOff>
      <xdr:row>99</xdr:row>
      <xdr:rowOff>607218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10063" y="66948843"/>
          <a:ext cx="714374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97</xdr:row>
      <xdr:rowOff>23812</xdr:rowOff>
    </xdr:from>
    <xdr:to>
      <xdr:col>8</xdr:col>
      <xdr:colOff>773905</xdr:colOff>
      <xdr:row>97</xdr:row>
      <xdr:rowOff>559593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369594" y="65639156"/>
          <a:ext cx="619124" cy="535781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93</xdr:row>
      <xdr:rowOff>23812</xdr:rowOff>
    </xdr:from>
    <xdr:to>
      <xdr:col>8</xdr:col>
      <xdr:colOff>750094</xdr:colOff>
      <xdr:row>93</xdr:row>
      <xdr:rowOff>631030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86251" y="63019781"/>
          <a:ext cx="678656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95</xdr:row>
      <xdr:rowOff>35719</xdr:rowOff>
    </xdr:from>
    <xdr:to>
      <xdr:col>8</xdr:col>
      <xdr:colOff>773905</xdr:colOff>
      <xdr:row>95</xdr:row>
      <xdr:rowOff>631032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86250" y="64341375"/>
          <a:ext cx="702468" cy="595313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94</xdr:row>
      <xdr:rowOff>23812</xdr:rowOff>
    </xdr:from>
    <xdr:to>
      <xdr:col>8</xdr:col>
      <xdr:colOff>761999</xdr:colOff>
      <xdr:row>94</xdr:row>
      <xdr:rowOff>595311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86250" y="63674625"/>
          <a:ext cx="690562" cy="571499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96</xdr:row>
      <xdr:rowOff>59531</xdr:rowOff>
    </xdr:from>
    <xdr:to>
      <xdr:col>8</xdr:col>
      <xdr:colOff>773906</xdr:colOff>
      <xdr:row>96</xdr:row>
      <xdr:rowOff>631030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333876" y="65020031"/>
          <a:ext cx="654843" cy="571499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152</xdr:row>
      <xdr:rowOff>35719</xdr:rowOff>
    </xdr:from>
    <xdr:to>
      <xdr:col>8</xdr:col>
      <xdr:colOff>881061</xdr:colOff>
      <xdr:row>152</xdr:row>
      <xdr:rowOff>642938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86250" y="101476969"/>
          <a:ext cx="809624" cy="60721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151</xdr:row>
      <xdr:rowOff>35719</xdr:rowOff>
    </xdr:from>
    <xdr:to>
      <xdr:col>8</xdr:col>
      <xdr:colOff>916781</xdr:colOff>
      <xdr:row>151</xdr:row>
      <xdr:rowOff>607219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62438" y="100822125"/>
          <a:ext cx="869156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35719</xdr:colOff>
      <xdr:row>153</xdr:row>
      <xdr:rowOff>35720</xdr:rowOff>
    </xdr:from>
    <xdr:to>
      <xdr:col>8</xdr:col>
      <xdr:colOff>904875</xdr:colOff>
      <xdr:row>153</xdr:row>
      <xdr:rowOff>607220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50532" y="102131814"/>
          <a:ext cx="869156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</xdr:colOff>
      <xdr:row>154</xdr:row>
      <xdr:rowOff>35719</xdr:rowOff>
    </xdr:from>
    <xdr:to>
      <xdr:col>8</xdr:col>
      <xdr:colOff>845343</xdr:colOff>
      <xdr:row>154</xdr:row>
      <xdr:rowOff>595312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74344" y="102786657"/>
          <a:ext cx="785812" cy="559593"/>
        </a:xfrm>
        <a:prstGeom prst="rect">
          <a:avLst/>
        </a:prstGeom>
      </xdr:spPr>
    </xdr:pic>
    <xdr:clientData/>
  </xdr:twoCellAnchor>
  <xdr:twoCellAnchor editAs="oneCell">
    <xdr:from>
      <xdr:col>8</xdr:col>
      <xdr:colOff>83345</xdr:colOff>
      <xdr:row>50</xdr:row>
      <xdr:rowOff>23813</xdr:rowOff>
    </xdr:from>
    <xdr:to>
      <xdr:col>8</xdr:col>
      <xdr:colOff>857251</xdr:colOff>
      <xdr:row>50</xdr:row>
      <xdr:rowOff>604838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98158" y="33992344"/>
          <a:ext cx="773906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49</xdr:row>
      <xdr:rowOff>0</xdr:rowOff>
    </xdr:from>
    <xdr:to>
      <xdr:col>8</xdr:col>
      <xdr:colOff>881063</xdr:colOff>
      <xdr:row>49</xdr:row>
      <xdr:rowOff>600075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4814" y="33313688"/>
          <a:ext cx="881062" cy="600075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51</xdr:row>
      <xdr:rowOff>23813</xdr:rowOff>
    </xdr:from>
    <xdr:to>
      <xdr:col>8</xdr:col>
      <xdr:colOff>833437</xdr:colOff>
      <xdr:row>51</xdr:row>
      <xdr:rowOff>614363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98157" y="34647188"/>
          <a:ext cx="750093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71439</xdr:colOff>
      <xdr:row>53</xdr:row>
      <xdr:rowOff>35719</xdr:rowOff>
    </xdr:from>
    <xdr:to>
      <xdr:col>8</xdr:col>
      <xdr:colOff>785813</xdr:colOff>
      <xdr:row>53</xdr:row>
      <xdr:rowOff>616744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86252" y="35968782"/>
          <a:ext cx="714374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35720</xdr:colOff>
      <xdr:row>52</xdr:row>
      <xdr:rowOff>35718</xdr:rowOff>
    </xdr:from>
    <xdr:to>
      <xdr:col>8</xdr:col>
      <xdr:colOff>845344</xdr:colOff>
      <xdr:row>52</xdr:row>
      <xdr:rowOff>631030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50533" y="35313937"/>
          <a:ext cx="809624" cy="5953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54</xdr:row>
      <xdr:rowOff>35718</xdr:rowOff>
    </xdr:from>
    <xdr:to>
      <xdr:col>8</xdr:col>
      <xdr:colOff>857249</xdr:colOff>
      <xdr:row>54</xdr:row>
      <xdr:rowOff>607218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310063" y="36623624"/>
          <a:ext cx="761999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141</xdr:row>
      <xdr:rowOff>119062</xdr:rowOff>
    </xdr:from>
    <xdr:to>
      <xdr:col>8</xdr:col>
      <xdr:colOff>857249</xdr:colOff>
      <xdr:row>141</xdr:row>
      <xdr:rowOff>631031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86250" y="94357031"/>
          <a:ext cx="785812" cy="511969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142</xdr:row>
      <xdr:rowOff>47625</xdr:rowOff>
    </xdr:from>
    <xdr:to>
      <xdr:col>8</xdr:col>
      <xdr:colOff>785812</xdr:colOff>
      <xdr:row>142</xdr:row>
      <xdr:rowOff>638176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98157" y="94940438"/>
          <a:ext cx="702468" cy="590551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106</xdr:row>
      <xdr:rowOff>35719</xdr:rowOff>
    </xdr:from>
    <xdr:to>
      <xdr:col>8</xdr:col>
      <xdr:colOff>857250</xdr:colOff>
      <xdr:row>106</xdr:row>
      <xdr:rowOff>607218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86251" y="71544657"/>
          <a:ext cx="785812" cy="57149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904874</xdr:colOff>
      <xdr:row>107</xdr:row>
      <xdr:rowOff>600075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4813" y="72163781"/>
          <a:ext cx="904874" cy="600075"/>
        </a:xfrm>
        <a:prstGeom prst="rect">
          <a:avLst/>
        </a:prstGeom>
      </xdr:spPr>
    </xdr:pic>
    <xdr:clientData/>
  </xdr:twoCellAnchor>
  <xdr:twoCellAnchor editAs="oneCell">
    <xdr:from>
      <xdr:col>8</xdr:col>
      <xdr:colOff>59532</xdr:colOff>
      <xdr:row>140</xdr:row>
      <xdr:rowOff>59532</xdr:rowOff>
    </xdr:from>
    <xdr:to>
      <xdr:col>8</xdr:col>
      <xdr:colOff>833438</xdr:colOff>
      <xdr:row>140</xdr:row>
      <xdr:rowOff>619126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74345" y="93642657"/>
          <a:ext cx="773906" cy="55959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147</xdr:row>
      <xdr:rowOff>47625</xdr:rowOff>
    </xdr:from>
    <xdr:to>
      <xdr:col>8</xdr:col>
      <xdr:colOff>845343</xdr:colOff>
      <xdr:row>147</xdr:row>
      <xdr:rowOff>547688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62438" y="98214656"/>
          <a:ext cx="797718" cy="500063"/>
        </a:xfrm>
        <a:prstGeom prst="rect">
          <a:avLst/>
        </a:prstGeom>
      </xdr:spPr>
    </xdr:pic>
    <xdr:clientData/>
  </xdr:twoCellAnchor>
  <xdr:twoCellAnchor editAs="oneCell">
    <xdr:from>
      <xdr:col>8</xdr:col>
      <xdr:colOff>35719</xdr:colOff>
      <xdr:row>148</xdr:row>
      <xdr:rowOff>71438</xdr:rowOff>
    </xdr:from>
    <xdr:to>
      <xdr:col>8</xdr:col>
      <xdr:colOff>845343</xdr:colOff>
      <xdr:row>148</xdr:row>
      <xdr:rowOff>619125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50532" y="98893313"/>
          <a:ext cx="809624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59530</xdr:colOff>
      <xdr:row>149</xdr:row>
      <xdr:rowOff>23813</xdr:rowOff>
    </xdr:from>
    <xdr:to>
      <xdr:col>8</xdr:col>
      <xdr:colOff>892967</xdr:colOff>
      <xdr:row>149</xdr:row>
      <xdr:rowOff>642938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74343" y="99500532"/>
          <a:ext cx="833437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150</xdr:row>
      <xdr:rowOff>71437</xdr:rowOff>
    </xdr:from>
    <xdr:to>
      <xdr:col>8</xdr:col>
      <xdr:colOff>916781</xdr:colOff>
      <xdr:row>150</xdr:row>
      <xdr:rowOff>631030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62438" y="100203000"/>
          <a:ext cx="869156" cy="559593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146</xdr:row>
      <xdr:rowOff>47626</xdr:rowOff>
    </xdr:from>
    <xdr:to>
      <xdr:col>8</xdr:col>
      <xdr:colOff>904874</xdr:colOff>
      <xdr:row>147</xdr:row>
      <xdr:rowOff>1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62438" y="97559814"/>
          <a:ext cx="857249" cy="607218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143</xdr:row>
      <xdr:rowOff>95250</xdr:rowOff>
    </xdr:from>
    <xdr:to>
      <xdr:col>8</xdr:col>
      <xdr:colOff>881062</xdr:colOff>
      <xdr:row>143</xdr:row>
      <xdr:rowOff>571500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86251" y="95642906"/>
          <a:ext cx="809624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144</xdr:row>
      <xdr:rowOff>0</xdr:rowOff>
    </xdr:from>
    <xdr:to>
      <xdr:col>8</xdr:col>
      <xdr:colOff>821530</xdr:colOff>
      <xdr:row>144</xdr:row>
      <xdr:rowOff>547687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4812" y="96202500"/>
          <a:ext cx="821531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</xdr:colOff>
      <xdr:row>145</xdr:row>
      <xdr:rowOff>47625</xdr:rowOff>
    </xdr:from>
    <xdr:to>
      <xdr:col>8</xdr:col>
      <xdr:colOff>892968</xdr:colOff>
      <xdr:row>145</xdr:row>
      <xdr:rowOff>571500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38625" y="96904969"/>
          <a:ext cx="869156" cy="52387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125</xdr:row>
      <xdr:rowOff>35718</xdr:rowOff>
    </xdr:from>
    <xdr:to>
      <xdr:col>8</xdr:col>
      <xdr:colOff>892968</xdr:colOff>
      <xdr:row>125</xdr:row>
      <xdr:rowOff>583405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62438" y="83796187"/>
          <a:ext cx="845343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124</xdr:row>
      <xdr:rowOff>71437</xdr:rowOff>
    </xdr:from>
    <xdr:to>
      <xdr:col>8</xdr:col>
      <xdr:colOff>845343</xdr:colOff>
      <xdr:row>124</xdr:row>
      <xdr:rowOff>619124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62438" y="83177062"/>
          <a:ext cx="797718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23813</xdr:colOff>
      <xdr:row>123</xdr:row>
      <xdr:rowOff>47625</xdr:rowOff>
    </xdr:from>
    <xdr:to>
      <xdr:col>8</xdr:col>
      <xdr:colOff>892969</xdr:colOff>
      <xdr:row>123</xdr:row>
      <xdr:rowOff>619125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38626" y="82498406"/>
          <a:ext cx="869156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122</xdr:row>
      <xdr:rowOff>59531</xdr:rowOff>
    </xdr:from>
    <xdr:to>
      <xdr:col>8</xdr:col>
      <xdr:colOff>892968</xdr:colOff>
      <xdr:row>122</xdr:row>
      <xdr:rowOff>559593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62438" y="81855469"/>
          <a:ext cx="845343" cy="50006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130</xdr:row>
      <xdr:rowOff>59532</xdr:rowOff>
    </xdr:from>
    <xdr:to>
      <xdr:col>8</xdr:col>
      <xdr:colOff>845342</xdr:colOff>
      <xdr:row>130</xdr:row>
      <xdr:rowOff>558928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310062" y="87094220"/>
          <a:ext cx="750093" cy="499396"/>
        </a:xfrm>
        <a:prstGeom prst="rect">
          <a:avLst/>
        </a:prstGeom>
      </xdr:spPr>
    </xdr:pic>
    <xdr:clientData/>
  </xdr:twoCellAnchor>
  <xdr:twoCellAnchor editAs="oneCell">
    <xdr:from>
      <xdr:col>8</xdr:col>
      <xdr:colOff>166687</xdr:colOff>
      <xdr:row>131</xdr:row>
      <xdr:rowOff>83344</xdr:rowOff>
    </xdr:from>
    <xdr:to>
      <xdr:col>8</xdr:col>
      <xdr:colOff>793503</xdr:colOff>
      <xdr:row>131</xdr:row>
      <xdr:rowOff>646562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381500" y="87772875"/>
          <a:ext cx="626816" cy="563218"/>
        </a:xfrm>
        <a:prstGeom prst="rect">
          <a:avLst/>
        </a:prstGeom>
      </xdr:spPr>
    </xdr:pic>
    <xdr:clientData/>
  </xdr:twoCellAnchor>
  <xdr:oneCellAnchor>
    <xdr:from>
      <xdr:col>8</xdr:col>
      <xdr:colOff>107156</xdr:colOff>
      <xdr:row>132</xdr:row>
      <xdr:rowOff>35719</xdr:rowOff>
    </xdr:from>
    <xdr:ext cx="671743" cy="546652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321969" y="88380094"/>
          <a:ext cx="671743" cy="546652"/>
        </a:xfrm>
        <a:prstGeom prst="rect">
          <a:avLst/>
        </a:prstGeom>
      </xdr:spPr>
    </xdr:pic>
    <xdr:clientData/>
  </xdr:oneCellAnchor>
  <xdr:oneCellAnchor>
    <xdr:from>
      <xdr:col>8</xdr:col>
      <xdr:colOff>83344</xdr:colOff>
      <xdr:row>172</xdr:row>
      <xdr:rowOff>23813</xdr:rowOff>
    </xdr:from>
    <xdr:ext cx="663145" cy="605955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98157" y="114788157"/>
          <a:ext cx="663145" cy="605955"/>
        </a:xfrm>
        <a:prstGeom prst="rect">
          <a:avLst/>
        </a:prstGeom>
      </xdr:spPr>
    </xdr:pic>
    <xdr:clientData/>
  </xdr:oneCellAnchor>
  <xdr:oneCellAnchor>
    <xdr:from>
      <xdr:col>8</xdr:col>
      <xdr:colOff>83344</xdr:colOff>
      <xdr:row>173</xdr:row>
      <xdr:rowOff>71437</xdr:rowOff>
    </xdr:from>
    <xdr:ext cx="688391" cy="583406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98157" y="115490625"/>
          <a:ext cx="688391" cy="583406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127</xdr:row>
      <xdr:rowOff>47625</xdr:rowOff>
    </xdr:from>
    <xdr:to>
      <xdr:col>8</xdr:col>
      <xdr:colOff>773906</xdr:colOff>
      <xdr:row>127</xdr:row>
      <xdr:rowOff>585994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310063" y="85117781"/>
          <a:ext cx="678656" cy="538369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129</xdr:row>
      <xdr:rowOff>59531</xdr:rowOff>
    </xdr:from>
    <xdr:to>
      <xdr:col>8</xdr:col>
      <xdr:colOff>757859</xdr:colOff>
      <xdr:row>129</xdr:row>
      <xdr:rowOff>630069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310063" y="86439375"/>
          <a:ext cx="662609" cy="570538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107156</xdr:colOff>
      <xdr:row>128</xdr:row>
      <xdr:rowOff>59531</xdr:rowOff>
    </xdr:from>
    <xdr:to>
      <xdr:col>8</xdr:col>
      <xdr:colOff>783993</xdr:colOff>
      <xdr:row>128</xdr:row>
      <xdr:rowOff>631031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321969" y="85784531"/>
          <a:ext cx="676837" cy="571500"/>
        </a:xfrm>
        <a:prstGeom prst="rect">
          <a:avLst/>
        </a:prstGeom>
      </xdr:spPr>
    </xdr:pic>
    <xdr:clientData/>
  </xdr:twoCellAnchor>
  <xdr:oneCellAnchor>
    <xdr:from>
      <xdr:col>8</xdr:col>
      <xdr:colOff>95250</xdr:colOff>
      <xdr:row>126</xdr:row>
      <xdr:rowOff>35718</xdr:rowOff>
    </xdr:from>
    <xdr:ext cx="690562" cy="435356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310063" y="84451031"/>
          <a:ext cx="690562" cy="435356"/>
        </a:xfrm>
        <a:prstGeom prst="rect">
          <a:avLst/>
        </a:prstGeom>
      </xdr:spPr>
    </xdr:pic>
    <xdr:clientData/>
  </xdr:oneCellAnchor>
  <xdr:oneCellAnchor>
    <xdr:from>
      <xdr:col>8</xdr:col>
      <xdr:colOff>119063</xdr:colOff>
      <xdr:row>133</xdr:row>
      <xdr:rowOff>35719</xdr:rowOff>
    </xdr:from>
    <xdr:ext cx="676837" cy="57150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333876" y="89034938"/>
          <a:ext cx="676837" cy="571500"/>
        </a:xfrm>
        <a:prstGeom prst="rect">
          <a:avLst/>
        </a:prstGeom>
      </xdr:spPr>
    </xdr:pic>
    <xdr:clientData/>
  </xdr:oneCellAnchor>
  <xdr:oneCellAnchor>
    <xdr:from>
      <xdr:col>8</xdr:col>
      <xdr:colOff>119062</xdr:colOff>
      <xdr:row>134</xdr:row>
      <xdr:rowOff>35719</xdr:rowOff>
    </xdr:from>
    <xdr:ext cx="662609" cy="570538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333875" y="89689782"/>
          <a:ext cx="662609" cy="570538"/>
        </a:xfrm>
        <a:prstGeom prst="rect">
          <a:avLst/>
        </a:prstGeom>
      </xdr:spPr>
    </xdr:pic>
    <xdr:clientData/>
  </xdr:oneCellAnchor>
  <xdr:twoCellAnchor editAs="oneCell">
    <xdr:from>
      <xdr:col>8</xdr:col>
      <xdr:colOff>83344</xdr:colOff>
      <xdr:row>81</xdr:row>
      <xdr:rowOff>107157</xdr:rowOff>
    </xdr:from>
    <xdr:to>
      <xdr:col>8</xdr:col>
      <xdr:colOff>762518</xdr:colOff>
      <xdr:row>81</xdr:row>
      <xdr:rowOff>596274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98157" y="55245001"/>
          <a:ext cx="679174" cy="489117"/>
        </a:xfrm>
        <a:prstGeom prst="rect">
          <a:avLst/>
        </a:prstGeom>
      </xdr:spPr>
    </xdr:pic>
    <xdr:clientData/>
  </xdr:twoCellAnchor>
  <xdr:oneCellAnchor>
    <xdr:from>
      <xdr:col>8</xdr:col>
      <xdr:colOff>166687</xdr:colOff>
      <xdr:row>80</xdr:row>
      <xdr:rowOff>71437</xdr:rowOff>
    </xdr:from>
    <xdr:ext cx="554935" cy="538369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381500" y="54554437"/>
          <a:ext cx="554935" cy="538369"/>
        </a:xfrm>
        <a:prstGeom prst="rect">
          <a:avLst/>
        </a:prstGeom>
      </xdr:spPr>
    </xdr:pic>
    <xdr:clientData/>
  </xdr:oneCellAnchor>
  <xdr:twoCellAnchor editAs="oneCell">
    <xdr:from>
      <xdr:col>8</xdr:col>
      <xdr:colOff>142875</xdr:colOff>
      <xdr:row>176</xdr:row>
      <xdr:rowOff>35719</xdr:rowOff>
    </xdr:from>
    <xdr:to>
      <xdr:col>8</xdr:col>
      <xdr:colOff>623267</xdr:colOff>
      <xdr:row>176</xdr:row>
      <xdr:rowOff>565805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357688" y="117419438"/>
          <a:ext cx="480392" cy="530086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</xdr:colOff>
      <xdr:row>177</xdr:row>
      <xdr:rowOff>107156</xdr:rowOff>
    </xdr:from>
    <xdr:to>
      <xdr:col>8</xdr:col>
      <xdr:colOff>770801</xdr:colOff>
      <xdr:row>178</xdr:row>
      <xdr:rowOff>5918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98156" y="118145719"/>
          <a:ext cx="687458" cy="553605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119063</xdr:colOff>
      <xdr:row>175</xdr:row>
      <xdr:rowOff>119063</xdr:rowOff>
    </xdr:from>
    <xdr:to>
      <xdr:col>8</xdr:col>
      <xdr:colOff>731977</xdr:colOff>
      <xdr:row>175</xdr:row>
      <xdr:rowOff>631939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333876" y="116847938"/>
          <a:ext cx="612914" cy="512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107157</xdr:colOff>
      <xdr:row>174</xdr:row>
      <xdr:rowOff>59532</xdr:rowOff>
    </xdr:from>
    <xdr:to>
      <xdr:col>8</xdr:col>
      <xdr:colOff>696940</xdr:colOff>
      <xdr:row>174</xdr:row>
      <xdr:rowOff>607219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321970" y="116133563"/>
          <a:ext cx="589783" cy="547687"/>
        </a:xfrm>
        <a:prstGeom prst="rect">
          <a:avLst/>
        </a:prstGeom>
      </xdr:spPr>
    </xdr:pic>
    <xdr:clientData/>
  </xdr:twoCellAnchor>
  <xdr:twoCellAnchor editAs="oneCell">
    <xdr:from>
      <xdr:col>8</xdr:col>
      <xdr:colOff>83344</xdr:colOff>
      <xdr:row>170</xdr:row>
      <xdr:rowOff>59533</xdr:rowOff>
    </xdr:from>
    <xdr:to>
      <xdr:col>8</xdr:col>
      <xdr:colOff>647638</xdr:colOff>
      <xdr:row>170</xdr:row>
      <xdr:rowOff>547689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98157" y="113514189"/>
          <a:ext cx="564294" cy="48815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171</xdr:row>
      <xdr:rowOff>107156</xdr:rowOff>
    </xdr:from>
    <xdr:to>
      <xdr:col>8</xdr:col>
      <xdr:colOff>768212</xdr:colOff>
      <xdr:row>171</xdr:row>
      <xdr:rowOff>631031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62438" y="114216656"/>
          <a:ext cx="720587" cy="523875"/>
        </a:xfrm>
        <a:prstGeom prst="rect">
          <a:avLst/>
        </a:prstGeom>
      </xdr:spPr>
    </xdr:pic>
    <xdr:clientData/>
  </xdr:twoCellAnchor>
  <xdr:oneCellAnchor>
    <xdr:from>
      <xdr:col>8</xdr:col>
      <xdr:colOff>154781</xdr:colOff>
      <xdr:row>79</xdr:row>
      <xdr:rowOff>107157</xdr:rowOff>
    </xdr:from>
    <xdr:ext cx="530087" cy="435356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369594" y="53935313"/>
          <a:ext cx="530087" cy="435356"/>
        </a:xfrm>
        <a:prstGeom prst="rect">
          <a:avLst/>
        </a:prstGeom>
      </xdr:spPr>
    </xdr:pic>
    <xdr:clientData/>
  </xdr:oneCellAnchor>
  <xdr:twoCellAnchor editAs="oneCell">
    <xdr:from>
      <xdr:col>8</xdr:col>
      <xdr:colOff>95250</xdr:colOff>
      <xdr:row>89</xdr:row>
      <xdr:rowOff>47625</xdr:rowOff>
    </xdr:from>
    <xdr:to>
      <xdr:col>8</xdr:col>
      <xdr:colOff>821531</xdr:colOff>
      <xdr:row>89</xdr:row>
      <xdr:rowOff>631031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310063" y="60424219"/>
          <a:ext cx="726281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130968</xdr:colOff>
      <xdr:row>88</xdr:row>
      <xdr:rowOff>23813</xdr:rowOff>
    </xdr:from>
    <xdr:to>
      <xdr:col>8</xdr:col>
      <xdr:colOff>785811</xdr:colOff>
      <xdr:row>88</xdr:row>
      <xdr:rowOff>642938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345781" y="59745563"/>
          <a:ext cx="654843" cy="619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74084</xdr:colOff>
      <xdr:row>5</xdr:row>
      <xdr:rowOff>127000</xdr:rowOff>
    </xdr:from>
    <xdr:to>
      <xdr:col>8</xdr:col>
      <xdr:colOff>603250</xdr:colOff>
      <xdr:row>5</xdr:row>
      <xdr:rowOff>645583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1" y="2338917"/>
          <a:ext cx="529166" cy="518583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105833</xdr:colOff>
      <xdr:row>34</xdr:row>
      <xdr:rowOff>95250</xdr:rowOff>
    </xdr:from>
    <xdr:to>
      <xdr:col>8</xdr:col>
      <xdr:colOff>677333</xdr:colOff>
      <xdr:row>34</xdr:row>
      <xdr:rowOff>698500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2250" y="18425583"/>
          <a:ext cx="571500" cy="603250"/>
        </a:xfrm>
        <a:prstGeom prst="rect">
          <a:avLst/>
        </a:prstGeom>
      </xdr:spPr>
    </xdr:pic>
    <xdr:clientData/>
  </xdr:twoCellAnchor>
  <xdr:twoCellAnchor editAs="oneCell">
    <xdr:from>
      <xdr:col>8</xdr:col>
      <xdr:colOff>42334</xdr:colOff>
      <xdr:row>33</xdr:row>
      <xdr:rowOff>42333</xdr:rowOff>
    </xdr:from>
    <xdr:to>
      <xdr:col>8</xdr:col>
      <xdr:colOff>772584</xdr:colOff>
      <xdr:row>33</xdr:row>
      <xdr:rowOff>713779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8751" y="18044583"/>
          <a:ext cx="730250" cy="671446"/>
        </a:xfrm>
        <a:prstGeom prst="rect">
          <a:avLst/>
        </a:prstGeom>
      </xdr:spPr>
    </xdr:pic>
    <xdr:clientData/>
  </xdr:twoCellAnchor>
  <xdr:twoCellAnchor editAs="oneCell">
    <xdr:from>
      <xdr:col>8</xdr:col>
      <xdr:colOff>84666</xdr:colOff>
      <xdr:row>20</xdr:row>
      <xdr:rowOff>52916</xdr:rowOff>
    </xdr:from>
    <xdr:to>
      <xdr:col>8</xdr:col>
      <xdr:colOff>770466</xdr:colOff>
      <xdr:row>20</xdr:row>
      <xdr:rowOff>719666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1083" y="11736916"/>
          <a:ext cx="685800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74083</xdr:colOff>
      <xdr:row>19</xdr:row>
      <xdr:rowOff>31749</xdr:rowOff>
    </xdr:from>
    <xdr:to>
      <xdr:col>8</xdr:col>
      <xdr:colOff>740834</xdr:colOff>
      <xdr:row>19</xdr:row>
      <xdr:rowOff>560916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0500" y="11091332"/>
          <a:ext cx="666751" cy="52916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21</xdr:row>
      <xdr:rowOff>105834</xdr:rowOff>
    </xdr:from>
    <xdr:to>
      <xdr:col>8</xdr:col>
      <xdr:colOff>762000</xdr:colOff>
      <xdr:row>21</xdr:row>
      <xdr:rowOff>656168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21667" y="12530667"/>
          <a:ext cx="666750" cy="550334"/>
        </a:xfrm>
        <a:prstGeom prst="rect">
          <a:avLst/>
        </a:prstGeom>
      </xdr:spPr>
    </xdr:pic>
    <xdr:clientData/>
  </xdr:twoCellAnchor>
  <xdr:twoCellAnchor editAs="oneCell">
    <xdr:from>
      <xdr:col>8</xdr:col>
      <xdr:colOff>42333</xdr:colOff>
      <xdr:row>22</xdr:row>
      <xdr:rowOff>74083</xdr:rowOff>
    </xdr:from>
    <xdr:to>
      <xdr:col>8</xdr:col>
      <xdr:colOff>772583</xdr:colOff>
      <xdr:row>22</xdr:row>
      <xdr:rowOff>793750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68750" y="13165666"/>
          <a:ext cx="730250" cy="71966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24</xdr:row>
      <xdr:rowOff>42333</xdr:rowOff>
    </xdr:from>
    <xdr:to>
      <xdr:col>8</xdr:col>
      <xdr:colOff>781050</xdr:colOff>
      <xdr:row>24</xdr:row>
      <xdr:rowOff>918633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1667" y="14700250"/>
          <a:ext cx="685800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84666</xdr:colOff>
      <xdr:row>23</xdr:row>
      <xdr:rowOff>52916</xdr:rowOff>
    </xdr:from>
    <xdr:to>
      <xdr:col>8</xdr:col>
      <xdr:colOff>751417</xdr:colOff>
      <xdr:row>23</xdr:row>
      <xdr:rowOff>687916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1083" y="13959416"/>
          <a:ext cx="666751" cy="635000"/>
        </a:xfrm>
        <a:prstGeom prst="rect">
          <a:avLst/>
        </a:prstGeom>
      </xdr:spPr>
    </xdr:pic>
    <xdr:clientData/>
  </xdr:twoCellAnchor>
  <xdr:twoCellAnchor editAs="oneCell">
    <xdr:from>
      <xdr:col>8</xdr:col>
      <xdr:colOff>116417</xdr:colOff>
      <xdr:row>25</xdr:row>
      <xdr:rowOff>95250</xdr:rowOff>
    </xdr:from>
    <xdr:to>
      <xdr:col>8</xdr:col>
      <xdr:colOff>783167</xdr:colOff>
      <xdr:row>25</xdr:row>
      <xdr:rowOff>677333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42834" y="15811500"/>
          <a:ext cx="666750" cy="582083"/>
        </a:xfrm>
        <a:prstGeom prst="rect">
          <a:avLst/>
        </a:prstGeom>
      </xdr:spPr>
    </xdr:pic>
    <xdr:clientData/>
  </xdr:twoCellAnchor>
  <xdr:twoCellAnchor editAs="oneCell">
    <xdr:from>
      <xdr:col>8</xdr:col>
      <xdr:colOff>116416</xdr:colOff>
      <xdr:row>26</xdr:row>
      <xdr:rowOff>42335</xdr:rowOff>
    </xdr:from>
    <xdr:to>
      <xdr:col>8</xdr:col>
      <xdr:colOff>764116</xdr:colOff>
      <xdr:row>26</xdr:row>
      <xdr:rowOff>772585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42833" y="16594668"/>
          <a:ext cx="647700" cy="730250"/>
        </a:xfrm>
        <a:prstGeom prst="rect">
          <a:avLst/>
        </a:prstGeom>
      </xdr:spPr>
    </xdr:pic>
    <xdr:clientData/>
  </xdr:twoCellAnchor>
  <xdr:twoCellAnchor editAs="oneCell">
    <xdr:from>
      <xdr:col>8</xdr:col>
      <xdr:colOff>74083</xdr:colOff>
      <xdr:row>27</xdr:row>
      <xdr:rowOff>42333</xdr:rowOff>
    </xdr:from>
    <xdr:to>
      <xdr:col>8</xdr:col>
      <xdr:colOff>740833</xdr:colOff>
      <xdr:row>27</xdr:row>
      <xdr:rowOff>762000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0" y="17409583"/>
          <a:ext cx="666750" cy="719667"/>
        </a:xfrm>
        <a:prstGeom prst="rect">
          <a:avLst/>
        </a:prstGeom>
      </xdr:spPr>
    </xdr:pic>
    <xdr:clientData/>
  </xdr:twoCellAnchor>
  <xdr:twoCellAnchor editAs="oneCell">
    <xdr:from>
      <xdr:col>8</xdr:col>
      <xdr:colOff>84666</xdr:colOff>
      <xdr:row>28</xdr:row>
      <xdr:rowOff>42333</xdr:rowOff>
    </xdr:from>
    <xdr:to>
      <xdr:col>8</xdr:col>
      <xdr:colOff>857249</xdr:colOff>
      <xdr:row>28</xdr:row>
      <xdr:rowOff>783166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1083" y="18235083"/>
          <a:ext cx="772583" cy="740833"/>
        </a:xfrm>
        <a:prstGeom prst="rect">
          <a:avLst/>
        </a:prstGeom>
      </xdr:spPr>
    </xdr:pic>
    <xdr:clientData/>
  </xdr:twoCellAnchor>
  <xdr:twoCellAnchor editAs="oneCell">
    <xdr:from>
      <xdr:col>8</xdr:col>
      <xdr:colOff>52917</xdr:colOff>
      <xdr:row>7</xdr:row>
      <xdr:rowOff>63501</xdr:rowOff>
    </xdr:from>
    <xdr:to>
      <xdr:col>8</xdr:col>
      <xdr:colOff>836083</xdr:colOff>
      <xdr:row>7</xdr:row>
      <xdr:rowOff>698501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79334" y="4392084"/>
          <a:ext cx="783166" cy="6350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</xdr:row>
      <xdr:rowOff>95250</xdr:rowOff>
    </xdr:from>
    <xdr:to>
      <xdr:col>8</xdr:col>
      <xdr:colOff>711890</xdr:colOff>
      <xdr:row>4</xdr:row>
      <xdr:rowOff>687917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21667" y="1820333"/>
          <a:ext cx="616640" cy="592667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6</xdr:row>
      <xdr:rowOff>74083</xdr:rowOff>
    </xdr:from>
    <xdr:to>
      <xdr:col>8</xdr:col>
      <xdr:colOff>772215</xdr:colOff>
      <xdr:row>6</xdr:row>
      <xdr:rowOff>893233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53417" y="3439583"/>
          <a:ext cx="645215" cy="819150"/>
        </a:xfrm>
        <a:prstGeom prst="rect">
          <a:avLst/>
        </a:prstGeom>
      </xdr:spPr>
    </xdr:pic>
    <xdr:clientData/>
  </xdr:twoCellAnchor>
  <xdr:twoCellAnchor editAs="oneCell">
    <xdr:from>
      <xdr:col>8</xdr:col>
      <xdr:colOff>84666</xdr:colOff>
      <xdr:row>8</xdr:row>
      <xdr:rowOff>63500</xdr:rowOff>
    </xdr:from>
    <xdr:to>
      <xdr:col>8</xdr:col>
      <xdr:colOff>793749</xdr:colOff>
      <xdr:row>8</xdr:row>
      <xdr:rowOff>656166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11083" y="5196417"/>
          <a:ext cx="709083" cy="592666"/>
        </a:xfrm>
        <a:prstGeom prst="rect">
          <a:avLst/>
        </a:prstGeom>
      </xdr:spPr>
    </xdr:pic>
    <xdr:clientData/>
  </xdr:twoCellAnchor>
  <xdr:twoCellAnchor editAs="oneCell">
    <xdr:from>
      <xdr:col>8</xdr:col>
      <xdr:colOff>84667</xdr:colOff>
      <xdr:row>9</xdr:row>
      <xdr:rowOff>10583</xdr:rowOff>
    </xdr:from>
    <xdr:to>
      <xdr:col>8</xdr:col>
      <xdr:colOff>739407</xdr:colOff>
      <xdr:row>9</xdr:row>
      <xdr:rowOff>791633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1084" y="5894916"/>
          <a:ext cx="65474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10</xdr:row>
      <xdr:rowOff>74083</xdr:rowOff>
    </xdr:from>
    <xdr:to>
      <xdr:col>8</xdr:col>
      <xdr:colOff>708715</xdr:colOff>
      <xdr:row>10</xdr:row>
      <xdr:rowOff>730250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89917" y="6773333"/>
          <a:ext cx="645215" cy="656167"/>
        </a:xfrm>
        <a:prstGeom prst="rect">
          <a:avLst/>
        </a:prstGeom>
      </xdr:spPr>
    </xdr:pic>
    <xdr:clientData/>
  </xdr:twoCellAnchor>
  <xdr:twoCellAnchor editAs="oneCell">
    <xdr:from>
      <xdr:col>8</xdr:col>
      <xdr:colOff>21167</xdr:colOff>
      <xdr:row>14</xdr:row>
      <xdr:rowOff>84667</xdr:rowOff>
    </xdr:from>
    <xdr:to>
      <xdr:col>8</xdr:col>
      <xdr:colOff>889000</xdr:colOff>
      <xdr:row>14</xdr:row>
      <xdr:rowOff>645584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47584" y="9831917"/>
          <a:ext cx="867833" cy="560917"/>
        </a:xfrm>
        <a:prstGeom prst="rect">
          <a:avLst/>
        </a:prstGeom>
      </xdr:spPr>
    </xdr:pic>
    <xdr:clientData/>
  </xdr:twoCellAnchor>
  <xdr:twoCellAnchor editAs="oneCell">
    <xdr:from>
      <xdr:col>8</xdr:col>
      <xdr:colOff>52916</xdr:colOff>
      <xdr:row>11</xdr:row>
      <xdr:rowOff>74083</xdr:rowOff>
    </xdr:from>
    <xdr:to>
      <xdr:col>8</xdr:col>
      <xdr:colOff>867832</xdr:colOff>
      <xdr:row>11</xdr:row>
      <xdr:rowOff>719667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79333" y="7545916"/>
          <a:ext cx="814916" cy="645584"/>
        </a:xfrm>
        <a:prstGeom prst="rect">
          <a:avLst/>
        </a:prstGeom>
      </xdr:spPr>
    </xdr:pic>
    <xdr:clientData/>
  </xdr:twoCellAnchor>
  <xdr:twoCellAnchor editAs="oneCell">
    <xdr:from>
      <xdr:col>8</xdr:col>
      <xdr:colOff>42333</xdr:colOff>
      <xdr:row>12</xdr:row>
      <xdr:rowOff>116416</xdr:rowOff>
    </xdr:from>
    <xdr:to>
      <xdr:col>8</xdr:col>
      <xdr:colOff>697073</xdr:colOff>
      <xdr:row>12</xdr:row>
      <xdr:rowOff>781049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8750" y="8403166"/>
          <a:ext cx="654740" cy="664633"/>
        </a:xfrm>
        <a:prstGeom prst="rect">
          <a:avLst/>
        </a:prstGeom>
      </xdr:spPr>
    </xdr:pic>
    <xdr:clientData/>
  </xdr:twoCellAnchor>
  <xdr:twoCellAnchor editAs="oneCell">
    <xdr:from>
      <xdr:col>8</xdr:col>
      <xdr:colOff>84667</xdr:colOff>
      <xdr:row>13</xdr:row>
      <xdr:rowOff>74083</xdr:rowOff>
    </xdr:from>
    <xdr:to>
      <xdr:col>8</xdr:col>
      <xdr:colOff>846667</xdr:colOff>
      <xdr:row>13</xdr:row>
      <xdr:rowOff>560916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1084" y="9175750"/>
          <a:ext cx="762000" cy="486833"/>
        </a:xfrm>
        <a:prstGeom prst="rect">
          <a:avLst/>
        </a:prstGeom>
      </xdr:spPr>
    </xdr:pic>
    <xdr:clientData/>
  </xdr:twoCellAnchor>
  <xdr:twoCellAnchor editAs="oneCell">
    <xdr:from>
      <xdr:col>8</xdr:col>
      <xdr:colOff>52916</xdr:colOff>
      <xdr:row>18</xdr:row>
      <xdr:rowOff>31750</xdr:rowOff>
    </xdr:from>
    <xdr:to>
      <xdr:col>8</xdr:col>
      <xdr:colOff>836082</xdr:colOff>
      <xdr:row>18</xdr:row>
      <xdr:rowOff>529167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79333" y="12827000"/>
          <a:ext cx="783166" cy="497417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</xdr:colOff>
      <xdr:row>15</xdr:row>
      <xdr:rowOff>74083</xdr:rowOff>
    </xdr:from>
    <xdr:to>
      <xdr:col>8</xdr:col>
      <xdr:colOff>846666</xdr:colOff>
      <xdr:row>15</xdr:row>
      <xdr:rowOff>687916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8167" y="10541000"/>
          <a:ext cx="814916" cy="613833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105833</xdr:colOff>
      <xdr:row>16</xdr:row>
      <xdr:rowOff>21167</xdr:rowOff>
    </xdr:from>
    <xdr:to>
      <xdr:col>8</xdr:col>
      <xdr:colOff>760573</xdr:colOff>
      <xdr:row>16</xdr:row>
      <xdr:rowOff>802217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2250" y="11355917"/>
          <a:ext cx="65474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52916</xdr:colOff>
      <xdr:row>17</xdr:row>
      <xdr:rowOff>42333</xdr:rowOff>
    </xdr:from>
    <xdr:to>
      <xdr:col>8</xdr:col>
      <xdr:colOff>888999</xdr:colOff>
      <xdr:row>17</xdr:row>
      <xdr:rowOff>603249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79333" y="12192000"/>
          <a:ext cx="836083" cy="560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ekor\Desktop\New%20Job%20Pos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17.04.26%20Finish%20Fabric%20Plan%20&amp;%20Execution%20Statu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man\Desktop\New%20Posting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09.05.26%20Finish%20Fabric%20Plan%20&amp;%20Execution%20Statu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14.05.26%20Finish%20Fabric%20Plan%20&amp;%20Execution%20Statu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1.05.26%20Finish%20Fabric%20Plan%20&amp;%20Execution%20Statu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7.06.26%20Finish%20Fabric%20Plan%20&amp;%20Execution%20Statu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4.07.26%20Finish%20Fabric%20Plan%20&amp;%20Execution%20Statu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0.06.26%20Finish%20Fabric%20Plan%20&amp;%20Execution%20Statu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30.06.26%20Finish%20Fabric%20Plan%20&amp;%20Execution%20Statu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07.07.26%20Finish%20Fabric%20Plan%20&amp;%20Execution%20Status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11.07.26%20Finish%20Fabric%20Plan%20&amp;%20Execution%20Statu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.07.26%20Finish%20Fabric%20Plan%20&amp;%20Execution%20Status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11.08.26%20Finish%20Fabric%20Plan%20&amp;%20Execution%20Status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man\Desktop\New%20Job%20Posting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4.08.26%20Finish%20Fabric%20Plan%20&amp;%20Execution%20Status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05.09.26%20Finish%20Fabric%20Plan%20&amp;%20Execution%20Status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17.09.26%20Finish%20Fabric%20Plan%20&amp;%20Execution%20Status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ekor\Desktop\New%20Job%20Posting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4.09.26%20Finish%20Fabric%20Plan%20&amp;%20Execution%20Status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kibul\Desktop\23.09.26%20Finish%20Fabric%20Plan%20&amp;%20Execution%20Statu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ptember'26"/>
      <sheetName val="October'26"/>
      <sheetName val="November'26"/>
      <sheetName val="August'26"/>
      <sheetName val="July'26"/>
      <sheetName val="June'26"/>
      <sheetName val="May'26"/>
      <sheetName val="April'26"/>
      <sheetName val="March'26"/>
      <sheetName val="August'25"/>
      <sheetName val="September'25"/>
      <sheetName val="December'25"/>
      <sheetName val="February'26"/>
      <sheetName val="January'26"/>
      <sheetName val="November'25"/>
      <sheetName val="October'25"/>
      <sheetName val="July'25"/>
      <sheetName val="Master Copy"/>
      <sheetName val="Tracking sheet"/>
      <sheetName val="March'25"/>
      <sheetName val="April'25"/>
      <sheetName val="May'25"/>
      <sheetName val="June'25"/>
      <sheetName val="Master Sheet"/>
      <sheetName val="February'2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>
        <row r="1">
          <cell r="CI1">
            <v>45910</v>
          </cell>
        </row>
      </sheetData>
      <sheetData sheetId="10"/>
      <sheetData sheetId="11"/>
      <sheetData sheetId="12"/>
      <sheetData sheetId="13"/>
      <sheetData sheetId="14" refreshError="1"/>
      <sheetData sheetId="15">
        <row r="1">
          <cell r="CI1">
            <v>45910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Tracking sheet"/>
      <sheetName val="August"/>
      <sheetName val="September"/>
      <sheetName val="April'26"/>
      <sheetName val="May'26"/>
      <sheetName val="June'26"/>
      <sheetName val="July'26"/>
      <sheetName val="January'26"/>
      <sheetName val="February'25"/>
      <sheetName val="February'26"/>
      <sheetName val="March'26"/>
      <sheetName val="August'25"/>
      <sheetName val="September'25"/>
      <sheetName val="October'25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Tracking sheet"/>
      <sheetName val="May'26"/>
      <sheetName val="June'26"/>
      <sheetName val="July'26"/>
      <sheetName val="August'26"/>
      <sheetName val="September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ster Copy"/>
      <sheetName val="Tracking sheet"/>
      <sheetName val="April'26"/>
      <sheetName val="May'26"/>
      <sheetName val="July'2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Tracking sheet"/>
      <sheetName val="May'26"/>
      <sheetName val="June'26"/>
      <sheetName val="July'26"/>
      <sheetName val="August'26"/>
      <sheetName val="September'2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July'26"/>
      <sheetName val="August'26"/>
      <sheetName val="September'2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Tracking sheet"/>
      <sheetName val="June'26"/>
      <sheetName val="July'26"/>
      <sheetName val="August'26"/>
      <sheetName val="September'26"/>
      <sheetName val="October'2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Tracking sheet"/>
      <sheetName val="June'26"/>
      <sheetName val="July'26"/>
      <sheetName val="August'26"/>
      <sheetName val="September'26"/>
      <sheetName val="October'2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Tracking sheet"/>
      <sheetName val="June'26"/>
      <sheetName val="July'26"/>
      <sheetName val="August'26"/>
      <sheetName val="September'26"/>
      <sheetName val="October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ptember'26"/>
      <sheetName val="October'26"/>
      <sheetName val="November'26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Copy"/>
      <sheetName val="Summary"/>
      <sheetName val="July'26"/>
      <sheetName val="Tracking sheet"/>
      <sheetName val="June'26"/>
      <sheetName val="August'26"/>
      <sheetName val="September'26"/>
      <sheetName val="October'26"/>
      <sheetName val="November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view="pageBreakPreview" zoomScale="60" zoomScaleNormal="100" workbookViewId="0">
      <selection activeCell="D14" sqref="D14:N14"/>
    </sheetView>
  </sheetViews>
  <sheetFormatPr defaultRowHeight="15"/>
  <cols>
    <col min="3" max="3" width="19.28515625" customWidth="1"/>
    <col min="4" max="4" width="10.85546875" customWidth="1"/>
    <col min="5" max="6" width="10.7109375" customWidth="1"/>
    <col min="7" max="7" width="10.85546875" customWidth="1"/>
    <col min="8" max="8" width="11" customWidth="1"/>
    <col min="9" max="9" width="14" customWidth="1"/>
    <col min="10" max="10" width="14.42578125" customWidth="1"/>
    <col min="11" max="11" width="11.85546875" customWidth="1"/>
    <col min="12" max="12" width="13" customWidth="1"/>
    <col min="13" max="13" width="12.85546875" customWidth="1"/>
    <col min="14" max="14" width="11.5703125" customWidth="1"/>
  </cols>
  <sheetData>
    <row r="1" spans="1:14" ht="15.75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15.75">
      <c r="A2" s="268" t="s">
        <v>130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4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69" t="s">
        <v>153</v>
      </c>
      <c r="N3" s="269"/>
    </row>
    <row r="4" spans="1:14" s="5" customFormat="1" ht="47.25">
      <c r="A4" s="270" t="s">
        <v>72</v>
      </c>
      <c r="B4" s="271"/>
      <c r="C4" s="272"/>
      <c r="D4" s="7" t="s">
        <v>73</v>
      </c>
      <c r="E4" s="7" t="s">
        <v>74</v>
      </c>
      <c r="F4" s="7" t="s">
        <v>7</v>
      </c>
      <c r="G4" s="7" t="s">
        <v>75</v>
      </c>
      <c r="H4" s="7" t="s">
        <v>76</v>
      </c>
      <c r="I4" s="7" t="s">
        <v>77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</row>
    <row r="5" spans="1:14" s="5" customFormat="1" ht="26.25" customHeight="1">
      <c r="A5" s="265" t="s">
        <v>133</v>
      </c>
      <c r="B5" s="266"/>
      <c r="C5" s="267"/>
      <c r="D5" s="8">
        <v>15</v>
      </c>
      <c r="E5" s="8">
        <v>9712</v>
      </c>
      <c r="F5" s="8">
        <v>30</v>
      </c>
      <c r="G5" s="8">
        <v>9919</v>
      </c>
      <c r="H5" s="8">
        <v>30</v>
      </c>
      <c r="I5" s="8">
        <v>0</v>
      </c>
      <c r="J5" s="8">
        <v>0</v>
      </c>
      <c r="K5" s="8">
        <v>9785</v>
      </c>
      <c r="L5" s="8">
        <v>30</v>
      </c>
      <c r="M5" s="8">
        <v>0</v>
      </c>
      <c r="N5" s="8">
        <v>0</v>
      </c>
    </row>
    <row r="6" spans="1:14" s="5" customFormat="1" ht="26.25" customHeight="1">
      <c r="A6" s="265" t="s">
        <v>134</v>
      </c>
      <c r="B6" s="266"/>
      <c r="C6" s="267"/>
      <c r="D6" s="8">
        <v>11</v>
      </c>
      <c r="E6" s="8">
        <v>22048</v>
      </c>
      <c r="F6" s="8">
        <v>14</v>
      </c>
      <c r="G6" s="8">
        <v>21941</v>
      </c>
      <c r="H6" s="8">
        <v>14</v>
      </c>
      <c r="I6" s="8">
        <v>187</v>
      </c>
      <c r="J6" s="8">
        <v>2</v>
      </c>
      <c r="K6" s="8">
        <v>20578</v>
      </c>
      <c r="L6" s="8">
        <v>14</v>
      </c>
      <c r="M6" s="8">
        <v>1200</v>
      </c>
      <c r="N6" s="8">
        <v>3</v>
      </c>
    </row>
    <row r="7" spans="1:14" s="5" customFormat="1" ht="28.5" customHeight="1">
      <c r="A7" s="265" t="s">
        <v>135</v>
      </c>
      <c r="B7" s="266"/>
      <c r="C7" s="267"/>
      <c r="D7" s="8">
        <v>3</v>
      </c>
      <c r="E7" s="8">
        <v>2387</v>
      </c>
      <c r="F7" s="8">
        <v>3</v>
      </c>
      <c r="G7" s="8">
        <v>2430</v>
      </c>
      <c r="H7" s="8">
        <v>3</v>
      </c>
      <c r="I7" s="8">
        <v>0</v>
      </c>
      <c r="J7" s="8">
        <v>0</v>
      </c>
      <c r="K7" s="8">
        <v>2345</v>
      </c>
      <c r="L7" s="8">
        <v>3</v>
      </c>
      <c r="M7" s="8">
        <v>44</v>
      </c>
      <c r="N7" s="8">
        <v>1</v>
      </c>
    </row>
    <row r="8" spans="1:14" s="5" customFormat="1" ht="15.75">
      <c r="A8" s="265" t="s">
        <v>70</v>
      </c>
      <c r="B8" s="266"/>
      <c r="C8" s="267"/>
      <c r="D8" s="8">
        <f t="shared" ref="D8:N8" si="0">D5+D6+D7</f>
        <v>29</v>
      </c>
      <c r="E8" s="8">
        <f t="shared" ref="E8" si="1">E5+E6+E7</f>
        <v>34147</v>
      </c>
      <c r="F8" s="8">
        <f t="shared" si="0"/>
        <v>47</v>
      </c>
      <c r="G8" s="8">
        <f t="shared" si="0"/>
        <v>34290</v>
      </c>
      <c r="H8" s="8">
        <f t="shared" si="0"/>
        <v>47</v>
      </c>
      <c r="I8" s="8">
        <f t="shared" si="0"/>
        <v>187</v>
      </c>
      <c r="J8" s="8">
        <f t="shared" si="0"/>
        <v>2</v>
      </c>
      <c r="K8" s="8">
        <f t="shared" si="0"/>
        <v>32708</v>
      </c>
      <c r="L8" s="8"/>
      <c r="M8" s="8">
        <f t="shared" si="0"/>
        <v>1244</v>
      </c>
      <c r="N8" s="8">
        <f t="shared" si="0"/>
        <v>4</v>
      </c>
    </row>
    <row r="9" spans="1:14" s="5" customFormat="1" ht="15.75">
      <c r="A9" s="273" t="s">
        <v>83</v>
      </c>
      <c r="B9" s="273"/>
      <c r="C9" s="274" t="s">
        <v>84</v>
      </c>
      <c r="D9" s="275"/>
      <c r="E9" s="274" t="s">
        <v>85</v>
      </c>
      <c r="F9" s="275"/>
      <c r="G9" s="274" t="s">
        <v>85</v>
      </c>
      <c r="H9" s="276"/>
      <c r="I9" s="275"/>
      <c r="J9" s="274" t="s">
        <v>86</v>
      </c>
      <c r="K9" s="276"/>
      <c r="L9" s="275"/>
      <c r="M9" s="274" t="s">
        <v>87</v>
      </c>
      <c r="N9" s="275"/>
    </row>
    <row r="10" spans="1:14" s="5" customFormat="1" ht="31.5">
      <c r="A10" s="7" t="s">
        <v>88</v>
      </c>
      <c r="B10" s="7" t="s">
        <v>89</v>
      </c>
      <c r="C10" s="7" t="s">
        <v>88</v>
      </c>
      <c r="D10" s="7" t="s">
        <v>89</v>
      </c>
      <c r="E10" s="7" t="s">
        <v>90</v>
      </c>
      <c r="F10" s="7" t="s">
        <v>89</v>
      </c>
      <c r="G10" s="270" t="s">
        <v>91</v>
      </c>
      <c r="H10" s="272"/>
      <c r="I10" s="7" t="s">
        <v>89</v>
      </c>
      <c r="J10" s="7" t="s">
        <v>92</v>
      </c>
      <c r="K10" s="265" t="s">
        <v>93</v>
      </c>
      <c r="L10" s="267"/>
      <c r="M10" s="7" t="s">
        <v>92</v>
      </c>
      <c r="N10" s="8" t="s">
        <v>93</v>
      </c>
    </row>
    <row r="11" spans="1:14" s="5" customFormat="1" ht="21.75" customHeight="1">
      <c r="A11" s="8">
        <v>29</v>
      </c>
      <c r="B11" s="8">
        <v>29</v>
      </c>
      <c r="C11" s="8">
        <v>29</v>
      </c>
      <c r="D11" s="8">
        <v>29</v>
      </c>
      <c r="E11" s="8">
        <v>29</v>
      </c>
      <c r="F11" s="8">
        <v>0</v>
      </c>
      <c r="G11" s="265">
        <v>29</v>
      </c>
      <c r="H11" s="267"/>
      <c r="I11" s="7">
        <v>0</v>
      </c>
      <c r="J11" s="8"/>
      <c r="K11" s="265"/>
      <c r="L11" s="267"/>
      <c r="M11" s="8">
        <f>+G8</f>
        <v>34290</v>
      </c>
      <c r="N11" s="8">
        <f>+I8</f>
        <v>187</v>
      </c>
    </row>
    <row r="12" spans="1:14" s="5" customFormat="1" ht="68.25" customHeight="1">
      <c r="A12" s="277" t="s">
        <v>132</v>
      </c>
      <c r="B12" s="278"/>
      <c r="C12" s="279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2"/>
    </row>
    <row r="13" spans="1:14" s="5" customFormat="1" ht="68.25" customHeight="1">
      <c r="A13" s="277" t="s">
        <v>94</v>
      </c>
      <c r="B13" s="278"/>
      <c r="C13" s="279"/>
      <c r="D13" s="280">
        <v>0</v>
      </c>
      <c r="E13" s="281"/>
      <c r="F13" s="281"/>
      <c r="G13" s="281"/>
      <c r="H13" s="281"/>
      <c r="I13" s="281"/>
      <c r="J13" s="281"/>
      <c r="K13" s="281"/>
      <c r="L13" s="281"/>
      <c r="M13" s="281"/>
      <c r="N13" s="282"/>
    </row>
    <row r="14" spans="1:14" s="5" customFormat="1" ht="68.25" customHeight="1">
      <c r="A14" s="277" t="s">
        <v>98</v>
      </c>
      <c r="B14" s="278"/>
      <c r="C14" s="279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2"/>
    </row>
    <row r="15" spans="1:14" s="5" customFormat="1" ht="68.25" customHeight="1">
      <c r="A15" s="277" t="s">
        <v>95</v>
      </c>
      <c r="B15" s="278"/>
      <c r="C15" s="279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2"/>
    </row>
    <row r="16" spans="1:14" s="5" customFormat="1" ht="68.25" customHeight="1">
      <c r="A16" s="283" t="s">
        <v>96</v>
      </c>
      <c r="B16" s="283"/>
      <c r="C16" s="283"/>
      <c r="D16" s="280"/>
      <c r="E16" s="281"/>
      <c r="F16" s="281"/>
      <c r="G16" s="281"/>
      <c r="H16" s="281"/>
      <c r="I16" s="281"/>
      <c r="J16" s="281"/>
      <c r="K16" s="281"/>
      <c r="L16" s="281"/>
      <c r="M16" s="281"/>
      <c r="N16" s="282"/>
    </row>
    <row r="17" spans="1:14" s="5" customFormat="1" ht="68.25" customHeight="1">
      <c r="A17" s="283" t="s">
        <v>97</v>
      </c>
      <c r="B17" s="283"/>
      <c r="C17" s="283"/>
      <c r="D17" s="280"/>
      <c r="E17" s="281"/>
      <c r="F17" s="281"/>
      <c r="G17" s="281"/>
      <c r="H17" s="281"/>
      <c r="I17" s="281"/>
      <c r="J17" s="281"/>
      <c r="K17" s="281"/>
      <c r="L17" s="281"/>
      <c r="M17" s="281"/>
      <c r="N17" s="282"/>
    </row>
  </sheetData>
  <mergeCells count="30">
    <mergeCell ref="A15:C15"/>
    <mergeCell ref="D15:N15"/>
    <mergeCell ref="A16:C16"/>
    <mergeCell ref="D16:N16"/>
    <mergeCell ref="A17:C17"/>
    <mergeCell ref="D17:N17"/>
    <mergeCell ref="A12:C12"/>
    <mergeCell ref="D12:N12"/>
    <mergeCell ref="A13:C13"/>
    <mergeCell ref="D13:N13"/>
    <mergeCell ref="A14:C14"/>
    <mergeCell ref="D14:N14"/>
    <mergeCell ref="J9:L9"/>
    <mergeCell ref="M9:N9"/>
    <mergeCell ref="G10:H10"/>
    <mergeCell ref="K10:L10"/>
    <mergeCell ref="G11:H11"/>
    <mergeCell ref="K11:L11"/>
    <mergeCell ref="G9:I9"/>
    <mergeCell ref="A7:C7"/>
    <mergeCell ref="A8:C8"/>
    <mergeCell ref="A9:B9"/>
    <mergeCell ref="C9:D9"/>
    <mergeCell ref="E9:F9"/>
    <mergeCell ref="A6:C6"/>
    <mergeCell ref="A1:N1"/>
    <mergeCell ref="A2:N2"/>
    <mergeCell ref="M3:N3"/>
    <mergeCell ref="A4:C4"/>
    <mergeCell ref="A5:C5"/>
  </mergeCells>
  <pageMargins left="0" right="0" top="0" bottom="0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view="pageBreakPreview" zoomScale="50" zoomScaleNormal="70" zoomScaleSheetLayoutView="50" workbookViewId="0">
      <selection activeCell="N5" sqref="N5"/>
    </sheetView>
  </sheetViews>
  <sheetFormatPr defaultRowHeight="15"/>
  <cols>
    <col min="1" max="1" width="23.140625" customWidth="1"/>
    <col min="2" max="2" width="20.7109375" customWidth="1"/>
    <col min="3" max="3" width="22" customWidth="1"/>
    <col min="4" max="4" width="17.85546875" customWidth="1"/>
    <col min="5" max="5" width="19.85546875" customWidth="1"/>
    <col min="6" max="6" width="17.5703125" customWidth="1"/>
    <col min="7" max="7" width="16.42578125" customWidth="1"/>
    <col min="8" max="8" width="16.7109375" customWidth="1"/>
    <col min="9" max="9" width="16.42578125" customWidth="1"/>
    <col min="10" max="10" width="18.85546875" customWidth="1"/>
    <col min="11" max="11" width="17.7109375" customWidth="1"/>
    <col min="12" max="12" width="16.42578125" customWidth="1"/>
    <col min="13" max="13" width="16.7109375" customWidth="1"/>
    <col min="14" max="14" width="20.7109375" customWidth="1"/>
  </cols>
  <sheetData>
    <row r="1" spans="1:14" ht="28.5" customHeight="1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28.5" customHeight="1">
      <c r="A2" s="287" t="s">
        <v>139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</row>
    <row r="3" spans="1:14" ht="28.5" customHeight="1">
      <c r="A3" s="10"/>
      <c r="B3" s="10"/>
      <c r="C3" s="10"/>
      <c r="D3" s="10"/>
      <c r="E3" s="11"/>
      <c r="F3" s="10"/>
      <c r="G3" s="10"/>
      <c r="H3" s="10"/>
      <c r="I3" s="10"/>
      <c r="J3" s="10"/>
      <c r="K3" s="10"/>
      <c r="L3" s="10"/>
      <c r="M3" s="288" t="s">
        <v>155</v>
      </c>
      <c r="N3" s="288"/>
    </row>
    <row r="4" spans="1:14" s="5" customFormat="1" ht="58.5">
      <c r="A4" s="289" t="s">
        <v>72</v>
      </c>
      <c r="B4" s="290"/>
      <c r="C4" s="291"/>
      <c r="D4" s="12" t="s">
        <v>73</v>
      </c>
      <c r="E4" s="12" t="s">
        <v>74</v>
      </c>
      <c r="F4" s="12" t="s">
        <v>7</v>
      </c>
      <c r="G4" s="12" t="s">
        <v>75</v>
      </c>
      <c r="H4" s="12" t="s">
        <v>76</v>
      </c>
      <c r="I4" s="12" t="s">
        <v>77</v>
      </c>
      <c r="J4" s="12" t="s">
        <v>78</v>
      </c>
      <c r="K4" s="12" t="s">
        <v>79</v>
      </c>
      <c r="L4" s="12" t="s">
        <v>80</v>
      </c>
      <c r="M4" s="12" t="s">
        <v>81</v>
      </c>
      <c r="N4" s="12" t="s">
        <v>82</v>
      </c>
    </row>
    <row r="5" spans="1:14" s="5" customFormat="1" ht="63" customHeight="1">
      <c r="A5" s="284" t="s">
        <v>133</v>
      </c>
      <c r="B5" s="285"/>
      <c r="C5" s="286"/>
      <c r="D5" s="13">
        <v>7</v>
      </c>
      <c r="E5" s="13">
        <v>5744</v>
      </c>
      <c r="F5" s="13">
        <v>12</v>
      </c>
      <c r="G5" s="13">
        <v>5729</v>
      </c>
      <c r="H5" s="13">
        <v>12</v>
      </c>
      <c r="I5" s="13">
        <v>0</v>
      </c>
      <c r="J5" s="13">
        <v>0</v>
      </c>
      <c r="K5" s="13">
        <v>5586</v>
      </c>
      <c r="L5" s="13">
        <v>12</v>
      </c>
      <c r="M5" s="13">
        <v>105</v>
      </c>
      <c r="N5" s="13">
        <v>3</v>
      </c>
    </row>
    <row r="6" spans="1:14" s="5" customFormat="1" ht="63" customHeight="1">
      <c r="A6" s="284" t="s">
        <v>134</v>
      </c>
      <c r="B6" s="285"/>
      <c r="C6" s="286"/>
      <c r="D6" s="13">
        <v>18</v>
      </c>
      <c r="E6" s="13">
        <v>15490</v>
      </c>
      <c r="F6" s="13">
        <v>42</v>
      </c>
      <c r="G6" s="13">
        <v>15600</v>
      </c>
      <c r="H6" s="13">
        <v>42</v>
      </c>
      <c r="I6" s="13">
        <v>0</v>
      </c>
      <c r="J6" s="13">
        <v>0</v>
      </c>
      <c r="K6" s="13">
        <v>15054</v>
      </c>
      <c r="L6" s="13">
        <v>40</v>
      </c>
      <c r="M6" s="13">
        <v>156</v>
      </c>
      <c r="N6" s="13">
        <v>2</v>
      </c>
    </row>
    <row r="7" spans="1:14" s="5" customFormat="1" ht="63" customHeight="1">
      <c r="A7" s="284" t="s">
        <v>135</v>
      </c>
      <c r="B7" s="285"/>
      <c r="C7" s="286"/>
      <c r="D7" s="13">
        <v>28</v>
      </c>
      <c r="E7" s="13">
        <v>9729</v>
      </c>
      <c r="F7" s="13">
        <v>41</v>
      </c>
      <c r="G7" s="13">
        <v>9936</v>
      </c>
      <c r="H7" s="13">
        <v>41</v>
      </c>
      <c r="I7" s="13">
        <v>0</v>
      </c>
      <c r="J7" s="13">
        <v>0</v>
      </c>
      <c r="K7" s="13">
        <v>6579</v>
      </c>
      <c r="L7" s="13">
        <v>32</v>
      </c>
      <c r="M7" s="13">
        <v>3335</v>
      </c>
      <c r="N7" s="13">
        <v>15</v>
      </c>
    </row>
    <row r="8" spans="1:14" s="5" customFormat="1" ht="63" customHeight="1">
      <c r="A8" s="284" t="s">
        <v>70</v>
      </c>
      <c r="B8" s="285"/>
      <c r="C8" s="286"/>
      <c r="D8" s="13">
        <f t="shared" ref="D8:N8" si="0">D5+D6+D7</f>
        <v>53</v>
      </c>
      <c r="E8" s="13">
        <f t="shared" si="0"/>
        <v>30963</v>
      </c>
      <c r="F8" s="13">
        <f t="shared" si="0"/>
        <v>95</v>
      </c>
      <c r="G8" s="13">
        <f t="shared" si="0"/>
        <v>31265</v>
      </c>
      <c r="H8" s="13">
        <f t="shared" si="0"/>
        <v>95</v>
      </c>
      <c r="I8" s="13">
        <f t="shared" si="0"/>
        <v>0</v>
      </c>
      <c r="J8" s="13">
        <f t="shared" si="0"/>
        <v>0</v>
      </c>
      <c r="K8" s="13">
        <f t="shared" si="0"/>
        <v>27219</v>
      </c>
      <c r="L8" s="13">
        <f>SUM(L5:L7)</f>
        <v>84</v>
      </c>
      <c r="M8" s="13">
        <f t="shared" si="0"/>
        <v>3596</v>
      </c>
      <c r="N8" s="13">
        <f t="shared" si="0"/>
        <v>20</v>
      </c>
    </row>
    <row r="9" spans="1:14" s="6" customFormat="1" ht="61.5" customHeight="1">
      <c r="A9" s="292" t="s">
        <v>83</v>
      </c>
      <c r="B9" s="292"/>
      <c r="C9" s="284" t="s">
        <v>84</v>
      </c>
      <c r="D9" s="286"/>
      <c r="E9" s="284" t="s">
        <v>85</v>
      </c>
      <c r="F9" s="286"/>
      <c r="G9" s="284" t="s">
        <v>85</v>
      </c>
      <c r="H9" s="285"/>
      <c r="I9" s="286"/>
      <c r="J9" s="284" t="s">
        <v>86</v>
      </c>
      <c r="K9" s="285"/>
      <c r="L9" s="286"/>
      <c r="M9" s="284" t="s">
        <v>87</v>
      </c>
      <c r="N9" s="286"/>
    </row>
    <row r="10" spans="1:14" s="5" customFormat="1" ht="39">
      <c r="A10" s="12" t="s">
        <v>88</v>
      </c>
      <c r="B10" s="12" t="s">
        <v>89</v>
      </c>
      <c r="C10" s="12" t="s">
        <v>88</v>
      </c>
      <c r="D10" s="12" t="s">
        <v>89</v>
      </c>
      <c r="E10" s="12" t="s">
        <v>90</v>
      </c>
      <c r="F10" s="12" t="s">
        <v>89</v>
      </c>
      <c r="G10" s="289" t="s">
        <v>91</v>
      </c>
      <c r="H10" s="291"/>
      <c r="I10" s="12" t="s">
        <v>89</v>
      </c>
      <c r="J10" s="12" t="s">
        <v>92</v>
      </c>
      <c r="K10" s="284" t="s">
        <v>93</v>
      </c>
      <c r="L10" s="286"/>
      <c r="M10" s="12" t="s">
        <v>92</v>
      </c>
      <c r="N10" s="13" t="s">
        <v>93</v>
      </c>
    </row>
    <row r="11" spans="1:14" s="5" customFormat="1" ht="21.75" customHeight="1">
      <c r="A11" s="13">
        <v>96</v>
      </c>
      <c r="B11" s="13">
        <v>0</v>
      </c>
      <c r="C11" s="13">
        <v>96</v>
      </c>
      <c r="D11" s="13">
        <v>0</v>
      </c>
      <c r="E11" s="13">
        <v>96</v>
      </c>
      <c r="F11" s="13">
        <v>0</v>
      </c>
      <c r="G11" s="284">
        <v>87</v>
      </c>
      <c r="H11" s="286"/>
      <c r="I11" s="12">
        <v>9</v>
      </c>
      <c r="J11" s="13"/>
      <c r="K11" s="284"/>
      <c r="L11" s="286"/>
      <c r="M11" s="13"/>
      <c r="N11" s="13"/>
    </row>
    <row r="12" spans="1:14" s="5" customFormat="1" ht="86.25" customHeight="1">
      <c r="A12" s="293" t="s">
        <v>132</v>
      </c>
      <c r="B12" s="294"/>
      <c r="C12" s="295"/>
      <c r="D12" s="296">
        <v>0</v>
      </c>
      <c r="E12" s="297"/>
      <c r="F12" s="297"/>
      <c r="G12" s="297"/>
      <c r="H12" s="297"/>
      <c r="I12" s="297"/>
      <c r="J12" s="297"/>
      <c r="K12" s="297"/>
      <c r="L12" s="297"/>
      <c r="M12" s="297"/>
      <c r="N12" s="298"/>
    </row>
    <row r="13" spans="1:14" s="5" customFormat="1" ht="86.25" customHeight="1">
      <c r="A13" s="293" t="s">
        <v>94</v>
      </c>
      <c r="B13" s="294"/>
      <c r="C13" s="295"/>
      <c r="D13" s="296">
        <v>0</v>
      </c>
      <c r="E13" s="297"/>
      <c r="F13" s="297"/>
      <c r="G13" s="297"/>
      <c r="H13" s="297"/>
      <c r="I13" s="297"/>
      <c r="J13" s="297"/>
      <c r="K13" s="297"/>
      <c r="L13" s="297"/>
      <c r="M13" s="297"/>
      <c r="N13" s="298"/>
    </row>
    <row r="14" spans="1:14" s="5" customFormat="1" ht="86.25" customHeight="1">
      <c r="A14" s="293" t="s">
        <v>98</v>
      </c>
      <c r="B14" s="294"/>
      <c r="C14" s="295"/>
      <c r="D14" s="296"/>
      <c r="E14" s="297"/>
      <c r="F14" s="297"/>
      <c r="G14" s="297"/>
      <c r="H14" s="297"/>
      <c r="I14" s="297"/>
      <c r="J14" s="297"/>
      <c r="K14" s="297"/>
      <c r="L14" s="297"/>
      <c r="M14" s="297"/>
      <c r="N14" s="298"/>
    </row>
    <row r="15" spans="1:14" s="5" customFormat="1" ht="86.25" customHeight="1">
      <c r="A15" s="293" t="s">
        <v>95</v>
      </c>
      <c r="B15" s="294"/>
      <c r="C15" s="295"/>
      <c r="D15" s="296"/>
      <c r="E15" s="297"/>
      <c r="F15" s="297"/>
      <c r="G15" s="297"/>
      <c r="H15" s="297"/>
      <c r="I15" s="297"/>
      <c r="J15" s="297"/>
      <c r="K15" s="297"/>
      <c r="L15" s="297"/>
      <c r="M15" s="297"/>
      <c r="N15" s="298"/>
    </row>
    <row r="16" spans="1:14" s="5" customFormat="1" ht="86.25" customHeight="1">
      <c r="A16" s="299" t="s">
        <v>96</v>
      </c>
      <c r="B16" s="299"/>
      <c r="C16" s="299"/>
      <c r="D16" s="296"/>
      <c r="E16" s="297"/>
      <c r="F16" s="297"/>
      <c r="G16" s="297"/>
      <c r="H16" s="297"/>
      <c r="I16" s="297"/>
      <c r="J16" s="297"/>
      <c r="K16" s="297"/>
      <c r="L16" s="297"/>
      <c r="M16" s="297"/>
      <c r="N16" s="298"/>
    </row>
    <row r="17" spans="1:14" s="5" customFormat="1" ht="86.25" customHeight="1">
      <c r="A17" s="299" t="s">
        <v>97</v>
      </c>
      <c r="B17" s="299"/>
      <c r="C17" s="299"/>
      <c r="D17" s="296"/>
      <c r="E17" s="297"/>
      <c r="F17" s="297"/>
      <c r="G17" s="297"/>
      <c r="H17" s="297"/>
      <c r="I17" s="297"/>
      <c r="J17" s="297"/>
      <c r="K17" s="297"/>
      <c r="L17" s="297"/>
      <c r="M17" s="297"/>
      <c r="N17" s="298"/>
    </row>
  </sheetData>
  <mergeCells count="30">
    <mergeCell ref="A15:C15"/>
    <mergeCell ref="D15:N15"/>
    <mergeCell ref="A16:C16"/>
    <mergeCell ref="D16:N16"/>
    <mergeCell ref="A17:C17"/>
    <mergeCell ref="D17:N17"/>
    <mergeCell ref="A12:C12"/>
    <mergeCell ref="D12:N12"/>
    <mergeCell ref="A13:C13"/>
    <mergeCell ref="D13:N13"/>
    <mergeCell ref="A14:C14"/>
    <mergeCell ref="D14:N14"/>
    <mergeCell ref="J9:L9"/>
    <mergeCell ref="M9:N9"/>
    <mergeCell ref="G10:H10"/>
    <mergeCell ref="K10:L10"/>
    <mergeCell ref="G11:H11"/>
    <mergeCell ref="K11:L11"/>
    <mergeCell ref="G9:I9"/>
    <mergeCell ref="A7:C7"/>
    <mergeCell ref="A8:C8"/>
    <mergeCell ref="A9:B9"/>
    <mergeCell ref="C9:D9"/>
    <mergeCell ref="E9:F9"/>
    <mergeCell ref="A6:C6"/>
    <mergeCell ref="A1:N1"/>
    <mergeCell ref="A2:N2"/>
    <mergeCell ref="M3:N3"/>
    <mergeCell ref="A4:C4"/>
    <mergeCell ref="A5:C5"/>
  </mergeCells>
  <pageMargins left="0" right="0" top="0" bottom="0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87"/>
  <sheetViews>
    <sheetView topLeftCell="D1" zoomScale="80" zoomScaleNormal="80" workbookViewId="0">
      <pane ySplit="4" topLeftCell="A5" activePane="bottomLeft" state="frozen"/>
      <selection activeCell="D1" sqref="D1"/>
      <selection pane="bottomLeft" activeCell="N6" sqref="N6"/>
    </sheetView>
  </sheetViews>
  <sheetFormatPr defaultRowHeight="15"/>
  <cols>
    <col min="1" max="1" width="0" hidden="1" customWidth="1"/>
    <col min="2" max="2" width="7.140625" style="9" hidden="1" customWidth="1"/>
    <col min="3" max="3" width="7.42578125" style="14" hidden="1" customWidth="1"/>
    <col min="4" max="4" width="6.5703125" style="9" customWidth="1"/>
    <col min="5" max="5" width="7.28515625" style="9" customWidth="1"/>
    <col min="6" max="6" width="5.7109375" style="14" customWidth="1"/>
    <col min="7" max="7" width="6.7109375" style="9" customWidth="1"/>
    <col min="8" max="8" width="5.85546875" style="75" customWidth="1"/>
    <col min="9" max="9" width="15" style="9" customWidth="1"/>
    <col min="10" max="10" width="6.28515625" style="9" customWidth="1"/>
    <col min="11" max="11" width="16.140625" style="89" customWidth="1"/>
    <col min="12" max="12" width="4.7109375" style="9" customWidth="1"/>
    <col min="13" max="13" width="4" style="9" customWidth="1"/>
    <col min="14" max="14" width="8" style="14" customWidth="1"/>
    <col min="15" max="15" width="4.85546875" style="9" customWidth="1"/>
    <col min="16" max="16" width="8.140625" style="9" customWidth="1"/>
    <col min="17" max="17" width="8" style="9" customWidth="1"/>
    <col min="18" max="18" width="8.140625" style="9" customWidth="1"/>
    <col min="19" max="19" width="8.5703125" style="9" customWidth="1"/>
    <col min="20" max="20" width="9.7109375" customWidth="1"/>
    <col min="21" max="21" width="7.85546875" style="64" customWidth="1"/>
    <col min="22" max="22" width="8.28515625" customWidth="1"/>
    <col min="23" max="23" width="9.140625" customWidth="1"/>
    <col min="24" max="24" width="10.140625" style="150" customWidth="1"/>
    <col min="25" max="25" width="8.42578125" customWidth="1"/>
    <col min="26" max="26" width="11.42578125" customWidth="1"/>
    <col min="27" max="27" width="32.28515625" style="64" customWidth="1"/>
  </cols>
  <sheetData>
    <row r="1" spans="1:45" s="49" customFormat="1" ht="27" customHeight="1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7" t="s">
        <v>631</v>
      </c>
    </row>
    <row r="2" spans="1:45" s="50" customFormat="1" ht="31.5" customHeight="1">
      <c r="A2" s="308" t="s">
        <v>182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7"/>
    </row>
    <row r="3" spans="1:45" s="47" customFormat="1" ht="30" customHeight="1">
      <c r="A3" s="309" t="s">
        <v>183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61"/>
      <c r="AB3" s="48"/>
    </row>
    <row r="4" spans="1:45" s="35" customFormat="1" ht="98.25" customHeight="1">
      <c r="A4" s="216" t="s">
        <v>1</v>
      </c>
      <c r="B4" s="4" t="s">
        <v>140</v>
      </c>
      <c r="C4" s="4" t="s">
        <v>141</v>
      </c>
      <c r="D4" s="4" t="s">
        <v>142</v>
      </c>
      <c r="E4" s="4" t="s">
        <v>143</v>
      </c>
      <c r="F4" s="217" t="s">
        <v>115</v>
      </c>
      <c r="G4" s="216" t="s">
        <v>117</v>
      </c>
      <c r="H4" s="218" t="s">
        <v>48</v>
      </c>
      <c r="I4" s="216" t="s">
        <v>2</v>
      </c>
      <c r="J4" s="216" t="s">
        <v>3</v>
      </c>
      <c r="K4" s="216" t="s">
        <v>4</v>
      </c>
      <c r="L4" s="219" t="s">
        <v>5</v>
      </c>
      <c r="M4" s="220" t="s">
        <v>6</v>
      </c>
      <c r="N4" s="216" t="s">
        <v>7</v>
      </c>
      <c r="O4" s="220" t="s">
        <v>8</v>
      </c>
      <c r="P4" s="220" t="s">
        <v>9</v>
      </c>
      <c r="Q4" s="220" t="s">
        <v>10</v>
      </c>
      <c r="R4" s="220" t="s">
        <v>11</v>
      </c>
      <c r="S4" s="220" t="s">
        <v>12</v>
      </c>
      <c r="T4" s="220" t="s">
        <v>119</v>
      </c>
      <c r="U4" s="220" t="s">
        <v>13</v>
      </c>
      <c r="V4" s="220" t="s">
        <v>14</v>
      </c>
      <c r="W4" s="220" t="s">
        <v>15</v>
      </c>
      <c r="X4" s="221" t="s">
        <v>119</v>
      </c>
      <c r="Y4" s="220" t="s">
        <v>118</v>
      </c>
      <c r="Z4" s="222" t="s">
        <v>16</v>
      </c>
      <c r="AA4" s="60" t="s">
        <v>17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 s="16" customFormat="1" ht="98.25" customHeight="1">
      <c r="A5" s="19"/>
      <c r="B5" s="18">
        <v>46122</v>
      </c>
      <c r="C5" s="18">
        <v>46137</v>
      </c>
      <c r="D5" s="18">
        <v>46137</v>
      </c>
      <c r="E5" s="18">
        <v>46149</v>
      </c>
      <c r="F5" s="80" t="s">
        <v>38</v>
      </c>
      <c r="G5" s="31" t="s">
        <v>62</v>
      </c>
      <c r="H5" s="97" t="s">
        <v>128</v>
      </c>
      <c r="I5" s="19"/>
      <c r="J5" s="80" t="s">
        <v>18</v>
      </c>
      <c r="K5" s="108">
        <v>46556</v>
      </c>
      <c r="L5" s="111">
        <v>240</v>
      </c>
      <c r="M5" s="111" t="s">
        <v>35</v>
      </c>
      <c r="N5" s="80" t="s">
        <v>184</v>
      </c>
      <c r="O5" s="80" t="s">
        <v>53</v>
      </c>
      <c r="P5" s="111">
        <v>349</v>
      </c>
      <c r="Q5" s="31">
        <f t="shared" ref="Q5:Q19" si="0">P5-R5</f>
        <v>-17</v>
      </c>
      <c r="R5" s="112">
        <f>366</f>
        <v>366</v>
      </c>
      <c r="S5" s="58">
        <f t="shared" ref="S5:S19" si="1">P5-R5</f>
        <v>-17</v>
      </c>
      <c r="T5" s="113">
        <v>4132</v>
      </c>
      <c r="U5" s="114" t="s">
        <v>377</v>
      </c>
      <c r="V5" s="58">
        <f>364</f>
        <v>364</v>
      </c>
      <c r="W5" s="58">
        <f t="shared" ref="W5:W19" si="2">+V5-P5</f>
        <v>15</v>
      </c>
      <c r="X5" s="145">
        <v>41315</v>
      </c>
      <c r="Y5" s="115" t="s">
        <v>415</v>
      </c>
      <c r="Z5" s="116">
        <f t="shared" ref="Z5:Z19" si="3">(P5-V5)*100/P5/100</f>
        <v>-4.2979942693409746E-2</v>
      </c>
      <c r="AA5" s="79" t="s">
        <v>389</v>
      </c>
      <c r="AB5" s="117"/>
      <c r="AC5" s="117"/>
      <c r="AD5" s="117"/>
      <c r="AE5" s="117"/>
      <c r="AF5" s="117"/>
    </row>
    <row r="6" spans="1:45" s="16" customFormat="1" ht="188.25" customHeight="1">
      <c r="A6" s="19"/>
      <c r="B6" s="18">
        <v>46122</v>
      </c>
      <c r="C6" s="18">
        <v>46137</v>
      </c>
      <c r="D6" s="18">
        <v>46137</v>
      </c>
      <c r="E6" s="18">
        <v>46149</v>
      </c>
      <c r="F6" s="80" t="s">
        <v>58</v>
      </c>
      <c r="G6" s="31" t="s">
        <v>62</v>
      </c>
      <c r="H6" s="97" t="s">
        <v>128</v>
      </c>
      <c r="I6" s="19"/>
      <c r="J6" s="80" t="s">
        <v>18</v>
      </c>
      <c r="K6" s="108">
        <v>46556</v>
      </c>
      <c r="L6" s="111">
        <v>240</v>
      </c>
      <c r="M6" s="111" t="s">
        <v>35</v>
      </c>
      <c r="N6" s="80" t="s">
        <v>185</v>
      </c>
      <c r="O6" s="80" t="s">
        <v>53</v>
      </c>
      <c r="P6" s="111">
        <v>356</v>
      </c>
      <c r="Q6" s="31">
        <f t="shared" si="0"/>
        <v>-8</v>
      </c>
      <c r="R6" s="112">
        <f>364</f>
        <v>364</v>
      </c>
      <c r="S6" s="58">
        <f t="shared" si="1"/>
        <v>-8</v>
      </c>
      <c r="T6" s="113">
        <v>2129</v>
      </c>
      <c r="U6" s="114" t="s">
        <v>219</v>
      </c>
      <c r="V6" s="58">
        <f>346</f>
        <v>346</v>
      </c>
      <c r="W6" s="58">
        <f t="shared" si="2"/>
        <v>-10</v>
      </c>
      <c r="X6" s="145">
        <v>41315</v>
      </c>
      <c r="Y6" s="115" t="s">
        <v>415</v>
      </c>
      <c r="Z6" s="116">
        <f t="shared" si="3"/>
        <v>2.8089887640449441E-2</v>
      </c>
      <c r="AA6" s="79" t="s">
        <v>373</v>
      </c>
      <c r="AB6" s="117"/>
      <c r="AC6" s="117"/>
      <c r="AD6" s="117"/>
      <c r="AE6" s="117"/>
      <c r="AF6" s="117"/>
    </row>
    <row r="7" spans="1:45" s="16" customFormat="1" ht="107.25" customHeight="1">
      <c r="A7" s="19"/>
      <c r="B7" s="18">
        <v>46122</v>
      </c>
      <c r="C7" s="18">
        <v>46137</v>
      </c>
      <c r="D7" s="18">
        <v>46137</v>
      </c>
      <c r="E7" s="18">
        <v>46149</v>
      </c>
      <c r="F7" s="80" t="s">
        <v>58</v>
      </c>
      <c r="G7" s="31" t="s">
        <v>62</v>
      </c>
      <c r="H7" s="97" t="s">
        <v>128</v>
      </c>
      <c r="I7" s="19"/>
      <c r="J7" s="80" t="s">
        <v>18</v>
      </c>
      <c r="K7" s="108">
        <v>46556</v>
      </c>
      <c r="L7" s="111">
        <v>240</v>
      </c>
      <c r="M7" s="111" t="s">
        <v>35</v>
      </c>
      <c r="N7" s="80" t="s">
        <v>186</v>
      </c>
      <c r="O7" s="80" t="s">
        <v>53</v>
      </c>
      <c r="P7" s="111">
        <v>371</v>
      </c>
      <c r="Q7" s="31">
        <f t="shared" si="0"/>
        <v>-5</v>
      </c>
      <c r="R7" s="112">
        <f>376</f>
        <v>376</v>
      </c>
      <c r="S7" s="58">
        <f t="shared" si="1"/>
        <v>-5</v>
      </c>
      <c r="T7" s="113">
        <v>4132</v>
      </c>
      <c r="U7" s="114" t="s">
        <v>377</v>
      </c>
      <c r="V7" s="58">
        <f>371</f>
        <v>371</v>
      </c>
      <c r="W7" s="58">
        <f t="shared" si="2"/>
        <v>0</v>
      </c>
      <c r="X7" s="145">
        <v>41382</v>
      </c>
      <c r="Y7" s="115" t="s">
        <v>434</v>
      </c>
      <c r="Z7" s="116">
        <f t="shared" si="3"/>
        <v>0</v>
      </c>
      <c r="AA7" s="79" t="s">
        <v>419</v>
      </c>
      <c r="AB7" s="117"/>
      <c r="AC7" s="117"/>
      <c r="AD7" s="117"/>
      <c r="AE7" s="117"/>
      <c r="AF7" s="117"/>
    </row>
    <row r="8" spans="1:45" s="16" customFormat="1" ht="103.5" customHeight="1">
      <c r="A8" s="19"/>
      <c r="B8" s="18">
        <v>46120</v>
      </c>
      <c r="C8" s="18">
        <v>46135</v>
      </c>
      <c r="D8" s="18">
        <v>46136</v>
      </c>
      <c r="E8" s="18">
        <v>46147</v>
      </c>
      <c r="F8" s="80" t="s">
        <v>38</v>
      </c>
      <c r="G8" s="31" t="s">
        <v>62</v>
      </c>
      <c r="H8" s="97" t="s">
        <v>128</v>
      </c>
      <c r="I8" s="19"/>
      <c r="J8" s="80" t="s">
        <v>18</v>
      </c>
      <c r="K8" s="108">
        <v>46557</v>
      </c>
      <c r="L8" s="111">
        <v>240</v>
      </c>
      <c r="M8" s="111" t="s">
        <v>35</v>
      </c>
      <c r="N8" s="80" t="s">
        <v>184</v>
      </c>
      <c r="O8" s="80" t="s">
        <v>53</v>
      </c>
      <c r="P8" s="111">
        <v>476</v>
      </c>
      <c r="Q8" s="31">
        <f t="shared" si="0"/>
        <v>-13</v>
      </c>
      <c r="R8" s="112">
        <f>489</f>
        <v>489</v>
      </c>
      <c r="S8" s="58">
        <f t="shared" si="1"/>
        <v>-13</v>
      </c>
      <c r="T8" s="113">
        <v>2148</v>
      </c>
      <c r="U8" s="114" t="s">
        <v>231</v>
      </c>
      <c r="V8" s="58">
        <f>471</f>
        <v>471</v>
      </c>
      <c r="W8" s="58">
        <f t="shared" si="2"/>
        <v>-5</v>
      </c>
      <c r="X8" s="145">
        <v>40877</v>
      </c>
      <c r="Y8" s="115" t="s">
        <v>260</v>
      </c>
      <c r="Z8" s="116">
        <f t="shared" si="3"/>
        <v>1.050420168067227E-2</v>
      </c>
      <c r="AA8" s="79" t="s">
        <v>257</v>
      </c>
      <c r="AB8" s="117"/>
      <c r="AC8" s="117"/>
      <c r="AD8" s="117"/>
      <c r="AE8" s="117"/>
      <c r="AF8" s="117"/>
    </row>
    <row r="9" spans="1:45" s="16" customFormat="1" ht="178.5" customHeight="1">
      <c r="A9" s="19"/>
      <c r="B9" s="18">
        <v>46120</v>
      </c>
      <c r="C9" s="18">
        <v>46135</v>
      </c>
      <c r="D9" s="18">
        <v>46136</v>
      </c>
      <c r="E9" s="18">
        <v>46147</v>
      </c>
      <c r="F9" s="80" t="s">
        <v>58</v>
      </c>
      <c r="G9" s="31" t="s">
        <v>62</v>
      </c>
      <c r="H9" s="97" t="s">
        <v>128</v>
      </c>
      <c r="I9" s="19"/>
      <c r="J9" s="80" t="s">
        <v>18</v>
      </c>
      <c r="K9" s="108">
        <v>46557</v>
      </c>
      <c r="L9" s="111">
        <v>240</v>
      </c>
      <c r="M9" s="111" t="s">
        <v>35</v>
      </c>
      <c r="N9" s="80" t="s">
        <v>185</v>
      </c>
      <c r="O9" s="80" t="s">
        <v>53</v>
      </c>
      <c r="P9" s="111">
        <v>476</v>
      </c>
      <c r="Q9" s="31">
        <f t="shared" si="0"/>
        <v>-3</v>
      </c>
      <c r="R9" s="112">
        <f>479</f>
        <v>479</v>
      </c>
      <c r="S9" s="58">
        <f t="shared" si="1"/>
        <v>-3</v>
      </c>
      <c r="T9" s="113">
        <v>2149</v>
      </c>
      <c r="U9" s="114" t="s">
        <v>232</v>
      </c>
      <c r="V9" s="58">
        <f>469</f>
        <v>469</v>
      </c>
      <c r="W9" s="58">
        <f t="shared" si="2"/>
        <v>-7</v>
      </c>
      <c r="X9" s="145">
        <v>41315</v>
      </c>
      <c r="Y9" s="115" t="s">
        <v>415</v>
      </c>
      <c r="Z9" s="116">
        <f t="shared" si="3"/>
        <v>1.4705882352941178E-2</v>
      </c>
      <c r="AA9" s="79" t="s">
        <v>374</v>
      </c>
      <c r="AB9" s="117"/>
      <c r="AC9" s="117"/>
      <c r="AD9" s="117"/>
      <c r="AE9" s="117"/>
      <c r="AF9" s="117"/>
    </row>
    <row r="10" spans="1:45" s="16" customFormat="1" ht="165" customHeight="1">
      <c r="A10" s="19"/>
      <c r="B10" s="18">
        <v>46120</v>
      </c>
      <c r="C10" s="18">
        <v>46135</v>
      </c>
      <c r="D10" s="18">
        <v>46136</v>
      </c>
      <c r="E10" s="18">
        <v>46147</v>
      </c>
      <c r="F10" s="80" t="s">
        <v>58</v>
      </c>
      <c r="G10" s="31" t="s">
        <v>62</v>
      </c>
      <c r="H10" s="97" t="s">
        <v>128</v>
      </c>
      <c r="I10" s="19"/>
      <c r="J10" s="80" t="s">
        <v>18</v>
      </c>
      <c r="K10" s="108">
        <v>46557</v>
      </c>
      <c r="L10" s="111">
        <v>240</v>
      </c>
      <c r="M10" s="111" t="s">
        <v>35</v>
      </c>
      <c r="N10" s="80" t="s">
        <v>186</v>
      </c>
      <c r="O10" s="80" t="s">
        <v>53</v>
      </c>
      <c r="P10" s="111">
        <v>527</v>
      </c>
      <c r="Q10" s="31">
        <f t="shared" si="0"/>
        <v>-5</v>
      </c>
      <c r="R10" s="112">
        <f>532</f>
        <v>532</v>
      </c>
      <c r="S10" s="58">
        <f t="shared" si="1"/>
        <v>-5</v>
      </c>
      <c r="T10" s="113">
        <v>4119</v>
      </c>
      <c r="U10" s="114" t="s">
        <v>359</v>
      </c>
      <c r="V10" s="58">
        <f>463+55</f>
        <v>518</v>
      </c>
      <c r="W10" s="58">
        <f t="shared" si="2"/>
        <v>-9</v>
      </c>
      <c r="X10" s="145" t="s">
        <v>1232</v>
      </c>
      <c r="Y10" s="115" t="s">
        <v>1233</v>
      </c>
      <c r="Z10" s="116">
        <f t="shared" si="3"/>
        <v>1.7077798861480076E-2</v>
      </c>
      <c r="AA10" s="79" t="s">
        <v>1234</v>
      </c>
      <c r="AB10" s="117"/>
      <c r="AC10" s="117"/>
      <c r="AD10" s="117"/>
      <c r="AE10" s="117"/>
      <c r="AF10" s="117"/>
    </row>
    <row r="11" spans="1:45" s="16" customFormat="1" ht="219.75" customHeight="1">
      <c r="A11" s="19"/>
      <c r="B11" s="118">
        <v>46125</v>
      </c>
      <c r="C11" s="18">
        <v>46140</v>
      </c>
      <c r="D11" s="18">
        <v>46144</v>
      </c>
      <c r="E11" s="18">
        <v>46152</v>
      </c>
      <c r="F11" s="80" t="s">
        <v>38</v>
      </c>
      <c r="G11" s="31" t="s">
        <v>62</v>
      </c>
      <c r="H11" s="97" t="s">
        <v>128</v>
      </c>
      <c r="I11" s="19"/>
      <c r="J11" s="80" t="s">
        <v>18</v>
      </c>
      <c r="K11" s="108">
        <v>46558</v>
      </c>
      <c r="L11" s="111">
        <v>240</v>
      </c>
      <c r="M11" s="111" t="s">
        <v>42</v>
      </c>
      <c r="N11" s="80" t="s">
        <v>184</v>
      </c>
      <c r="O11" s="80" t="s">
        <v>41</v>
      </c>
      <c r="P11" s="111">
        <v>346</v>
      </c>
      <c r="Q11" s="31">
        <f t="shared" si="0"/>
        <v>-62</v>
      </c>
      <c r="R11" s="112">
        <f>335+32+41</f>
        <v>408</v>
      </c>
      <c r="S11" s="58">
        <f t="shared" si="1"/>
        <v>-62</v>
      </c>
      <c r="T11" s="113" t="s">
        <v>519</v>
      </c>
      <c r="U11" s="114" t="s">
        <v>520</v>
      </c>
      <c r="V11" s="58">
        <f>328+32+42</f>
        <v>402</v>
      </c>
      <c r="W11" s="58">
        <f t="shared" si="2"/>
        <v>56</v>
      </c>
      <c r="X11" s="145" t="s">
        <v>525</v>
      </c>
      <c r="Y11" s="115" t="s">
        <v>526</v>
      </c>
      <c r="Z11" s="116">
        <f t="shared" si="3"/>
        <v>-0.16184971098265899</v>
      </c>
      <c r="AA11" s="79" t="s">
        <v>527</v>
      </c>
      <c r="AB11" s="117"/>
      <c r="AC11" s="117"/>
      <c r="AD11" s="117"/>
      <c r="AE11" s="117"/>
      <c r="AF11" s="117"/>
    </row>
    <row r="12" spans="1:45" s="16" customFormat="1" ht="138.75" customHeight="1">
      <c r="A12" s="19"/>
      <c r="B12" s="118">
        <v>46125</v>
      </c>
      <c r="C12" s="18">
        <v>46140</v>
      </c>
      <c r="D12" s="18">
        <v>46144</v>
      </c>
      <c r="E12" s="18">
        <v>46152</v>
      </c>
      <c r="F12" s="80" t="s">
        <v>58</v>
      </c>
      <c r="G12" s="31" t="s">
        <v>62</v>
      </c>
      <c r="H12" s="97" t="s">
        <v>128</v>
      </c>
      <c r="I12" s="19"/>
      <c r="J12" s="80" t="s">
        <v>18</v>
      </c>
      <c r="K12" s="108">
        <v>46558</v>
      </c>
      <c r="L12" s="111">
        <v>240</v>
      </c>
      <c r="M12" s="111" t="s">
        <v>42</v>
      </c>
      <c r="N12" s="80" t="s">
        <v>185</v>
      </c>
      <c r="O12" s="80" t="s">
        <v>41</v>
      </c>
      <c r="P12" s="111">
        <v>317</v>
      </c>
      <c r="Q12" s="31">
        <f t="shared" si="0"/>
        <v>8</v>
      </c>
      <c r="R12" s="112">
        <f>296+13</f>
        <v>309</v>
      </c>
      <c r="S12" s="58">
        <f t="shared" si="1"/>
        <v>8</v>
      </c>
      <c r="T12" s="113" t="s">
        <v>481</v>
      </c>
      <c r="U12" s="114" t="s">
        <v>482</v>
      </c>
      <c r="V12" s="58">
        <f>289+13</f>
        <v>302</v>
      </c>
      <c r="W12" s="58">
        <f t="shared" si="2"/>
        <v>-15</v>
      </c>
      <c r="X12" s="145" t="s">
        <v>537</v>
      </c>
      <c r="Y12" s="115" t="s">
        <v>538</v>
      </c>
      <c r="Z12" s="116">
        <f t="shared" si="3"/>
        <v>4.7318611987381701E-2</v>
      </c>
      <c r="AA12" s="79" t="s">
        <v>539</v>
      </c>
      <c r="AB12" s="117"/>
      <c r="AC12" s="117"/>
      <c r="AD12" s="117"/>
      <c r="AE12" s="117"/>
      <c r="AF12" s="117"/>
    </row>
    <row r="13" spans="1:45" s="16" customFormat="1" ht="72" customHeight="1">
      <c r="A13" s="19"/>
      <c r="B13" s="118">
        <v>46125</v>
      </c>
      <c r="C13" s="18">
        <v>46140</v>
      </c>
      <c r="D13" s="18">
        <v>46144</v>
      </c>
      <c r="E13" s="18">
        <v>46152</v>
      </c>
      <c r="F13" s="80" t="s">
        <v>58</v>
      </c>
      <c r="G13" s="31" t="s">
        <v>62</v>
      </c>
      <c r="H13" s="97" t="s">
        <v>128</v>
      </c>
      <c r="I13" s="19"/>
      <c r="J13" s="80" t="s">
        <v>18</v>
      </c>
      <c r="K13" s="108">
        <v>46558</v>
      </c>
      <c r="L13" s="111">
        <v>240</v>
      </c>
      <c r="M13" s="111" t="s">
        <v>42</v>
      </c>
      <c r="N13" s="80" t="s">
        <v>186</v>
      </c>
      <c r="O13" s="80" t="s">
        <v>41</v>
      </c>
      <c r="P13" s="111">
        <v>365</v>
      </c>
      <c r="Q13" s="31">
        <f t="shared" si="0"/>
        <v>3</v>
      </c>
      <c r="R13" s="112">
        <f>362</f>
        <v>362</v>
      </c>
      <c r="S13" s="58">
        <f t="shared" si="1"/>
        <v>3</v>
      </c>
      <c r="T13" s="113">
        <v>4119</v>
      </c>
      <c r="U13" s="114" t="s">
        <v>359</v>
      </c>
      <c r="V13" s="58">
        <f>366</f>
        <v>366</v>
      </c>
      <c r="W13" s="58">
        <f t="shared" si="2"/>
        <v>1</v>
      </c>
      <c r="X13" s="145">
        <v>41278</v>
      </c>
      <c r="Y13" s="115" t="s">
        <v>411</v>
      </c>
      <c r="Z13" s="116">
        <f t="shared" si="3"/>
        <v>-2.7397260273972603E-3</v>
      </c>
      <c r="AA13" s="79" t="s">
        <v>391</v>
      </c>
      <c r="AB13" s="117"/>
      <c r="AC13" s="117"/>
      <c r="AD13" s="117"/>
      <c r="AE13" s="117"/>
      <c r="AF13" s="117"/>
    </row>
    <row r="14" spans="1:45" s="16" customFormat="1" ht="72" customHeight="1">
      <c r="A14" s="19"/>
      <c r="B14" s="18">
        <v>46128</v>
      </c>
      <c r="C14" s="18">
        <v>46142</v>
      </c>
      <c r="D14" s="18">
        <v>46147</v>
      </c>
      <c r="E14" s="18">
        <v>46152</v>
      </c>
      <c r="F14" s="80" t="s">
        <v>25</v>
      </c>
      <c r="G14" s="31" t="s">
        <v>62</v>
      </c>
      <c r="H14" s="97" t="s">
        <v>29</v>
      </c>
      <c r="I14" s="19"/>
      <c r="J14" s="80" t="s">
        <v>18</v>
      </c>
      <c r="K14" s="108">
        <v>47141</v>
      </c>
      <c r="L14" s="111">
        <v>280</v>
      </c>
      <c r="M14" s="111" t="s">
        <v>56</v>
      </c>
      <c r="N14" s="80" t="s">
        <v>187</v>
      </c>
      <c r="O14" s="80" t="s">
        <v>167</v>
      </c>
      <c r="P14" s="111">
        <v>123</v>
      </c>
      <c r="Q14" s="31">
        <f t="shared" si="0"/>
        <v>-16</v>
      </c>
      <c r="R14" s="112">
        <f>139</f>
        <v>139</v>
      </c>
      <c r="S14" s="58">
        <f t="shared" si="1"/>
        <v>-16</v>
      </c>
      <c r="T14" s="113">
        <v>3602</v>
      </c>
      <c r="U14" s="114" t="s">
        <v>237</v>
      </c>
      <c r="V14" s="58">
        <f>145</f>
        <v>145</v>
      </c>
      <c r="W14" s="58">
        <f t="shared" si="2"/>
        <v>22</v>
      </c>
      <c r="X14" s="145">
        <v>40943</v>
      </c>
      <c r="Y14" s="115" t="s">
        <v>262</v>
      </c>
      <c r="Z14" s="116">
        <f t="shared" si="3"/>
        <v>-0.17886178861788618</v>
      </c>
      <c r="AA14" s="79" t="s">
        <v>293</v>
      </c>
      <c r="AB14" s="117"/>
      <c r="AC14" s="117"/>
      <c r="AD14" s="117"/>
      <c r="AE14" s="117"/>
      <c r="AF14" s="117"/>
    </row>
    <row r="15" spans="1:45" s="16" customFormat="1" ht="147.75" customHeight="1">
      <c r="A15" s="19"/>
      <c r="B15" s="118">
        <v>46125</v>
      </c>
      <c r="C15" s="18">
        <v>46137</v>
      </c>
      <c r="D15" s="18">
        <v>46144</v>
      </c>
      <c r="E15" s="18">
        <v>46150</v>
      </c>
      <c r="F15" s="80" t="s">
        <v>23</v>
      </c>
      <c r="G15" s="31" t="s">
        <v>62</v>
      </c>
      <c r="H15" s="97" t="s">
        <v>179</v>
      </c>
      <c r="I15" s="19"/>
      <c r="J15" s="80" t="s">
        <v>18</v>
      </c>
      <c r="K15" s="108">
        <v>46995</v>
      </c>
      <c r="L15" s="111">
        <v>200</v>
      </c>
      <c r="M15" s="111" t="s">
        <v>45</v>
      </c>
      <c r="N15" s="80" t="s">
        <v>160</v>
      </c>
      <c r="O15" s="80" t="s">
        <v>28</v>
      </c>
      <c r="P15" s="111">
        <v>289</v>
      </c>
      <c r="Q15" s="31">
        <f t="shared" si="0"/>
        <v>0</v>
      </c>
      <c r="R15" s="112">
        <f>289</f>
        <v>289</v>
      </c>
      <c r="S15" s="58">
        <f t="shared" si="1"/>
        <v>0</v>
      </c>
      <c r="T15" s="113">
        <v>2139</v>
      </c>
      <c r="U15" s="114" t="s">
        <v>228</v>
      </c>
      <c r="V15" s="58">
        <f>6+283</f>
        <v>289</v>
      </c>
      <c r="W15" s="58">
        <f t="shared" si="2"/>
        <v>0</v>
      </c>
      <c r="X15" s="145" t="s">
        <v>369</v>
      </c>
      <c r="Y15" s="115" t="s">
        <v>370</v>
      </c>
      <c r="Z15" s="116">
        <f t="shared" si="3"/>
        <v>0</v>
      </c>
      <c r="AA15" s="79" t="s">
        <v>360</v>
      </c>
      <c r="AB15" s="117"/>
      <c r="AC15" s="117"/>
      <c r="AD15" s="117"/>
      <c r="AE15" s="117"/>
      <c r="AF15" s="117"/>
    </row>
    <row r="16" spans="1:45" s="16" customFormat="1" ht="199.5" customHeight="1">
      <c r="A16" s="19"/>
      <c r="B16" s="118">
        <v>46132</v>
      </c>
      <c r="C16" s="18">
        <v>46137</v>
      </c>
      <c r="D16" s="18">
        <v>46144</v>
      </c>
      <c r="E16" s="18">
        <v>46150</v>
      </c>
      <c r="F16" s="80" t="s">
        <v>23</v>
      </c>
      <c r="G16" s="31" t="s">
        <v>62</v>
      </c>
      <c r="H16" s="97" t="s">
        <v>179</v>
      </c>
      <c r="I16" s="19"/>
      <c r="J16" s="80" t="s">
        <v>18</v>
      </c>
      <c r="K16" s="108">
        <v>46996</v>
      </c>
      <c r="L16" s="111">
        <v>200</v>
      </c>
      <c r="M16" s="111" t="s">
        <v>45</v>
      </c>
      <c r="N16" s="80" t="s">
        <v>160</v>
      </c>
      <c r="O16" s="80" t="s">
        <v>28</v>
      </c>
      <c r="P16" s="111">
        <v>109</v>
      </c>
      <c r="Q16" s="31">
        <f t="shared" si="0"/>
        <v>-3</v>
      </c>
      <c r="R16" s="112">
        <f>112</f>
        <v>112</v>
      </c>
      <c r="S16" s="58">
        <f t="shared" si="1"/>
        <v>-3</v>
      </c>
      <c r="T16" s="113">
        <v>2139</v>
      </c>
      <c r="U16" s="114" t="s">
        <v>228</v>
      </c>
      <c r="V16" s="58">
        <f>112</f>
        <v>112</v>
      </c>
      <c r="W16" s="58">
        <f t="shared" si="2"/>
        <v>3</v>
      </c>
      <c r="X16" s="145">
        <v>41178</v>
      </c>
      <c r="Y16" s="115" t="s">
        <v>368</v>
      </c>
      <c r="Z16" s="116">
        <f t="shared" si="3"/>
        <v>-2.7522935779816512E-2</v>
      </c>
      <c r="AA16" s="79" t="s">
        <v>346</v>
      </c>
      <c r="AB16" s="117"/>
      <c r="AC16" s="117"/>
      <c r="AD16" s="117"/>
      <c r="AE16" s="117"/>
      <c r="AF16" s="117"/>
    </row>
    <row r="17" spans="1:32" s="16" customFormat="1" ht="72" customHeight="1">
      <c r="A17" s="19"/>
      <c r="B17" s="118">
        <v>46127</v>
      </c>
      <c r="C17" s="18">
        <v>46142</v>
      </c>
      <c r="D17" s="18">
        <v>46144</v>
      </c>
      <c r="E17" s="18">
        <v>46152</v>
      </c>
      <c r="F17" s="80" t="s">
        <v>23</v>
      </c>
      <c r="G17" s="31" t="s">
        <v>62</v>
      </c>
      <c r="H17" s="97" t="s">
        <v>179</v>
      </c>
      <c r="I17" s="19"/>
      <c r="J17" s="80" t="s">
        <v>18</v>
      </c>
      <c r="K17" s="108">
        <v>46998</v>
      </c>
      <c r="L17" s="111">
        <v>200</v>
      </c>
      <c r="M17" s="111" t="s">
        <v>45</v>
      </c>
      <c r="N17" s="80" t="s">
        <v>160</v>
      </c>
      <c r="O17" s="80" t="s">
        <v>28</v>
      </c>
      <c r="P17" s="111">
        <v>234</v>
      </c>
      <c r="Q17" s="31">
        <f t="shared" si="0"/>
        <v>-8</v>
      </c>
      <c r="R17" s="112">
        <f>47+195</f>
        <v>242</v>
      </c>
      <c r="S17" s="58">
        <f t="shared" si="1"/>
        <v>-8</v>
      </c>
      <c r="T17" s="113" t="s">
        <v>229</v>
      </c>
      <c r="U17" s="114" t="s">
        <v>230</v>
      </c>
      <c r="V17" s="58">
        <f>46+123+47</f>
        <v>216</v>
      </c>
      <c r="W17" s="58">
        <f t="shared" si="2"/>
        <v>-18</v>
      </c>
      <c r="X17" s="145" t="s">
        <v>375</v>
      </c>
      <c r="Y17" s="115" t="s">
        <v>376</v>
      </c>
      <c r="Z17" s="116">
        <f t="shared" si="3"/>
        <v>7.6923076923076927E-2</v>
      </c>
      <c r="AA17" s="79" t="s">
        <v>401</v>
      </c>
      <c r="AB17" s="117"/>
      <c r="AC17" s="117"/>
      <c r="AD17" s="117"/>
      <c r="AE17" s="117"/>
      <c r="AF17" s="117"/>
    </row>
    <row r="18" spans="1:32" s="16" customFormat="1" ht="72" customHeight="1">
      <c r="A18" s="19"/>
      <c r="B18" s="118">
        <v>46128</v>
      </c>
      <c r="C18" s="18">
        <v>46140</v>
      </c>
      <c r="D18" s="18">
        <v>46144</v>
      </c>
      <c r="E18" s="18">
        <v>46151</v>
      </c>
      <c r="F18" s="80" t="s">
        <v>23</v>
      </c>
      <c r="G18" s="31" t="s">
        <v>62</v>
      </c>
      <c r="H18" s="97" t="s">
        <v>179</v>
      </c>
      <c r="I18" s="19"/>
      <c r="J18" s="80" t="s">
        <v>18</v>
      </c>
      <c r="K18" s="108">
        <v>47005</v>
      </c>
      <c r="L18" s="111">
        <v>220</v>
      </c>
      <c r="M18" s="111" t="s">
        <v>122</v>
      </c>
      <c r="N18" s="80" t="s">
        <v>166</v>
      </c>
      <c r="O18" s="80" t="s">
        <v>55</v>
      </c>
      <c r="P18" s="111">
        <v>155</v>
      </c>
      <c r="Q18" s="31">
        <f t="shared" si="0"/>
        <v>-10</v>
      </c>
      <c r="R18" s="112">
        <f>165</f>
        <v>165</v>
      </c>
      <c r="S18" s="58">
        <f t="shared" si="1"/>
        <v>-10</v>
      </c>
      <c r="T18" s="113">
        <v>4017</v>
      </c>
      <c r="U18" s="114" t="s">
        <v>283</v>
      </c>
      <c r="V18" s="58">
        <f>160</f>
        <v>160</v>
      </c>
      <c r="W18" s="58">
        <f t="shared" si="2"/>
        <v>5</v>
      </c>
      <c r="X18" s="145">
        <v>41201</v>
      </c>
      <c r="Y18" s="115" t="s">
        <v>377</v>
      </c>
      <c r="Z18" s="116">
        <f t="shared" si="3"/>
        <v>-3.2258064516129031E-2</v>
      </c>
      <c r="AA18" s="79" t="s">
        <v>339</v>
      </c>
      <c r="AB18" s="117"/>
      <c r="AC18" s="117"/>
      <c r="AD18" s="117"/>
      <c r="AE18" s="117"/>
      <c r="AF18" s="117"/>
    </row>
    <row r="19" spans="1:32" s="16" customFormat="1" ht="101.25" customHeight="1">
      <c r="A19" s="19"/>
      <c r="B19" s="118">
        <v>46128</v>
      </c>
      <c r="C19" s="18">
        <v>46140</v>
      </c>
      <c r="D19" s="18">
        <v>46144</v>
      </c>
      <c r="E19" s="18">
        <v>46151</v>
      </c>
      <c r="F19" s="80" t="s">
        <v>23</v>
      </c>
      <c r="G19" s="31" t="s">
        <v>62</v>
      </c>
      <c r="H19" s="97" t="s">
        <v>179</v>
      </c>
      <c r="I19" s="19"/>
      <c r="J19" s="80" t="s">
        <v>18</v>
      </c>
      <c r="K19" s="108">
        <v>47005</v>
      </c>
      <c r="L19" s="111">
        <v>220</v>
      </c>
      <c r="M19" s="111" t="s">
        <v>122</v>
      </c>
      <c r="N19" s="80" t="s">
        <v>126</v>
      </c>
      <c r="O19" s="80" t="s">
        <v>55</v>
      </c>
      <c r="P19" s="111">
        <v>250</v>
      </c>
      <c r="Q19" s="31">
        <f t="shared" si="0"/>
        <v>-13</v>
      </c>
      <c r="R19" s="112">
        <f>263</f>
        <v>263</v>
      </c>
      <c r="S19" s="58">
        <f t="shared" si="1"/>
        <v>-13</v>
      </c>
      <c r="T19" s="113">
        <v>2712</v>
      </c>
      <c r="U19" s="114" t="s">
        <v>220</v>
      </c>
      <c r="V19" s="58">
        <f>258</f>
        <v>258</v>
      </c>
      <c r="W19" s="58">
        <f t="shared" si="2"/>
        <v>8</v>
      </c>
      <c r="X19" s="145">
        <v>41107</v>
      </c>
      <c r="Y19" s="115" t="s">
        <v>349</v>
      </c>
      <c r="Z19" s="116">
        <f t="shared" si="3"/>
        <v>-3.2000000000000001E-2</v>
      </c>
      <c r="AA19" s="79" t="s">
        <v>254</v>
      </c>
      <c r="AB19" s="117"/>
      <c r="AC19" s="117"/>
      <c r="AD19" s="117"/>
      <c r="AE19" s="117"/>
      <c r="AF19" s="117"/>
    </row>
    <row r="20" spans="1:32" s="16" customFormat="1" ht="104.25" customHeight="1">
      <c r="A20" s="19"/>
      <c r="B20" s="118">
        <v>46128</v>
      </c>
      <c r="C20" s="18">
        <v>46139</v>
      </c>
      <c r="D20" s="18">
        <v>46144</v>
      </c>
      <c r="E20" s="18">
        <v>46151</v>
      </c>
      <c r="F20" s="80" t="s">
        <v>23</v>
      </c>
      <c r="G20" s="31" t="s">
        <v>62</v>
      </c>
      <c r="H20" s="97" t="s">
        <v>179</v>
      </c>
      <c r="I20" s="19"/>
      <c r="J20" s="80" t="s">
        <v>18</v>
      </c>
      <c r="K20" s="108">
        <v>47006</v>
      </c>
      <c r="L20" s="111">
        <v>220</v>
      </c>
      <c r="M20" s="111" t="s">
        <v>122</v>
      </c>
      <c r="N20" s="80" t="s">
        <v>166</v>
      </c>
      <c r="O20" s="80" t="s">
        <v>55</v>
      </c>
      <c r="P20" s="111">
        <v>78</v>
      </c>
      <c r="Q20" s="31">
        <f t="shared" ref="Q20:Q46" si="4">P20-R20</f>
        <v>-7</v>
      </c>
      <c r="R20" s="112">
        <f>85</f>
        <v>85</v>
      </c>
      <c r="S20" s="58">
        <f t="shared" ref="S20:S46" si="5">P20-R20</f>
        <v>-7</v>
      </c>
      <c r="T20" s="113">
        <v>4017</v>
      </c>
      <c r="U20" s="114" t="s">
        <v>283</v>
      </c>
      <c r="V20" s="58">
        <f>86</f>
        <v>86</v>
      </c>
      <c r="W20" s="58">
        <f t="shared" ref="W20:W46" si="6">+V20-P20</f>
        <v>8</v>
      </c>
      <c r="X20" s="145">
        <v>41201</v>
      </c>
      <c r="Y20" s="115" t="s">
        <v>377</v>
      </c>
      <c r="Z20" s="116">
        <f t="shared" ref="Z20:Z46" si="7">(P20-V20)*100/P20/100</f>
        <v>-0.10256410256410257</v>
      </c>
      <c r="AA20" s="79" t="s">
        <v>354</v>
      </c>
      <c r="AB20" s="117"/>
      <c r="AC20" s="117"/>
      <c r="AD20" s="117"/>
      <c r="AE20" s="117"/>
      <c r="AF20" s="117"/>
    </row>
    <row r="21" spans="1:32" s="16" customFormat="1" ht="72" customHeight="1">
      <c r="A21" s="19"/>
      <c r="B21" s="118">
        <v>46128</v>
      </c>
      <c r="C21" s="18">
        <v>46139</v>
      </c>
      <c r="D21" s="18">
        <v>46144</v>
      </c>
      <c r="E21" s="18">
        <v>46151</v>
      </c>
      <c r="F21" s="80" t="s">
        <v>23</v>
      </c>
      <c r="G21" s="31" t="s">
        <v>62</v>
      </c>
      <c r="H21" s="97" t="s">
        <v>179</v>
      </c>
      <c r="I21" s="19"/>
      <c r="J21" s="80" t="s">
        <v>18</v>
      </c>
      <c r="K21" s="108">
        <v>47006</v>
      </c>
      <c r="L21" s="111">
        <v>220</v>
      </c>
      <c r="M21" s="111" t="s">
        <v>122</v>
      </c>
      <c r="N21" s="80" t="s">
        <v>188</v>
      </c>
      <c r="O21" s="80" t="s">
        <v>55</v>
      </c>
      <c r="P21" s="111">
        <v>139</v>
      </c>
      <c r="Q21" s="31">
        <f t="shared" si="4"/>
        <v>-9</v>
      </c>
      <c r="R21" s="112">
        <f>148</f>
        <v>148</v>
      </c>
      <c r="S21" s="58">
        <f t="shared" si="5"/>
        <v>-9</v>
      </c>
      <c r="T21" s="113">
        <v>2712</v>
      </c>
      <c r="U21" s="114" t="s">
        <v>220</v>
      </c>
      <c r="V21" s="58">
        <f>143+3</f>
        <v>146</v>
      </c>
      <c r="W21" s="58">
        <f t="shared" si="6"/>
        <v>7</v>
      </c>
      <c r="X21" s="145">
        <v>41107</v>
      </c>
      <c r="Y21" s="115" t="s">
        <v>349</v>
      </c>
      <c r="Z21" s="116">
        <f t="shared" si="7"/>
        <v>-5.0359712230215826E-2</v>
      </c>
      <c r="AA21" s="79" t="s">
        <v>350</v>
      </c>
      <c r="AB21" s="117"/>
      <c r="AC21" s="117"/>
      <c r="AD21" s="117"/>
      <c r="AE21" s="117"/>
      <c r="AF21" s="117"/>
    </row>
    <row r="22" spans="1:32" s="16" customFormat="1" ht="141" customHeight="1">
      <c r="A22" s="19"/>
      <c r="B22" s="118">
        <v>46127</v>
      </c>
      <c r="C22" s="18">
        <v>46137</v>
      </c>
      <c r="D22" s="18">
        <v>46144</v>
      </c>
      <c r="E22" s="18">
        <v>46150</v>
      </c>
      <c r="F22" s="80" t="s">
        <v>25</v>
      </c>
      <c r="G22" s="31" t="s">
        <v>62</v>
      </c>
      <c r="H22" s="97" t="s">
        <v>179</v>
      </c>
      <c r="I22" s="19"/>
      <c r="J22" s="80" t="s">
        <v>18</v>
      </c>
      <c r="K22" s="108">
        <v>47011</v>
      </c>
      <c r="L22" s="111">
        <v>200</v>
      </c>
      <c r="M22" s="111" t="s">
        <v>45</v>
      </c>
      <c r="N22" s="80" t="s">
        <v>103</v>
      </c>
      <c r="O22" s="80" t="s">
        <v>28</v>
      </c>
      <c r="P22" s="111">
        <v>79</v>
      </c>
      <c r="Q22" s="31">
        <f t="shared" si="4"/>
        <v>-5</v>
      </c>
      <c r="R22" s="112">
        <f>83+14-13-14+14</f>
        <v>84</v>
      </c>
      <c r="S22" s="58">
        <f t="shared" si="5"/>
        <v>-5</v>
      </c>
      <c r="T22" s="113" t="s">
        <v>460</v>
      </c>
      <c r="U22" s="114" t="s">
        <v>461</v>
      </c>
      <c r="V22" s="58">
        <f>68+14</f>
        <v>82</v>
      </c>
      <c r="W22" s="58">
        <f t="shared" si="6"/>
        <v>3</v>
      </c>
      <c r="X22" s="145" t="s">
        <v>458</v>
      </c>
      <c r="Y22" s="115" t="s">
        <v>459</v>
      </c>
      <c r="Z22" s="116">
        <f t="shared" si="7"/>
        <v>-3.7974683544303799E-2</v>
      </c>
      <c r="AA22" s="79" t="s">
        <v>762</v>
      </c>
      <c r="AB22" s="117"/>
      <c r="AC22" s="117"/>
      <c r="AD22" s="117"/>
      <c r="AE22" s="117"/>
      <c r="AF22" s="117"/>
    </row>
    <row r="23" spans="1:32" s="16" customFormat="1" ht="72" customHeight="1">
      <c r="A23" s="19"/>
      <c r="B23" s="118">
        <v>46127</v>
      </c>
      <c r="C23" s="18">
        <v>46142</v>
      </c>
      <c r="D23" s="18">
        <v>46144</v>
      </c>
      <c r="E23" s="18">
        <v>46152</v>
      </c>
      <c r="F23" s="80" t="s">
        <v>25</v>
      </c>
      <c r="G23" s="31" t="s">
        <v>62</v>
      </c>
      <c r="H23" s="97" t="s">
        <v>29</v>
      </c>
      <c r="I23" s="19"/>
      <c r="J23" s="80" t="s">
        <v>18</v>
      </c>
      <c r="K23" s="108">
        <v>47140</v>
      </c>
      <c r="L23" s="111">
        <v>280</v>
      </c>
      <c r="M23" s="111" t="s">
        <v>56</v>
      </c>
      <c r="N23" s="80" t="s">
        <v>169</v>
      </c>
      <c r="O23" s="80" t="s">
        <v>167</v>
      </c>
      <c r="P23" s="111">
        <v>271</v>
      </c>
      <c r="Q23" s="31">
        <f t="shared" si="4"/>
        <v>-4</v>
      </c>
      <c r="R23" s="112">
        <f>275</f>
        <v>275</v>
      </c>
      <c r="S23" s="58">
        <f t="shared" si="5"/>
        <v>-4</v>
      </c>
      <c r="T23" s="113">
        <v>3602</v>
      </c>
      <c r="U23" s="114" t="s">
        <v>237</v>
      </c>
      <c r="V23" s="58">
        <f>269</f>
        <v>269</v>
      </c>
      <c r="W23" s="58">
        <f t="shared" si="6"/>
        <v>-2</v>
      </c>
      <c r="X23" s="145">
        <v>40943</v>
      </c>
      <c r="Y23" s="115" t="s">
        <v>262</v>
      </c>
      <c r="Z23" s="116">
        <f t="shared" si="7"/>
        <v>7.3800738007380072E-3</v>
      </c>
      <c r="AA23" s="79" t="s">
        <v>337</v>
      </c>
      <c r="AB23" s="117"/>
      <c r="AC23" s="117"/>
      <c r="AD23" s="117"/>
      <c r="AE23" s="117"/>
      <c r="AF23" s="117"/>
    </row>
    <row r="24" spans="1:32" s="16" customFormat="1" ht="72" customHeight="1">
      <c r="A24" s="19"/>
      <c r="B24" s="118">
        <v>46127</v>
      </c>
      <c r="C24" s="18">
        <v>46142</v>
      </c>
      <c r="D24" s="18">
        <v>46144</v>
      </c>
      <c r="E24" s="18">
        <v>46152</v>
      </c>
      <c r="F24" s="80" t="s">
        <v>25</v>
      </c>
      <c r="G24" s="31" t="s">
        <v>62</v>
      </c>
      <c r="H24" s="97" t="s">
        <v>29</v>
      </c>
      <c r="I24" s="19"/>
      <c r="J24" s="80" t="s">
        <v>18</v>
      </c>
      <c r="K24" s="108">
        <v>47140</v>
      </c>
      <c r="L24" s="111">
        <v>280</v>
      </c>
      <c r="M24" s="111" t="s">
        <v>56</v>
      </c>
      <c r="N24" s="80" t="s">
        <v>189</v>
      </c>
      <c r="O24" s="80" t="s">
        <v>167</v>
      </c>
      <c r="P24" s="111">
        <v>168</v>
      </c>
      <c r="Q24" s="31">
        <f t="shared" si="4"/>
        <v>-6</v>
      </c>
      <c r="R24" s="112">
        <f>174</f>
        <v>174</v>
      </c>
      <c r="S24" s="58">
        <f t="shared" si="5"/>
        <v>-6</v>
      </c>
      <c r="T24" s="113">
        <v>3679</v>
      </c>
      <c r="U24" s="114" t="s">
        <v>261</v>
      </c>
      <c r="V24" s="58">
        <f>168</f>
        <v>168</v>
      </c>
      <c r="W24" s="58">
        <f t="shared" si="6"/>
        <v>0</v>
      </c>
      <c r="X24" s="145">
        <v>41085</v>
      </c>
      <c r="Y24" s="115" t="s">
        <v>340</v>
      </c>
      <c r="Z24" s="116">
        <f t="shared" si="7"/>
        <v>0</v>
      </c>
      <c r="AA24" s="79" t="s">
        <v>273</v>
      </c>
      <c r="AB24" s="117"/>
      <c r="AC24" s="117"/>
      <c r="AD24" s="117"/>
      <c r="AE24" s="117"/>
      <c r="AF24" s="117"/>
    </row>
    <row r="25" spans="1:32" s="16" customFormat="1" ht="72" customHeight="1">
      <c r="A25" s="19"/>
      <c r="B25" s="118">
        <v>46128</v>
      </c>
      <c r="C25" s="18">
        <v>46140</v>
      </c>
      <c r="D25" s="18">
        <v>46145</v>
      </c>
      <c r="E25" s="18">
        <v>46152</v>
      </c>
      <c r="F25" s="80" t="s">
        <v>25</v>
      </c>
      <c r="G25" s="31" t="s">
        <v>62</v>
      </c>
      <c r="H25" s="97" t="s">
        <v>29</v>
      </c>
      <c r="I25" s="19"/>
      <c r="J25" s="80" t="s">
        <v>18</v>
      </c>
      <c r="K25" s="108">
        <v>47145</v>
      </c>
      <c r="L25" s="111">
        <v>280</v>
      </c>
      <c r="M25" s="111" t="s">
        <v>56</v>
      </c>
      <c r="N25" s="80" t="s">
        <v>169</v>
      </c>
      <c r="O25" s="80" t="s">
        <v>61</v>
      </c>
      <c r="P25" s="111">
        <v>264</v>
      </c>
      <c r="Q25" s="31">
        <f t="shared" si="4"/>
        <v>-1</v>
      </c>
      <c r="R25" s="112">
        <f>265</f>
        <v>265</v>
      </c>
      <c r="S25" s="58">
        <f t="shared" si="5"/>
        <v>-1</v>
      </c>
      <c r="T25" s="113">
        <v>3602</v>
      </c>
      <c r="U25" s="114" t="s">
        <v>237</v>
      </c>
      <c r="V25" s="58">
        <f>259</f>
        <v>259</v>
      </c>
      <c r="W25" s="58">
        <f t="shared" si="6"/>
        <v>-5</v>
      </c>
      <c r="X25" s="145">
        <v>41178</v>
      </c>
      <c r="Y25" s="115" t="s">
        <v>368</v>
      </c>
      <c r="Z25" s="116">
        <f t="shared" si="7"/>
        <v>1.893939393939394E-2</v>
      </c>
      <c r="AA25" s="79" t="s">
        <v>252</v>
      </c>
      <c r="AB25" s="117"/>
      <c r="AC25" s="117"/>
      <c r="AD25" s="117"/>
      <c r="AE25" s="117"/>
      <c r="AF25" s="117"/>
    </row>
    <row r="26" spans="1:32" s="16" customFormat="1" ht="72" customHeight="1">
      <c r="A26" s="19"/>
      <c r="B26" s="118">
        <v>46128</v>
      </c>
      <c r="C26" s="18">
        <v>46142</v>
      </c>
      <c r="D26" s="18">
        <v>46146</v>
      </c>
      <c r="E26" s="18">
        <v>46152</v>
      </c>
      <c r="F26" s="80" t="s">
        <v>25</v>
      </c>
      <c r="G26" s="31" t="s">
        <v>62</v>
      </c>
      <c r="H26" s="97" t="s">
        <v>29</v>
      </c>
      <c r="I26" s="19"/>
      <c r="J26" s="80" t="s">
        <v>18</v>
      </c>
      <c r="K26" s="108">
        <v>47146</v>
      </c>
      <c r="L26" s="111">
        <v>280</v>
      </c>
      <c r="M26" s="111" t="s">
        <v>56</v>
      </c>
      <c r="N26" s="80" t="s">
        <v>169</v>
      </c>
      <c r="O26" s="80" t="s">
        <v>61</v>
      </c>
      <c r="P26" s="111">
        <v>266</v>
      </c>
      <c r="Q26" s="31">
        <f t="shared" si="4"/>
        <v>-35</v>
      </c>
      <c r="R26" s="112">
        <f>263+38</f>
        <v>301</v>
      </c>
      <c r="S26" s="58">
        <f t="shared" si="5"/>
        <v>-35</v>
      </c>
      <c r="T26" s="113" t="s">
        <v>425</v>
      </c>
      <c r="U26" s="114" t="s">
        <v>426</v>
      </c>
      <c r="V26" s="58">
        <f>233</f>
        <v>233</v>
      </c>
      <c r="W26" s="58">
        <f t="shared" si="6"/>
        <v>-33</v>
      </c>
      <c r="X26" s="145">
        <v>41178</v>
      </c>
      <c r="Y26" s="115" t="s">
        <v>368</v>
      </c>
      <c r="Z26" s="116">
        <f t="shared" si="7"/>
        <v>0.12406015037593984</v>
      </c>
      <c r="AA26" s="79" t="s">
        <v>427</v>
      </c>
      <c r="AB26" s="117"/>
      <c r="AC26" s="117"/>
      <c r="AD26" s="117"/>
      <c r="AE26" s="117"/>
      <c r="AF26" s="117"/>
    </row>
    <row r="27" spans="1:32" s="16" customFormat="1" ht="72" customHeight="1">
      <c r="A27" s="19"/>
      <c r="B27" s="118">
        <v>46125</v>
      </c>
      <c r="C27" s="18">
        <v>46134</v>
      </c>
      <c r="D27" s="18">
        <v>46137</v>
      </c>
      <c r="E27" s="18">
        <v>46144</v>
      </c>
      <c r="F27" s="80" t="s">
        <v>23</v>
      </c>
      <c r="G27" s="31" t="s">
        <v>144</v>
      </c>
      <c r="H27" s="97" t="s">
        <v>127</v>
      </c>
      <c r="I27" s="19"/>
      <c r="J27" s="80" t="s">
        <v>18</v>
      </c>
      <c r="K27" s="108">
        <v>47217</v>
      </c>
      <c r="L27" s="111">
        <v>200</v>
      </c>
      <c r="M27" s="111" t="s">
        <v>56</v>
      </c>
      <c r="N27" s="80" t="s">
        <v>148</v>
      </c>
      <c r="O27" s="80" t="s">
        <v>190</v>
      </c>
      <c r="P27" s="111">
        <v>147</v>
      </c>
      <c r="Q27" s="31">
        <f t="shared" si="4"/>
        <v>0</v>
      </c>
      <c r="R27" s="112">
        <f>147</f>
        <v>147</v>
      </c>
      <c r="S27" s="58">
        <f t="shared" si="5"/>
        <v>0</v>
      </c>
      <c r="T27" s="113">
        <v>3659</v>
      </c>
      <c r="U27" s="114" t="s">
        <v>240</v>
      </c>
      <c r="V27" s="58">
        <f>145-5</f>
        <v>140</v>
      </c>
      <c r="W27" s="58">
        <f t="shared" si="6"/>
        <v>-7</v>
      </c>
      <c r="X27" s="145">
        <v>1207</v>
      </c>
      <c r="Y27" s="115" t="s">
        <v>261</v>
      </c>
      <c r="Z27" s="116">
        <f t="shared" si="7"/>
        <v>4.7619047619047616E-2</v>
      </c>
      <c r="AA27" s="79" t="s">
        <v>270</v>
      </c>
      <c r="AB27" s="117"/>
      <c r="AC27" s="117"/>
      <c r="AD27" s="117"/>
      <c r="AE27" s="117"/>
      <c r="AF27" s="117"/>
    </row>
    <row r="28" spans="1:32" s="16" customFormat="1" ht="72" customHeight="1">
      <c r="A28" s="19"/>
      <c r="B28" s="118">
        <v>46125</v>
      </c>
      <c r="C28" s="18">
        <v>46134</v>
      </c>
      <c r="D28" s="18">
        <v>46137</v>
      </c>
      <c r="E28" s="18">
        <v>46144</v>
      </c>
      <c r="F28" s="80" t="s">
        <v>23</v>
      </c>
      <c r="G28" s="31" t="s">
        <v>144</v>
      </c>
      <c r="H28" s="97" t="s">
        <v>127</v>
      </c>
      <c r="I28" s="19"/>
      <c r="J28" s="80" t="s">
        <v>18</v>
      </c>
      <c r="K28" s="108">
        <v>47217</v>
      </c>
      <c r="L28" s="111">
        <v>200</v>
      </c>
      <c r="M28" s="111" t="s">
        <v>56</v>
      </c>
      <c r="N28" s="80" t="s">
        <v>148</v>
      </c>
      <c r="O28" s="80" t="s">
        <v>190</v>
      </c>
      <c r="P28" s="111">
        <v>239</v>
      </c>
      <c r="Q28" s="31">
        <f t="shared" si="4"/>
        <v>1</v>
      </c>
      <c r="R28" s="112">
        <f>238</f>
        <v>238</v>
      </c>
      <c r="S28" s="58">
        <f t="shared" si="5"/>
        <v>1</v>
      </c>
      <c r="T28" s="113">
        <v>3659</v>
      </c>
      <c r="U28" s="114" t="s">
        <v>240</v>
      </c>
      <c r="V28" s="58">
        <f>231</f>
        <v>231</v>
      </c>
      <c r="W28" s="58">
        <f t="shared" si="6"/>
        <v>-8</v>
      </c>
      <c r="X28" s="145">
        <v>1207</v>
      </c>
      <c r="Y28" s="115" t="s">
        <v>261</v>
      </c>
      <c r="Z28" s="116">
        <f t="shared" si="7"/>
        <v>3.3472803347280332E-2</v>
      </c>
      <c r="AA28" s="79" t="s">
        <v>253</v>
      </c>
      <c r="AB28" s="117"/>
      <c r="AC28" s="117"/>
      <c r="AD28" s="117"/>
      <c r="AE28" s="117"/>
      <c r="AF28" s="117"/>
    </row>
    <row r="29" spans="1:32" s="16" customFormat="1" ht="72" customHeight="1">
      <c r="A29" s="19"/>
      <c r="B29" s="118">
        <v>46132</v>
      </c>
      <c r="C29" s="18">
        <v>46140</v>
      </c>
      <c r="D29" s="18">
        <v>46142</v>
      </c>
      <c r="E29" s="18">
        <v>46149</v>
      </c>
      <c r="F29" s="80" t="s">
        <v>23</v>
      </c>
      <c r="G29" s="31" t="s">
        <v>62</v>
      </c>
      <c r="H29" s="97" t="s">
        <v>128</v>
      </c>
      <c r="I29" s="19"/>
      <c r="J29" s="80" t="s">
        <v>18</v>
      </c>
      <c r="K29" s="108">
        <v>47367</v>
      </c>
      <c r="L29" s="111">
        <v>320</v>
      </c>
      <c r="M29" s="111" t="s">
        <v>56</v>
      </c>
      <c r="N29" s="80" t="s">
        <v>191</v>
      </c>
      <c r="O29" s="80" t="s">
        <v>192</v>
      </c>
      <c r="P29" s="111">
        <v>300</v>
      </c>
      <c r="Q29" s="31">
        <f t="shared" si="4"/>
        <v>0</v>
      </c>
      <c r="R29" s="112">
        <f>300</f>
        <v>300</v>
      </c>
      <c r="S29" s="58">
        <f t="shared" si="5"/>
        <v>0</v>
      </c>
      <c r="T29" s="113">
        <v>4011</v>
      </c>
      <c r="U29" s="114" t="s">
        <v>278</v>
      </c>
      <c r="V29" s="58">
        <f>299</f>
        <v>299</v>
      </c>
      <c r="W29" s="58">
        <f t="shared" si="6"/>
        <v>-1</v>
      </c>
      <c r="X29" s="145">
        <v>41059</v>
      </c>
      <c r="Y29" s="115" t="s">
        <v>333</v>
      </c>
      <c r="Z29" s="116">
        <f t="shared" si="7"/>
        <v>3.3333333333333331E-3</v>
      </c>
      <c r="AA29" s="79" t="s">
        <v>284</v>
      </c>
      <c r="AB29" s="117"/>
      <c r="AC29" s="117"/>
      <c r="AD29" s="117"/>
      <c r="AE29" s="117"/>
      <c r="AF29" s="117"/>
    </row>
    <row r="30" spans="1:32" s="16" customFormat="1" ht="72" customHeight="1">
      <c r="A30" s="19"/>
      <c r="B30" s="118">
        <v>46132</v>
      </c>
      <c r="C30" s="18">
        <v>46140</v>
      </c>
      <c r="D30" s="18">
        <v>46142</v>
      </c>
      <c r="E30" s="18">
        <v>46149</v>
      </c>
      <c r="F30" s="80" t="s">
        <v>23</v>
      </c>
      <c r="G30" s="31" t="s">
        <v>62</v>
      </c>
      <c r="H30" s="97" t="s">
        <v>128</v>
      </c>
      <c r="I30" s="19"/>
      <c r="J30" s="80" t="s">
        <v>18</v>
      </c>
      <c r="K30" s="108">
        <v>47367</v>
      </c>
      <c r="L30" s="111">
        <v>320</v>
      </c>
      <c r="M30" s="111" t="s">
        <v>56</v>
      </c>
      <c r="N30" s="80" t="s">
        <v>104</v>
      </c>
      <c r="O30" s="80" t="s">
        <v>192</v>
      </c>
      <c r="P30" s="111">
        <v>300</v>
      </c>
      <c r="Q30" s="31">
        <f t="shared" si="4"/>
        <v>3</v>
      </c>
      <c r="R30" s="112">
        <f>297</f>
        <v>297</v>
      </c>
      <c r="S30" s="58">
        <f t="shared" si="5"/>
        <v>3</v>
      </c>
      <c r="T30" s="113">
        <v>3684</v>
      </c>
      <c r="U30" s="114" t="s">
        <v>263</v>
      </c>
      <c r="V30" s="58">
        <f>308</f>
        <v>308</v>
      </c>
      <c r="W30" s="58">
        <f t="shared" si="6"/>
        <v>8</v>
      </c>
      <c r="X30" s="145">
        <v>41034</v>
      </c>
      <c r="Y30" s="115" t="s">
        <v>283</v>
      </c>
      <c r="Z30" s="116">
        <f t="shared" si="7"/>
        <v>-2.6666666666666665E-2</v>
      </c>
      <c r="AA30" s="79" t="s">
        <v>287</v>
      </c>
      <c r="AB30" s="117"/>
      <c r="AC30" s="117"/>
      <c r="AD30" s="117"/>
      <c r="AE30" s="117"/>
      <c r="AF30" s="117"/>
    </row>
    <row r="31" spans="1:32" s="16" customFormat="1" ht="72" customHeight="1">
      <c r="A31" s="19"/>
      <c r="B31" s="18">
        <v>46125</v>
      </c>
      <c r="C31" s="18">
        <v>46137</v>
      </c>
      <c r="D31" s="18">
        <v>46141</v>
      </c>
      <c r="E31" s="18">
        <v>46146</v>
      </c>
      <c r="F31" s="80" t="s">
        <v>23</v>
      </c>
      <c r="G31" s="31" t="s">
        <v>62</v>
      </c>
      <c r="H31" s="97" t="s">
        <v>179</v>
      </c>
      <c r="I31" s="19"/>
      <c r="J31" s="80" t="s">
        <v>18</v>
      </c>
      <c r="K31" s="108">
        <v>46997</v>
      </c>
      <c r="L31" s="111">
        <v>200</v>
      </c>
      <c r="M31" s="111" t="s">
        <v>45</v>
      </c>
      <c r="N31" s="80" t="s">
        <v>193</v>
      </c>
      <c r="O31" s="80" t="s">
        <v>28</v>
      </c>
      <c r="P31" s="111">
        <v>64</v>
      </c>
      <c r="Q31" s="31">
        <f t="shared" si="4"/>
        <v>-3</v>
      </c>
      <c r="R31" s="112">
        <f>67</f>
        <v>67</v>
      </c>
      <c r="S31" s="58">
        <f t="shared" si="5"/>
        <v>-3</v>
      </c>
      <c r="T31" s="113">
        <v>2139</v>
      </c>
      <c r="U31" s="114" t="s">
        <v>228</v>
      </c>
      <c r="V31" s="58">
        <f>65</f>
        <v>65</v>
      </c>
      <c r="W31" s="58">
        <f t="shared" si="6"/>
        <v>1</v>
      </c>
      <c r="X31" s="145">
        <v>41178</v>
      </c>
      <c r="Y31" s="115" t="s">
        <v>368</v>
      </c>
      <c r="Z31" s="116">
        <f t="shared" si="7"/>
        <v>-1.5625E-2</v>
      </c>
      <c r="AA31" s="79" t="s">
        <v>346</v>
      </c>
      <c r="AB31" s="117"/>
      <c r="AC31" s="117"/>
      <c r="AD31" s="117"/>
      <c r="AE31" s="117"/>
      <c r="AF31" s="117"/>
    </row>
    <row r="32" spans="1:32" s="16" customFormat="1" ht="54.75" customHeight="1">
      <c r="A32" s="19"/>
      <c r="B32" s="18">
        <v>46134</v>
      </c>
      <c r="C32" s="18">
        <v>46142</v>
      </c>
      <c r="D32" s="18">
        <v>46144</v>
      </c>
      <c r="E32" s="18">
        <v>46149</v>
      </c>
      <c r="F32" s="80" t="s">
        <v>23</v>
      </c>
      <c r="G32" s="31" t="s">
        <v>62</v>
      </c>
      <c r="H32" s="97" t="s">
        <v>128</v>
      </c>
      <c r="I32" s="19"/>
      <c r="J32" s="80" t="s">
        <v>18</v>
      </c>
      <c r="K32" s="108">
        <v>47368</v>
      </c>
      <c r="L32" s="111">
        <v>320</v>
      </c>
      <c r="M32" s="111" t="s">
        <v>56</v>
      </c>
      <c r="N32" s="80" t="s">
        <v>191</v>
      </c>
      <c r="O32" s="119" t="s">
        <v>192</v>
      </c>
      <c r="P32" s="111">
        <v>410</v>
      </c>
      <c r="Q32" s="31">
        <f t="shared" si="4"/>
        <v>0</v>
      </c>
      <c r="R32" s="112">
        <f>410</f>
        <v>410</v>
      </c>
      <c r="S32" s="58">
        <f t="shared" si="5"/>
        <v>0</v>
      </c>
      <c r="T32" s="113">
        <v>4011</v>
      </c>
      <c r="U32" s="114" t="s">
        <v>278</v>
      </c>
      <c r="V32" s="58">
        <f>427</f>
        <v>427</v>
      </c>
      <c r="W32" s="58">
        <f t="shared" si="6"/>
        <v>17</v>
      </c>
      <c r="X32" s="145">
        <v>41059</v>
      </c>
      <c r="Y32" s="115" t="s">
        <v>333</v>
      </c>
      <c r="Z32" s="116">
        <f t="shared" si="7"/>
        <v>-4.1463414634146344E-2</v>
      </c>
      <c r="AA32" s="79" t="s">
        <v>284</v>
      </c>
      <c r="AB32" s="117"/>
      <c r="AC32" s="117"/>
      <c r="AD32" s="117"/>
      <c r="AE32" s="117"/>
      <c r="AF32" s="117"/>
    </row>
    <row r="33" spans="1:32" s="16" customFormat="1" ht="54.75" customHeight="1">
      <c r="A33" s="19"/>
      <c r="B33" s="18">
        <v>46134</v>
      </c>
      <c r="C33" s="18">
        <v>46142</v>
      </c>
      <c r="D33" s="18">
        <v>46144</v>
      </c>
      <c r="E33" s="18">
        <v>46149</v>
      </c>
      <c r="F33" s="80" t="s">
        <v>23</v>
      </c>
      <c r="G33" s="31" t="s">
        <v>62</v>
      </c>
      <c r="H33" s="97" t="s">
        <v>128</v>
      </c>
      <c r="I33" s="19"/>
      <c r="J33" s="80" t="s">
        <v>18</v>
      </c>
      <c r="K33" s="108">
        <v>47368</v>
      </c>
      <c r="L33" s="111">
        <v>320</v>
      </c>
      <c r="M33" s="111" t="s">
        <v>56</v>
      </c>
      <c r="N33" s="80" t="s">
        <v>104</v>
      </c>
      <c r="O33" s="119" t="s">
        <v>192</v>
      </c>
      <c r="P33" s="111">
        <v>410</v>
      </c>
      <c r="Q33" s="31">
        <f t="shared" si="4"/>
        <v>4</v>
      </c>
      <c r="R33" s="112">
        <f>406</f>
        <v>406</v>
      </c>
      <c r="S33" s="58">
        <f t="shared" si="5"/>
        <v>4</v>
      </c>
      <c r="T33" s="113">
        <v>3684</v>
      </c>
      <c r="U33" s="114" t="s">
        <v>263</v>
      </c>
      <c r="V33" s="58">
        <f>422</f>
        <v>422</v>
      </c>
      <c r="W33" s="58">
        <f t="shared" si="6"/>
        <v>12</v>
      </c>
      <c r="X33" s="145">
        <v>41034</v>
      </c>
      <c r="Y33" s="115" t="s">
        <v>283</v>
      </c>
      <c r="Z33" s="116">
        <f t="shared" si="7"/>
        <v>-2.9268292682926828E-2</v>
      </c>
      <c r="AA33" s="79" t="s">
        <v>287</v>
      </c>
      <c r="AB33" s="117"/>
      <c r="AC33" s="117"/>
      <c r="AD33" s="117"/>
      <c r="AE33" s="117"/>
      <c r="AF33" s="117"/>
    </row>
    <row r="34" spans="1:32" s="16" customFormat="1" ht="123" customHeight="1">
      <c r="A34" s="19"/>
      <c r="B34" s="118">
        <v>46128</v>
      </c>
      <c r="C34" s="18">
        <v>46138</v>
      </c>
      <c r="D34" s="118">
        <v>46138</v>
      </c>
      <c r="E34" s="118">
        <v>46146</v>
      </c>
      <c r="F34" s="80" t="s">
        <v>23</v>
      </c>
      <c r="G34" s="97" t="s">
        <v>99</v>
      </c>
      <c r="H34" s="97" t="s">
        <v>63</v>
      </c>
      <c r="I34" s="19"/>
      <c r="J34" s="80" t="s">
        <v>65</v>
      </c>
      <c r="K34" s="107" t="s">
        <v>199</v>
      </c>
      <c r="L34" s="111">
        <v>180</v>
      </c>
      <c r="M34" s="111" t="s">
        <v>56</v>
      </c>
      <c r="N34" s="59" t="s">
        <v>202</v>
      </c>
      <c r="O34" s="80" t="s">
        <v>68</v>
      </c>
      <c r="P34" s="111">
        <v>199</v>
      </c>
      <c r="Q34" s="31">
        <f t="shared" si="4"/>
        <v>-41</v>
      </c>
      <c r="R34" s="112">
        <f>203+37</f>
        <v>240</v>
      </c>
      <c r="S34" s="58">
        <f t="shared" si="5"/>
        <v>-41</v>
      </c>
      <c r="T34" s="113" t="s">
        <v>783</v>
      </c>
      <c r="U34" s="114" t="s">
        <v>784</v>
      </c>
      <c r="V34" s="58">
        <f>176+37</f>
        <v>213</v>
      </c>
      <c r="W34" s="39">
        <f t="shared" si="6"/>
        <v>14</v>
      </c>
      <c r="X34" s="147" t="s">
        <v>795</v>
      </c>
      <c r="Y34" s="41" t="s">
        <v>796</v>
      </c>
      <c r="Z34" s="42">
        <f t="shared" si="7"/>
        <v>-7.0351758793969849E-2</v>
      </c>
      <c r="AA34" s="79" t="s">
        <v>797</v>
      </c>
      <c r="AB34" s="117"/>
      <c r="AC34" s="117"/>
      <c r="AD34" s="117"/>
      <c r="AE34" s="117"/>
      <c r="AF34" s="117"/>
    </row>
    <row r="35" spans="1:32" s="16" customFormat="1" ht="54.75" customHeight="1">
      <c r="A35" s="19"/>
      <c r="B35" s="118">
        <v>46132</v>
      </c>
      <c r="C35" s="18">
        <v>46146</v>
      </c>
      <c r="D35" s="118">
        <v>46145</v>
      </c>
      <c r="E35" s="118">
        <v>46152</v>
      </c>
      <c r="F35" s="80" t="s">
        <v>23</v>
      </c>
      <c r="G35" s="97" t="s">
        <v>99</v>
      </c>
      <c r="H35" s="97" t="s">
        <v>63</v>
      </c>
      <c r="I35" s="19"/>
      <c r="J35" s="80" t="s">
        <v>65</v>
      </c>
      <c r="K35" s="107" t="s">
        <v>200</v>
      </c>
      <c r="L35" s="111">
        <v>210</v>
      </c>
      <c r="M35" s="111" t="s">
        <v>45</v>
      </c>
      <c r="N35" s="59" t="s">
        <v>203</v>
      </c>
      <c r="O35" s="80" t="s">
        <v>204</v>
      </c>
      <c r="P35" s="111">
        <v>240</v>
      </c>
      <c r="Q35" s="31">
        <f t="shared" si="4"/>
        <v>-6</v>
      </c>
      <c r="R35" s="112">
        <f>246</f>
        <v>246</v>
      </c>
      <c r="S35" s="58">
        <f t="shared" si="5"/>
        <v>-6</v>
      </c>
      <c r="T35" s="113">
        <v>4101</v>
      </c>
      <c r="U35" s="114" t="s">
        <v>283</v>
      </c>
      <c r="V35" s="58">
        <f>244</f>
        <v>244</v>
      </c>
      <c r="W35" s="58">
        <f t="shared" si="6"/>
        <v>4</v>
      </c>
      <c r="X35" s="145">
        <v>219403</v>
      </c>
      <c r="Y35" s="115" t="s">
        <v>349</v>
      </c>
      <c r="Z35" s="116">
        <f t="shared" si="7"/>
        <v>-1.6666666666666666E-2</v>
      </c>
      <c r="AA35" s="79" t="s">
        <v>332</v>
      </c>
      <c r="AB35" s="117"/>
      <c r="AC35" s="117"/>
      <c r="AD35" s="117"/>
      <c r="AE35" s="117"/>
      <c r="AF35" s="117"/>
    </row>
    <row r="36" spans="1:32" s="16" customFormat="1" ht="54.75" customHeight="1">
      <c r="A36" s="19"/>
      <c r="B36" s="118">
        <v>46132</v>
      </c>
      <c r="C36" s="18">
        <v>46147</v>
      </c>
      <c r="D36" s="118">
        <v>46145</v>
      </c>
      <c r="E36" s="118">
        <v>46152</v>
      </c>
      <c r="F36" s="80" t="s">
        <v>23</v>
      </c>
      <c r="G36" s="97" t="s">
        <v>99</v>
      </c>
      <c r="H36" s="97" t="s">
        <v>63</v>
      </c>
      <c r="I36" s="19"/>
      <c r="J36" s="80" t="s">
        <v>65</v>
      </c>
      <c r="K36" s="107">
        <v>47241</v>
      </c>
      <c r="L36" s="111">
        <v>250</v>
      </c>
      <c r="M36" s="111" t="s">
        <v>35</v>
      </c>
      <c r="N36" s="59" t="s">
        <v>156</v>
      </c>
      <c r="O36" s="80" t="s">
        <v>205</v>
      </c>
      <c r="P36" s="111">
        <v>883</v>
      </c>
      <c r="Q36" s="31">
        <f t="shared" si="4"/>
        <v>-3</v>
      </c>
      <c r="R36" s="112">
        <f>713+173</f>
        <v>886</v>
      </c>
      <c r="S36" s="58">
        <f t="shared" si="5"/>
        <v>-3</v>
      </c>
      <c r="T36" s="113" t="s">
        <v>386</v>
      </c>
      <c r="U36" s="114" t="s">
        <v>387</v>
      </c>
      <c r="V36" s="58">
        <f>3.4+220+658</f>
        <v>881.4</v>
      </c>
      <c r="W36" s="58">
        <f t="shared" si="6"/>
        <v>-1.6000000000000227</v>
      </c>
      <c r="X36" s="145" t="s">
        <v>468</v>
      </c>
      <c r="Y36" s="115" t="s">
        <v>469</v>
      </c>
      <c r="Z36" s="116">
        <f t="shared" si="7"/>
        <v>1.8120045300113507E-3</v>
      </c>
      <c r="AA36" s="79" t="s">
        <v>395</v>
      </c>
      <c r="AB36" s="117"/>
      <c r="AC36" s="117"/>
      <c r="AD36" s="117"/>
      <c r="AE36" s="117"/>
      <c r="AF36" s="117"/>
    </row>
    <row r="37" spans="1:32" s="16" customFormat="1" ht="95.25" customHeight="1">
      <c r="A37" s="19"/>
      <c r="B37" s="118">
        <v>46130</v>
      </c>
      <c r="C37" s="18">
        <v>46146</v>
      </c>
      <c r="D37" s="118">
        <v>46145</v>
      </c>
      <c r="E37" s="118">
        <v>46152</v>
      </c>
      <c r="F37" s="80" t="s">
        <v>23</v>
      </c>
      <c r="G37" s="97" t="s">
        <v>99</v>
      </c>
      <c r="H37" s="97" t="s">
        <v>63</v>
      </c>
      <c r="I37" s="19"/>
      <c r="J37" s="80" t="s">
        <v>65</v>
      </c>
      <c r="K37" s="107">
        <v>47239</v>
      </c>
      <c r="L37" s="111">
        <v>240</v>
      </c>
      <c r="M37" s="111" t="s">
        <v>26</v>
      </c>
      <c r="N37" s="59" t="s">
        <v>159</v>
      </c>
      <c r="O37" s="80" t="s">
        <v>28</v>
      </c>
      <c r="P37" s="111">
        <v>257</v>
      </c>
      <c r="Q37" s="31">
        <f t="shared" si="4"/>
        <v>-8</v>
      </c>
      <c r="R37" s="112">
        <f>265</f>
        <v>265</v>
      </c>
      <c r="S37" s="58">
        <f t="shared" si="5"/>
        <v>-8</v>
      </c>
      <c r="T37" s="113">
        <v>4101</v>
      </c>
      <c r="U37" s="114" t="s">
        <v>283</v>
      </c>
      <c r="V37" s="58">
        <f>275</f>
        <v>275</v>
      </c>
      <c r="W37" s="58">
        <f t="shared" si="6"/>
        <v>18</v>
      </c>
      <c r="X37" s="145">
        <v>221863</v>
      </c>
      <c r="Y37" s="115" t="s">
        <v>646</v>
      </c>
      <c r="Z37" s="116">
        <f t="shared" si="7"/>
        <v>-7.0038910505836577E-2</v>
      </c>
      <c r="AA37" s="79" t="s">
        <v>428</v>
      </c>
      <c r="AB37" s="117"/>
      <c r="AC37" s="117"/>
      <c r="AD37" s="117"/>
      <c r="AE37" s="117"/>
      <c r="AF37" s="117"/>
    </row>
    <row r="38" spans="1:32" s="16" customFormat="1" ht="72" customHeight="1">
      <c r="A38" s="19"/>
      <c r="B38" s="18">
        <v>46123</v>
      </c>
      <c r="C38" s="18">
        <v>46132</v>
      </c>
      <c r="D38" s="18">
        <v>46133</v>
      </c>
      <c r="E38" s="18">
        <v>46144</v>
      </c>
      <c r="F38" s="80" t="s">
        <v>23</v>
      </c>
      <c r="G38" s="97" t="s">
        <v>99</v>
      </c>
      <c r="H38" s="97" t="s">
        <v>30</v>
      </c>
      <c r="I38" s="19"/>
      <c r="J38" s="80" t="s">
        <v>33</v>
      </c>
      <c r="K38" s="109" t="s">
        <v>201</v>
      </c>
      <c r="L38" s="111">
        <v>210</v>
      </c>
      <c r="M38" s="111" t="s">
        <v>42</v>
      </c>
      <c r="N38" s="80" t="s">
        <v>46</v>
      </c>
      <c r="O38" s="80" t="s">
        <v>36</v>
      </c>
      <c r="P38" s="111">
        <v>370</v>
      </c>
      <c r="Q38" s="31">
        <f t="shared" si="4"/>
        <v>-137</v>
      </c>
      <c r="R38" s="112">
        <f>372+135</f>
        <v>507</v>
      </c>
      <c r="S38" s="58">
        <f t="shared" si="5"/>
        <v>-137</v>
      </c>
      <c r="T38" s="114" t="s">
        <v>271</v>
      </c>
      <c r="U38" s="114" t="s">
        <v>272</v>
      </c>
      <c r="V38" s="58">
        <f>379+113</f>
        <v>492</v>
      </c>
      <c r="W38" s="58">
        <f t="shared" si="6"/>
        <v>122</v>
      </c>
      <c r="X38" s="145" t="s">
        <v>275</v>
      </c>
      <c r="Y38" s="115" t="s">
        <v>276</v>
      </c>
      <c r="Z38" s="116">
        <f t="shared" si="7"/>
        <v>-0.32972972972972975</v>
      </c>
      <c r="AA38" s="79" t="s">
        <v>277</v>
      </c>
      <c r="AB38" s="117"/>
      <c r="AC38" s="117"/>
      <c r="AD38" s="117"/>
      <c r="AE38" s="117"/>
      <c r="AF38" s="117"/>
    </row>
    <row r="39" spans="1:32" s="16" customFormat="1" ht="72" customHeight="1">
      <c r="A39" s="19"/>
      <c r="B39" s="18">
        <v>46134</v>
      </c>
      <c r="C39" s="18">
        <v>46144</v>
      </c>
      <c r="D39" s="118">
        <v>46146</v>
      </c>
      <c r="E39" s="118">
        <v>46151</v>
      </c>
      <c r="F39" s="80" t="s">
        <v>23</v>
      </c>
      <c r="G39" s="97" t="s">
        <v>99</v>
      </c>
      <c r="H39" s="97" t="s">
        <v>30</v>
      </c>
      <c r="I39" s="19"/>
      <c r="J39" s="80" t="s">
        <v>33</v>
      </c>
      <c r="K39" s="120" t="s">
        <v>402</v>
      </c>
      <c r="L39" s="111">
        <v>210</v>
      </c>
      <c r="M39" s="111" t="s">
        <v>42</v>
      </c>
      <c r="N39" s="80" t="s">
        <v>101</v>
      </c>
      <c r="O39" s="80" t="s">
        <v>36</v>
      </c>
      <c r="P39" s="111">
        <v>745</v>
      </c>
      <c r="Q39" s="31">
        <f t="shared" si="4"/>
        <v>1</v>
      </c>
      <c r="R39" s="112">
        <f>694+50</f>
        <v>744</v>
      </c>
      <c r="S39" s="58">
        <f t="shared" si="5"/>
        <v>1</v>
      </c>
      <c r="T39" s="113" t="s">
        <v>251</v>
      </c>
      <c r="U39" s="114" t="s">
        <v>247</v>
      </c>
      <c r="V39" s="58">
        <f>250+504+50</f>
        <v>804</v>
      </c>
      <c r="W39" s="58">
        <f t="shared" si="6"/>
        <v>59</v>
      </c>
      <c r="X39" s="145" t="s">
        <v>334</v>
      </c>
      <c r="Y39" s="115" t="s">
        <v>335</v>
      </c>
      <c r="Z39" s="116">
        <f t="shared" si="7"/>
        <v>-7.9194630872483213E-2</v>
      </c>
      <c r="AA39" s="79" t="s">
        <v>288</v>
      </c>
      <c r="AB39" s="117"/>
      <c r="AC39" s="117"/>
      <c r="AD39" s="117"/>
      <c r="AE39" s="117"/>
      <c r="AF39" s="117"/>
    </row>
    <row r="40" spans="1:32" s="16" customFormat="1" ht="111" customHeight="1">
      <c r="A40" s="19"/>
      <c r="B40" s="18">
        <v>46119</v>
      </c>
      <c r="C40" s="18">
        <v>46136</v>
      </c>
      <c r="D40" s="18">
        <v>46134</v>
      </c>
      <c r="E40" s="18">
        <v>46148</v>
      </c>
      <c r="F40" s="80" t="s">
        <v>25</v>
      </c>
      <c r="G40" s="97" t="s">
        <v>144</v>
      </c>
      <c r="H40" s="97" t="s">
        <v>32</v>
      </c>
      <c r="I40" s="19"/>
      <c r="J40" s="80" t="s">
        <v>34</v>
      </c>
      <c r="K40" s="110">
        <v>47327</v>
      </c>
      <c r="L40" s="111">
        <v>160</v>
      </c>
      <c r="M40" s="111" t="s">
        <v>67</v>
      </c>
      <c r="N40" s="80" t="s">
        <v>174</v>
      </c>
      <c r="O40" s="80" t="s">
        <v>20</v>
      </c>
      <c r="P40" s="111">
        <v>2534</v>
      </c>
      <c r="Q40" s="31">
        <f t="shared" si="4"/>
        <v>-3</v>
      </c>
      <c r="R40" s="112">
        <f>365+801+771+600</f>
        <v>2537</v>
      </c>
      <c r="S40" s="58">
        <f t="shared" si="5"/>
        <v>-3</v>
      </c>
      <c r="T40" s="114">
        <v>2731</v>
      </c>
      <c r="U40" s="114" t="s">
        <v>232</v>
      </c>
      <c r="V40" s="58">
        <f>489+715+713+54+337+94</f>
        <v>2402</v>
      </c>
      <c r="W40" s="58">
        <f t="shared" si="6"/>
        <v>-132</v>
      </c>
      <c r="X40" s="145" t="s">
        <v>552</v>
      </c>
      <c r="Y40" s="115" t="s">
        <v>553</v>
      </c>
      <c r="Z40" s="116">
        <f t="shared" si="7"/>
        <v>5.209155485398579E-2</v>
      </c>
      <c r="AA40" s="79" t="s">
        <v>399</v>
      </c>
      <c r="AB40" s="117"/>
      <c r="AC40" s="117"/>
      <c r="AD40" s="117"/>
      <c r="AE40" s="117"/>
      <c r="AF40" s="117"/>
    </row>
    <row r="41" spans="1:32" s="16" customFormat="1" ht="119.25" customHeight="1">
      <c r="A41" s="19"/>
      <c r="B41" s="18">
        <v>46119</v>
      </c>
      <c r="C41" s="18">
        <v>46136</v>
      </c>
      <c r="D41" s="18">
        <v>46134</v>
      </c>
      <c r="E41" s="18">
        <v>46148</v>
      </c>
      <c r="F41" s="80" t="s">
        <v>25</v>
      </c>
      <c r="G41" s="97" t="s">
        <v>144</v>
      </c>
      <c r="H41" s="97" t="s">
        <v>32</v>
      </c>
      <c r="I41" s="19"/>
      <c r="J41" s="80" t="s">
        <v>34</v>
      </c>
      <c r="K41" s="110">
        <v>47327</v>
      </c>
      <c r="L41" s="111">
        <v>160</v>
      </c>
      <c r="M41" s="111" t="s">
        <v>67</v>
      </c>
      <c r="N41" s="80" t="s">
        <v>174</v>
      </c>
      <c r="O41" s="80" t="s">
        <v>20</v>
      </c>
      <c r="P41" s="111">
        <v>2584</v>
      </c>
      <c r="Q41" s="31">
        <f t="shared" si="4"/>
        <v>-175</v>
      </c>
      <c r="R41" s="112">
        <f>147+378+750+748+746-10</f>
        <v>2759</v>
      </c>
      <c r="S41" s="58">
        <f t="shared" si="5"/>
        <v>-175</v>
      </c>
      <c r="T41" s="114" t="s">
        <v>233</v>
      </c>
      <c r="U41" s="114" t="s">
        <v>234</v>
      </c>
      <c r="V41" s="58">
        <f>300+717+728+323+230+31+251</f>
        <v>2580</v>
      </c>
      <c r="W41" s="58">
        <f t="shared" si="6"/>
        <v>-4</v>
      </c>
      <c r="X41" s="145" t="s">
        <v>487</v>
      </c>
      <c r="Y41" s="115" t="s">
        <v>488</v>
      </c>
      <c r="Z41" s="116">
        <f t="shared" si="7"/>
        <v>1.5479876160990713E-3</v>
      </c>
      <c r="AA41" s="79" t="s">
        <v>407</v>
      </c>
      <c r="AB41" s="117"/>
      <c r="AC41" s="117"/>
      <c r="AD41" s="117"/>
      <c r="AE41" s="117"/>
      <c r="AF41" s="117"/>
    </row>
    <row r="42" spans="1:32" s="16" customFormat="1" ht="72" customHeight="1">
      <c r="A42" s="19"/>
      <c r="B42" s="18">
        <v>46123</v>
      </c>
      <c r="C42" s="18">
        <v>46134</v>
      </c>
      <c r="D42" s="18">
        <v>46137</v>
      </c>
      <c r="E42" s="18">
        <v>46147</v>
      </c>
      <c r="F42" s="80" t="s">
        <v>25</v>
      </c>
      <c r="G42" s="31" t="s">
        <v>144</v>
      </c>
      <c r="H42" s="97" t="s">
        <v>31</v>
      </c>
      <c r="I42" s="19"/>
      <c r="J42" s="80" t="s">
        <v>34</v>
      </c>
      <c r="K42" s="110">
        <v>46684</v>
      </c>
      <c r="L42" s="111">
        <v>220</v>
      </c>
      <c r="M42" s="111" t="s">
        <v>102</v>
      </c>
      <c r="N42" s="80" t="s">
        <v>209</v>
      </c>
      <c r="O42" s="80" t="s">
        <v>28</v>
      </c>
      <c r="P42" s="111">
        <v>300</v>
      </c>
      <c r="Q42" s="31">
        <f t="shared" si="4"/>
        <v>0</v>
      </c>
      <c r="R42" s="112">
        <f>300</f>
        <v>300</v>
      </c>
      <c r="S42" s="58">
        <f t="shared" si="5"/>
        <v>0</v>
      </c>
      <c r="T42" s="114">
        <v>2711</v>
      </c>
      <c r="U42" s="114" t="s">
        <v>221</v>
      </c>
      <c r="V42" s="58">
        <f>245+46</f>
        <v>291</v>
      </c>
      <c r="W42" s="58">
        <f t="shared" si="6"/>
        <v>-9</v>
      </c>
      <c r="X42" s="146" t="s">
        <v>238</v>
      </c>
      <c r="Y42" s="121" t="s">
        <v>239</v>
      </c>
      <c r="Z42" s="116">
        <f t="shared" si="7"/>
        <v>0.03</v>
      </c>
      <c r="AA42" s="79" t="s">
        <v>338</v>
      </c>
      <c r="AB42" s="117"/>
      <c r="AC42" s="117"/>
      <c r="AD42" s="117"/>
      <c r="AE42" s="117"/>
      <c r="AF42" s="117"/>
    </row>
    <row r="43" spans="1:32" s="16" customFormat="1" ht="72" customHeight="1">
      <c r="A43" s="19"/>
      <c r="B43" s="18">
        <v>46123</v>
      </c>
      <c r="C43" s="18">
        <v>46134</v>
      </c>
      <c r="D43" s="18">
        <v>46137</v>
      </c>
      <c r="E43" s="18">
        <v>46147</v>
      </c>
      <c r="F43" s="80" t="s">
        <v>38</v>
      </c>
      <c r="G43" s="31" t="s">
        <v>144</v>
      </c>
      <c r="H43" s="97" t="s">
        <v>31</v>
      </c>
      <c r="I43" s="19"/>
      <c r="J43" s="80" t="s">
        <v>34</v>
      </c>
      <c r="K43" s="110">
        <v>46684</v>
      </c>
      <c r="L43" s="111">
        <v>220</v>
      </c>
      <c r="M43" s="111" t="s">
        <v>102</v>
      </c>
      <c r="N43" s="80" t="s">
        <v>210</v>
      </c>
      <c r="O43" s="80" t="s">
        <v>28</v>
      </c>
      <c r="P43" s="111">
        <v>238</v>
      </c>
      <c r="Q43" s="31">
        <f t="shared" si="4"/>
        <v>-6</v>
      </c>
      <c r="R43" s="112">
        <f>244</f>
        <v>244</v>
      </c>
      <c r="S43" s="58">
        <f t="shared" si="5"/>
        <v>-6</v>
      </c>
      <c r="T43" s="114">
        <v>3690</v>
      </c>
      <c r="U43" s="114" t="s">
        <v>274</v>
      </c>
      <c r="V43" s="58">
        <f>242</f>
        <v>242</v>
      </c>
      <c r="W43" s="58">
        <f t="shared" si="6"/>
        <v>4</v>
      </c>
      <c r="X43" s="145">
        <v>1219</v>
      </c>
      <c r="Y43" s="115" t="s">
        <v>279</v>
      </c>
      <c r="Z43" s="116">
        <f t="shared" si="7"/>
        <v>-1.680672268907563E-2</v>
      </c>
      <c r="AA43" s="79" t="s">
        <v>291</v>
      </c>
      <c r="AB43" s="117"/>
      <c r="AC43" s="117"/>
      <c r="AD43" s="117"/>
      <c r="AE43" s="117"/>
      <c r="AF43" s="117"/>
    </row>
    <row r="44" spans="1:32" s="16" customFormat="1" ht="72" customHeight="1">
      <c r="A44" s="19"/>
      <c r="B44" s="18">
        <v>46123</v>
      </c>
      <c r="C44" s="18">
        <v>46136</v>
      </c>
      <c r="D44" s="18">
        <v>46136</v>
      </c>
      <c r="E44" s="18">
        <v>46149</v>
      </c>
      <c r="F44" s="80" t="s">
        <v>44</v>
      </c>
      <c r="G44" s="31" t="s">
        <v>144</v>
      </c>
      <c r="H44" s="97" t="s">
        <v>32</v>
      </c>
      <c r="I44" s="19"/>
      <c r="J44" s="80" t="s">
        <v>34</v>
      </c>
      <c r="K44" s="143">
        <v>47326</v>
      </c>
      <c r="L44" s="111">
        <v>180</v>
      </c>
      <c r="M44" s="111" t="s">
        <v>47</v>
      </c>
      <c r="N44" s="80" t="s">
        <v>154</v>
      </c>
      <c r="O44" s="80" t="s">
        <v>20</v>
      </c>
      <c r="P44" s="111">
        <v>2201</v>
      </c>
      <c r="Q44" s="31">
        <f t="shared" si="4"/>
        <v>-144</v>
      </c>
      <c r="R44" s="112">
        <f>951+123+1004+203-56+120</f>
        <v>2345</v>
      </c>
      <c r="S44" s="39">
        <f t="shared" si="5"/>
        <v>-144</v>
      </c>
      <c r="T44" s="65" t="s">
        <v>532</v>
      </c>
      <c r="U44" s="65" t="s">
        <v>533</v>
      </c>
      <c r="V44" s="39">
        <f>10+980+910+75+118+52+115</f>
        <v>2260</v>
      </c>
      <c r="W44" s="39">
        <f t="shared" si="6"/>
        <v>59</v>
      </c>
      <c r="X44" s="147" t="s">
        <v>563</v>
      </c>
      <c r="Y44" s="41" t="s">
        <v>564</v>
      </c>
      <c r="Z44" s="42">
        <f t="shared" si="7"/>
        <v>-2.6805997273966379E-2</v>
      </c>
      <c r="AA44" s="62" t="s">
        <v>565</v>
      </c>
      <c r="AB44" s="117"/>
      <c r="AC44" s="117"/>
      <c r="AD44" s="117"/>
      <c r="AE44" s="117"/>
      <c r="AF44" s="117"/>
    </row>
    <row r="45" spans="1:32" s="16" customFormat="1" ht="72" customHeight="1">
      <c r="A45" s="19"/>
      <c r="B45" s="18">
        <v>46124</v>
      </c>
      <c r="C45" s="18">
        <v>46137</v>
      </c>
      <c r="D45" s="80"/>
      <c r="E45" s="80" t="s">
        <v>267</v>
      </c>
      <c r="F45" s="80" t="s">
        <v>23</v>
      </c>
      <c r="G45" s="31" t="s">
        <v>99</v>
      </c>
      <c r="H45" s="80" t="s">
        <v>63</v>
      </c>
      <c r="I45" s="19"/>
      <c r="J45" s="80" t="s">
        <v>65</v>
      </c>
      <c r="K45" s="107" t="s">
        <v>268</v>
      </c>
      <c r="L45" s="80">
        <v>250</v>
      </c>
      <c r="M45" s="80" t="s">
        <v>35</v>
      </c>
      <c r="N45" s="80" t="s">
        <v>269</v>
      </c>
      <c r="O45" s="80" t="s">
        <v>205</v>
      </c>
      <c r="P45" s="80">
        <v>252</v>
      </c>
      <c r="Q45" s="31">
        <f t="shared" si="4"/>
        <v>-5</v>
      </c>
      <c r="R45" s="112">
        <f>257</f>
        <v>257</v>
      </c>
      <c r="S45" s="58">
        <f t="shared" si="5"/>
        <v>-5</v>
      </c>
      <c r="T45" s="113">
        <v>4101</v>
      </c>
      <c r="U45" s="114" t="s">
        <v>283</v>
      </c>
      <c r="V45" s="58">
        <f>260</f>
        <v>260</v>
      </c>
      <c r="W45" s="58">
        <f t="shared" si="6"/>
        <v>8</v>
      </c>
      <c r="X45" s="145">
        <v>219403</v>
      </c>
      <c r="Y45" s="115" t="s">
        <v>349</v>
      </c>
      <c r="Z45" s="116">
        <f t="shared" si="7"/>
        <v>-3.1746031746031744E-2</v>
      </c>
      <c r="AA45" s="79" t="s">
        <v>330</v>
      </c>
      <c r="AB45" s="117"/>
      <c r="AC45" s="117"/>
      <c r="AD45" s="117"/>
      <c r="AE45" s="117"/>
      <c r="AF45" s="117"/>
    </row>
    <row r="46" spans="1:32" s="16" customFormat="1" ht="72" customHeight="1">
      <c r="A46" s="19"/>
      <c r="B46" s="18">
        <v>46132</v>
      </c>
      <c r="C46" s="18">
        <v>46147</v>
      </c>
      <c r="D46" s="80"/>
      <c r="E46" s="80" t="s">
        <v>267</v>
      </c>
      <c r="F46" s="80" t="s">
        <v>23</v>
      </c>
      <c r="G46" s="31" t="s">
        <v>99</v>
      </c>
      <c r="H46" s="80" t="s">
        <v>63</v>
      </c>
      <c r="I46" s="19"/>
      <c r="J46" s="80" t="s">
        <v>65</v>
      </c>
      <c r="K46" s="107">
        <v>47255</v>
      </c>
      <c r="L46" s="80">
        <v>250</v>
      </c>
      <c r="M46" s="80" t="s">
        <v>42</v>
      </c>
      <c r="N46" s="80" t="s">
        <v>269</v>
      </c>
      <c r="O46" s="80" t="s">
        <v>205</v>
      </c>
      <c r="P46" s="80">
        <v>305</v>
      </c>
      <c r="Q46" s="31">
        <f t="shared" si="4"/>
        <v>-2</v>
      </c>
      <c r="R46" s="112">
        <f>307</f>
        <v>307</v>
      </c>
      <c r="S46" s="58">
        <f t="shared" si="5"/>
        <v>-2</v>
      </c>
      <c r="T46" s="113">
        <v>4101</v>
      </c>
      <c r="U46" s="114" t="s">
        <v>283</v>
      </c>
      <c r="V46" s="58">
        <f>311</f>
        <v>311</v>
      </c>
      <c r="W46" s="58">
        <f t="shared" si="6"/>
        <v>6</v>
      </c>
      <c r="X46" s="145">
        <v>219981</v>
      </c>
      <c r="Y46" s="115" t="s">
        <v>388</v>
      </c>
      <c r="Z46" s="116">
        <f t="shared" si="7"/>
        <v>-1.9672131147540982E-2</v>
      </c>
      <c r="AA46" s="79" t="s">
        <v>331</v>
      </c>
      <c r="AB46" s="117"/>
      <c r="AC46" s="117"/>
      <c r="AD46" s="117"/>
      <c r="AE46" s="117"/>
      <c r="AF46" s="117"/>
    </row>
    <row r="47" spans="1:32" s="16" customFormat="1" ht="29.25" customHeight="1">
      <c r="A47" s="19"/>
      <c r="B47" s="22"/>
      <c r="C47" s="22"/>
      <c r="D47" s="22"/>
      <c r="E47" s="22"/>
      <c r="F47" s="122"/>
      <c r="G47" s="31"/>
      <c r="H47" s="123"/>
      <c r="I47" s="19"/>
      <c r="J47" s="124"/>
      <c r="K47" s="79"/>
      <c r="L47" s="125"/>
      <c r="M47" s="125"/>
      <c r="N47" s="125"/>
      <c r="O47" s="125"/>
      <c r="P47" s="125">
        <v>0</v>
      </c>
      <c r="Q47" s="31">
        <f t="shared" ref="Q47" si="8">P47-R47</f>
        <v>0</v>
      </c>
      <c r="R47" s="112">
        <v>0</v>
      </c>
      <c r="S47" s="58">
        <f t="shared" ref="S47" si="9">P47-R47</f>
        <v>0</v>
      </c>
      <c r="T47" s="113"/>
      <c r="U47" s="114"/>
      <c r="V47" s="58">
        <v>0</v>
      </c>
      <c r="W47" s="58">
        <f t="shared" ref="W47" si="10">+V47-P47</f>
        <v>0</v>
      </c>
      <c r="X47" s="145"/>
      <c r="Y47" s="115"/>
      <c r="Z47" s="116" t="e">
        <f t="shared" ref="Z47" si="11">(P47-V47)*100/P47/100</f>
        <v>#DIV/0!</v>
      </c>
      <c r="AA47" s="79"/>
      <c r="AB47" s="117"/>
      <c r="AC47" s="117"/>
      <c r="AD47" s="117"/>
      <c r="AE47" s="117"/>
      <c r="AF47" s="117"/>
    </row>
    <row r="48" spans="1:32" s="35" customFormat="1" ht="37.5" customHeight="1">
      <c r="A48" s="19"/>
      <c r="B48" s="22"/>
      <c r="C48" s="22"/>
      <c r="D48" s="22"/>
      <c r="E48" s="22"/>
      <c r="F48" s="122"/>
      <c r="G48" s="31"/>
      <c r="H48" s="123"/>
      <c r="I48" s="19"/>
      <c r="J48" s="124"/>
      <c r="K48" s="79"/>
      <c r="L48" s="125"/>
      <c r="M48" s="125"/>
      <c r="N48" s="125"/>
      <c r="O48" s="125"/>
      <c r="P48" s="125">
        <f>SUM(P5:P47)</f>
        <v>18986</v>
      </c>
      <c r="Q48" s="125">
        <f>SUM(Q5:Q47)</f>
        <v>-743</v>
      </c>
      <c r="R48" s="125">
        <f>SUM(R5:R47)</f>
        <v>19729</v>
      </c>
      <c r="S48" s="125">
        <f>SUM(S5:S47)</f>
        <v>-743</v>
      </c>
      <c r="T48" s="113"/>
      <c r="U48" s="114"/>
      <c r="V48" s="125">
        <f>SUM(V5:V47)</f>
        <v>19179.400000000001</v>
      </c>
      <c r="W48" s="125">
        <f>SUM(W5:W47)</f>
        <v>193.39999999999998</v>
      </c>
      <c r="X48" s="145"/>
      <c r="Y48" s="115"/>
      <c r="Z48" s="125" t="e">
        <f>SUM(Z5:Z47)</f>
        <v>#DIV/0!</v>
      </c>
      <c r="AA48" s="79"/>
      <c r="AB48" s="117"/>
      <c r="AC48" s="117"/>
      <c r="AD48" s="117"/>
      <c r="AE48" s="117"/>
      <c r="AF48" s="117"/>
    </row>
    <row r="49" spans="1:32" s="51" customFormat="1" ht="36" customHeight="1">
      <c r="A49" s="303" t="s">
        <v>181</v>
      </c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  <c r="N49" s="304"/>
      <c r="O49" s="304"/>
      <c r="P49" s="304"/>
      <c r="Q49" s="304"/>
      <c r="R49" s="304"/>
      <c r="S49" s="304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/>
      <c r="AF49" s="305"/>
    </row>
    <row r="50" spans="1:32" s="16" customFormat="1" ht="72" customHeight="1">
      <c r="A50" s="126" t="s">
        <v>1</v>
      </c>
      <c r="B50" s="127" t="s">
        <v>140</v>
      </c>
      <c r="C50" s="127" t="s">
        <v>141</v>
      </c>
      <c r="D50" s="127" t="s">
        <v>142</v>
      </c>
      <c r="E50" s="127" t="s">
        <v>143</v>
      </c>
      <c r="F50" s="128" t="s">
        <v>115</v>
      </c>
      <c r="G50" s="126" t="s">
        <v>117</v>
      </c>
      <c r="H50" s="129" t="s">
        <v>48</v>
      </c>
      <c r="I50" s="126" t="s">
        <v>2</v>
      </c>
      <c r="J50" s="126" t="s">
        <v>3</v>
      </c>
      <c r="K50" s="130" t="s">
        <v>4</v>
      </c>
      <c r="L50" s="131" t="s">
        <v>5</v>
      </c>
      <c r="M50" s="132" t="s">
        <v>6</v>
      </c>
      <c r="N50" s="126" t="s">
        <v>7</v>
      </c>
      <c r="O50" s="132" t="s">
        <v>8</v>
      </c>
      <c r="P50" s="132" t="s">
        <v>9</v>
      </c>
      <c r="Q50" s="132" t="s">
        <v>10</v>
      </c>
      <c r="R50" s="132" t="s">
        <v>11</v>
      </c>
      <c r="S50" s="132" t="s">
        <v>12</v>
      </c>
      <c r="T50" s="132" t="s">
        <v>119</v>
      </c>
      <c r="U50" s="133" t="s">
        <v>13</v>
      </c>
      <c r="V50" s="132" t="s">
        <v>14</v>
      </c>
      <c r="W50" s="132" t="s">
        <v>15</v>
      </c>
      <c r="X50" s="148" t="s">
        <v>119</v>
      </c>
      <c r="Y50" s="132" t="s">
        <v>118</v>
      </c>
      <c r="Z50" s="134" t="s">
        <v>16</v>
      </c>
      <c r="AA50" s="79" t="s">
        <v>17</v>
      </c>
      <c r="AB50" s="117"/>
      <c r="AC50" s="117"/>
      <c r="AD50" s="117"/>
      <c r="AE50" s="117"/>
      <c r="AF50" s="117"/>
    </row>
    <row r="51" spans="1:32" s="16" customFormat="1" ht="79.5" customHeight="1">
      <c r="A51" s="19"/>
      <c r="B51" s="118">
        <v>46130</v>
      </c>
      <c r="C51" s="18">
        <v>46142</v>
      </c>
      <c r="D51" s="18">
        <v>46147</v>
      </c>
      <c r="E51" s="18">
        <v>46154</v>
      </c>
      <c r="F51" s="80" t="s">
        <v>25</v>
      </c>
      <c r="G51" s="31" t="s">
        <v>144</v>
      </c>
      <c r="H51" s="97" t="s">
        <v>112</v>
      </c>
      <c r="I51" s="19"/>
      <c r="J51" s="80" t="s">
        <v>18</v>
      </c>
      <c r="K51" s="108">
        <v>47351</v>
      </c>
      <c r="L51" s="111">
        <v>220</v>
      </c>
      <c r="M51" s="111" t="s">
        <v>35</v>
      </c>
      <c r="N51" s="80" t="s">
        <v>111</v>
      </c>
      <c r="O51" s="80" t="s">
        <v>110</v>
      </c>
      <c r="P51" s="111">
        <v>202</v>
      </c>
      <c r="Q51" s="31">
        <f t="shared" ref="Q51:Q73" si="12">P51-R51</f>
        <v>-4</v>
      </c>
      <c r="R51" s="112">
        <f>206</f>
        <v>206</v>
      </c>
      <c r="S51" s="58">
        <f t="shared" ref="S51:S73" si="13">P51-R51</f>
        <v>-4</v>
      </c>
      <c r="T51" s="113">
        <v>4109</v>
      </c>
      <c r="U51" s="114" t="s">
        <v>343</v>
      </c>
      <c r="V51" s="58">
        <f>214</f>
        <v>214</v>
      </c>
      <c r="W51" s="58">
        <f t="shared" ref="W51:W73" si="14">+V51-P51</f>
        <v>12</v>
      </c>
      <c r="X51" s="145">
        <v>1245</v>
      </c>
      <c r="Y51" s="115" t="s">
        <v>411</v>
      </c>
      <c r="Z51" s="116">
        <f t="shared" ref="Z51:Z79" si="15">(P51-V51)*100/P51/100</f>
        <v>-5.9405940594059403E-2</v>
      </c>
      <c r="AA51" s="79" t="s">
        <v>404</v>
      </c>
      <c r="AB51" s="117"/>
      <c r="AC51" s="117"/>
      <c r="AD51" s="117"/>
      <c r="AE51" s="117"/>
      <c r="AF51" s="117"/>
    </row>
    <row r="52" spans="1:32" s="16" customFormat="1" ht="87" customHeight="1">
      <c r="A52" s="19"/>
      <c r="B52" s="118">
        <v>46127</v>
      </c>
      <c r="C52" s="18">
        <v>46144</v>
      </c>
      <c r="D52" s="18">
        <v>46147</v>
      </c>
      <c r="E52" s="18">
        <v>46157</v>
      </c>
      <c r="F52" s="80" t="s">
        <v>25</v>
      </c>
      <c r="G52" s="31" t="s">
        <v>144</v>
      </c>
      <c r="H52" s="97" t="s">
        <v>112</v>
      </c>
      <c r="I52" s="19"/>
      <c r="J52" s="80" t="s">
        <v>18</v>
      </c>
      <c r="K52" s="108">
        <v>47353</v>
      </c>
      <c r="L52" s="111">
        <v>220</v>
      </c>
      <c r="M52" s="111" t="s">
        <v>35</v>
      </c>
      <c r="N52" s="80" t="s">
        <v>109</v>
      </c>
      <c r="O52" s="80" t="s">
        <v>110</v>
      </c>
      <c r="P52" s="111">
        <v>329</v>
      </c>
      <c r="Q52" s="31">
        <f t="shared" si="12"/>
        <v>-1</v>
      </c>
      <c r="R52" s="112">
        <f>330</f>
        <v>330</v>
      </c>
      <c r="S52" s="58">
        <f t="shared" si="13"/>
        <v>-1</v>
      </c>
      <c r="T52" s="113">
        <v>4109</v>
      </c>
      <c r="U52" s="114" t="s">
        <v>343</v>
      </c>
      <c r="V52" s="58">
        <f>4+316+5</f>
        <v>325</v>
      </c>
      <c r="W52" s="58">
        <f t="shared" si="14"/>
        <v>-4</v>
      </c>
      <c r="X52" s="145" t="s">
        <v>440</v>
      </c>
      <c r="Y52" s="115" t="s">
        <v>441</v>
      </c>
      <c r="Z52" s="116">
        <f t="shared" si="15"/>
        <v>1.2158054711246201E-2</v>
      </c>
      <c r="AA52" s="79" t="s">
        <v>355</v>
      </c>
      <c r="AB52" s="117"/>
      <c r="AC52" s="117"/>
      <c r="AD52" s="117"/>
      <c r="AE52" s="117"/>
      <c r="AF52" s="117"/>
    </row>
    <row r="53" spans="1:32" s="16" customFormat="1" ht="174.75" customHeight="1">
      <c r="A53" s="19"/>
      <c r="B53" s="118">
        <v>46127</v>
      </c>
      <c r="C53" s="18">
        <v>46144</v>
      </c>
      <c r="D53" s="18">
        <v>46147</v>
      </c>
      <c r="E53" s="18">
        <v>46157</v>
      </c>
      <c r="F53" s="80" t="s">
        <v>235</v>
      </c>
      <c r="G53" s="31" t="s">
        <v>144</v>
      </c>
      <c r="H53" s="97" t="s">
        <v>112</v>
      </c>
      <c r="I53" s="19"/>
      <c r="J53" s="80" t="s">
        <v>18</v>
      </c>
      <c r="K53" s="108">
        <v>47353</v>
      </c>
      <c r="L53" s="111">
        <v>220</v>
      </c>
      <c r="M53" s="111" t="s">
        <v>35</v>
      </c>
      <c r="N53" s="80" t="s">
        <v>59</v>
      </c>
      <c r="O53" s="80" t="s">
        <v>110</v>
      </c>
      <c r="P53" s="111">
        <v>329</v>
      </c>
      <c r="Q53" s="31">
        <f t="shared" si="12"/>
        <v>-7</v>
      </c>
      <c r="R53" s="112">
        <f>336</f>
        <v>336</v>
      </c>
      <c r="S53" s="58">
        <f t="shared" si="13"/>
        <v>-7</v>
      </c>
      <c r="T53" s="113">
        <v>4109</v>
      </c>
      <c r="U53" s="114" t="s">
        <v>343</v>
      </c>
      <c r="V53" s="58">
        <f>319+13</f>
        <v>332</v>
      </c>
      <c r="W53" s="58">
        <f t="shared" si="14"/>
        <v>3</v>
      </c>
      <c r="X53" s="145" t="s">
        <v>437</v>
      </c>
      <c r="Y53" s="115" t="s">
        <v>438</v>
      </c>
      <c r="Z53" s="116">
        <f t="shared" si="15"/>
        <v>-9.11854103343465E-3</v>
      </c>
      <c r="AA53" s="79" t="s">
        <v>356</v>
      </c>
      <c r="AB53" s="117"/>
      <c r="AC53" s="117"/>
      <c r="AD53" s="117"/>
      <c r="AE53" s="117"/>
      <c r="AF53" s="117"/>
    </row>
    <row r="54" spans="1:32" s="16" customFormat="1" ht="54.75" customHeight="1">
      <c r="A54" s="19"/>
      <c r="B54" s="18">
        <v>46137</v>
      </c>
      <c r="C54" s="18">
        <v>46147</v>
      </c>
      <c r="D54" s="18">
        <v>46149</v>
      </c>
      <c r="E54" s="18">
        <v>46155</v>
      </c>
      <c r="F54" s="80" t="s">
        <v>38</v>
      </c>
      <c r="G54" s="31" t="s">
        <v>62</v>
      </c>
      <c r="H54" s="97" t="s">
        <v>39</v>
      </c>
      <c r="I54" s="19"/>
      <c r="J54" s="80" t="s">
        <v>18</v>
      </c>
      <c r="K54" s="108" t="s">
        <v>194</v>
      </c>
      <c r="L54" s="111">
        <v>180</v>
      </c>
      <c r="M54" s="111" t="s">
        <v>35</v>
      </c>
      <c r="N54" s="80" t="s">
        <v>57</v>
      </c>
      <c r="O54" s="111" t="s">
        <v>52</v>
      </c>
      <c r="P54" s="111">
        <v>130</v>
      </c>
      <c r="Q54" s="31">
        <f t="shared" si="12"/>
        <v>-10</v>
      </c>
      <c r="R54" s="112">
        <f>140</f>
        <v>140</v>
      </c>
      <c r="S54" s="58">
        <f t="shared" si="13"/>
        <v>-10</v>
      </c>
      <c r="T54" s="113">
        <v>3679</v>
      </c>
      <c r="U54" s="114" t="s">
        <v>261</v>
      </c>
      <c r="V54" s="58">
        <f>139</f>
        <v>139</v>
      </c>
      <c r="W54" s="58">
        <f t="shared" si="14"/>
        <v>9</v>
      </c>
      <c r="X54" s="145">
        <v>41034</v>
      </c>
      <c r="Y54" s="115" t="s">
        <v>283</v>
      </c>
      <c r="Z54" s="116">
        <f t="shared" si="15"/>
        <v>-6.9230769230769235E-2</v>
      </c>
      <c r="AA54" s="79" t="s">
        <v>289</v>
      </c>
      <c r="AB54" s="117"/>
      <c r="AC54" s="117"/>
      <c r="AD54" s="117"/>
      <c r="AE54" s="117"/>
      <c r="AF54" s="117"/>
    </row>
    <row r="55" spans="1:32" s="16" customFormat="1" ht="53.25" customHeight="1">
      <c r="A55" s="19"/>
      <c r="B55" s="18">
        <v>46136</v>
      </c>
      <c r="C55" s="18">
        <v>46149</v>
      </c>
      <c r="D55" s="18">
        <v>46151</v>
      </c>
      <c r="E55" s="18">
        <v>46157</v>
      </c>
      <c r="F55" s="80" t="s">
        <v>38</v>
      </c>
      <c r="G55" s="31" t="s">
        <v>62</v>
      </c>
      <c r="H55" s="97" t="s">
        <v>39</v>
      </c>
      <c r="I55" s="19"/>
      <c r="J55" s="80" t="s">
        <v>18</v>
      </c>
      <c r="K55" s="108" t="s">
        <v>195</v>
      </c>
      <c r="L55" s="111">
        <v>240</v>
      </c>
      <c r="M55" s="111" t="s">
        <v>56</v>
      </c>
      <c r="N55" s="80" t="s">
        <v>40</v>
      </c>
      <c r="O55" s="111" t="s">
        <v>41</v>
      </c>
      <c r="P55" s="111">
        <v>145</v>
      </c>
      <c r="Q55" s="31">
        <f t="shared" si="12"/>
        <v>0</v>
      </c>
      <c r="R55" s="112">
        <f>145</f>
        <v>145</v>
      </c>
      <c r="S55" s="58">
        <f t="shared" si="13"/>
        <v>0</v>
      </c>
      <c r="T55" s="113">
        <v>3636</v>
      </c>
      <c r="U55" s="114" t="s">
        <v>247</v>
      </c>
      <c r="V55" s="58">
        <f>138</f>
        <v>138</v>
      </c>
      <c r="W55" s="58">
        <f t="shared" si="14"/>
        <v>-7</v>
      </c>
      <c r="X55" s="145">
        <v>40942</v>
      </c>
      <c r="Y55" s="115" t="s">
        <v>262</v>
      </c>
      <c r="Z55" s="116">
        <f t="shared" si="15"/>
        <v>4.8275862068965517E-2</v>
      </c>
      <c r="AA55" s="79" t="s">
        <v>258</v>
      </c>
      <c r="AB55" s="117"/>
      <c r="AC55" s="117"/>
      <c r="AD55" s="117"/>
      <c r="AE55" s="117"/>
      <c r="AF55" s="117"/>
    </row>
    <row r="56" spans="1:32" s="16" customFormat="1" ht="52.5" customHeight="1">
      <c r="A56" s="19"/>
      <c r="B56" s="18">
        <v>46136</v>
      </c>
      <c r="C56" s="18">
        <v>46149</v>
      </c>
      <c r="D56" s="18">
        <v>46151</v>
      </c>
      <c r="E56" s="18">
        <v>46157</v>
      </c>
      <c r="F56" s="80" t="s">
        <v>38</v>
      </c>
      <c r="G56" s="31" t="s">
        <v>62</v>
      </c>
      <c r="H56" s="97" t="s">
        <v>39</v>
      </c>
      <c r="I56" s="19"/>
      <c r="J56" s="80" t="s">
        <v>18</v>
      </c>
      <c r="K56" s="108" t="s">
        <v>195</v>
      </c>
      <c r="L56" s="111">
        <v>240</v>
      </c>
      <c r="M56" s="111" t="s">
        <v>56</v>
      </c>
      <c r="N56" s="80" t="s">
        <v>165</v>
      </c>
      <c r="O56" s="111" t="s">
        <v>41</v>
      </c>
      <c r="P56" s="111">
        <v>153</v>
      </c>
      <c r="Q56" s="31">
        <f t="shared" si="12"/>
        <v>-9</v>
      </c>
      <c r="R56" s="112">
        <f>162</f>
        <v>162</v>
      </c>
      <c r="S56" s="58">
        <f t="shared" si="13"/>
        <v>-9</v>
      </c>
      <c r="T56" s="113">
        <v>4011</v>
      </c>
      <c r="U56" s="114" t="s">
        <v>278</v>
      </c>
      <c r="V56" s="58">
        <f>158</f>
        <v>158</v>
      </c>
      <c r="W56" s="58">
        <f t="shared" si="14"/>
        <v>5</v>
      </c>
      <c r="X56" s="145">
        <v>41059</v>
      </c>
      <c r="Y56" s="115" t="s">
        <v>333</v>
      </c>
      <c r="Z56" s="116">
        <f t="shared" si="15"/>
        <v>-3.2679738562091505E-2</v>
      </c>
      <c r="AA56" s="79" t="s">
        <v>292</v>
      </c>
      <c r="AB56" s="117"/>
      <c r="AC56" s="117"/>
      <c r="AD56" s="117"/>
      <c r="AE56" s="117"/>
      <c r="AF56" s="117"/>
    </row>
    <row r="57" spans="1:32" s="16" customFormat="1" ht="101.25" customHeight="1">
      <c r="A57" s="19"/>
      <c r="B57" s="18">
        <v>46134</v>
      </c>
      <c r="C57" s="18">
        <v>46146</v>
      </c>
      <c r="D57" s="18">
        <v>46148</v>
      </c>
      <c r="E57" s="18">
        <v>46155</v>
      </c>
      <c r="F57" s="80" t="s">
        <v>38</v>
      </c>
      <c r="G57" s="31" t="s">
        <v>62</v>
      </c>
      <c r="H57" s="97" t="s">
        <v>39</v>
      </c>
      <c r="I57" s="19"/>
      <c r="J57" s="80" t="s">
        <v>18</v>
      </c>
      <c r="K57" s="108" t="s">
        <v>196</v>
      </c>
      <c r="L57" s="111">
        <v>240</v>
      </c>
      <c r="M57" s="111" t="s">
        <v>56</v>
      </c>
      <c r="N57" s="80" t="s">
        <v>40</v>
      </c>
      <c r="O57" s="111" t="s">
        <v>41</v>
      </c>
      <c r="P57" s="111">
        <v>226</v>
      </c>
      <c r="Q57" s="31">
        <f t="shared" si="12"/>
        <v>3</v>
      </c>
      <c r="R57" s="112">
        <f>223</f>
        <v>223</v>
      </c>
      <c r="S57" s="58">
        <f t="shared" si="13"/>
        <v>3</v>
      </c>
      <c r="T57" s="113">
        <v>3636</v>
      </c>
      <c r="U57" s="114" t="s">
        <v>247</v>
      </c>
      <c r="V57" s="58">
        <f>218</f>
        <v>218</v>
      </c>
      <c r="W57" s="58">
        <f t="shared" si="14"/>
        <v>-8</v>
      </c>
      <c r="X57" s="145">
        <v>40942</v>
      </c>
      <c r="Y57" s="115" t="s">
        <v>262</v>
      </c>
      <c r="Z57" s="116">
        <f t="shared" si="15"/>
        <v>3.5398230088495575E-2</v>
      </c>
      <c r="AA57" s="79" t="s">
        <v>259</v>
      </c>
      <c r="AB57" s="117"/>
      <c r="AC57" s="117"/>
      <c r="AD57" s="117"/>
      <c r="AE57" s="117"/>
      <c r="AF57" s="117"/>
    </row>
    <row r="58" spans="1:32" s="16" customFormat="1" ht="108.75" customHeight="1">
      <c r="A58" s="19"/>
      <c r="B58" s="18">
        <v>46134</v>
      </c>
      <c r="C58" s="18">
        <v>46146</v>
      </c>
      <c r="D58" s="18">
        <v>46148</v>
      </c>
      <c r="E58" s="18">
        <v>46155</v>
      </c>
      <c r="F58" s="80" t="s">
        <v>25</v>
      </c>
      <c r="G58" s="31" t="s">
        <v>62</v>
      </c>
      <c r="H58" s="97" t="s">
        <v>39</v>
      </c>
      <c r="I58" s="19"/>
      <c r="J58" s="80" t="s">
        <v>18</v>
      </c>
      <c r="K58" s="108" t="s">
        <v>196</v>
      </c>
      <c r="L58" s="111">
        <v>240</v>
      </c>
      <c r="M58" s="111" t="s">
        <v>56</v>
      </c>
      <c r="N58" s="80" t="s">
        <v>136</v>
      </c>
      <c r="O58" s="111" t="s">
        <v>41</v>
      </c>
      <c r="P58" s="111">
        <v>213</v>
      </c>
      <c r="Q58" s="31">
        <f t="shared" si="12"/>
        <v>-7</v>
      </c>
      <c r="R58" s="112">
        <f>220</f>
        <v>220</v>
      </c>
      <c r="S58" s="58">
        <f t="shared" si="13"/>
        <v>-7</v>
      </c>
      <c r="T58" s="113">
        <v>3602</v>
      </c>
      <c r="U58" s="114" t="s">
        <v>237</v>
      </c>
      <c r="V58" s="58">
        <f>218</f>
        <v>218</v>
      </c>
      <c r="W58" s="58">
        <f t="shared" si="14"/>
        <v>5</v>
      </c>
      <c r="X58" s="145">
        <v>40999</v>
      </c>
      <c r="Y58" s="115" t="s">
        <v>278</v>
      </c>
      <c r="Z58" s="116">
        <f t="shared" si="15"/>
        <v>-2.3474178403755871E-2</v>
      </c>
      <c r="AA58" s="79" t="s">
        <v>336</v>
      </c>
      <c r="AB58" s="117"/>
      <c r="AC58" s="117"/>
      <c r="AD58" s="117"/>
      <c r="AE58" s="117"/>
      <c r="AF58" s="117"/>
    </row>
    <row r="59" spans="1:32" s="16" customFormat="1" ht="57" customHeight="1">
      <c r="A59" s="19"/>
      <c r="B59" s="118">
        <v>46129</v>
      </c>
      <c r="C59" s="18">
        <v>46142</v>
      </c>
      <c r="D59" s="118">
        <v>46148</v>
      </c>
      <c r="E59" s="118">
        <v>46158</v>
      </c>
      <c r="F59" s="80" t="s">
        <v>44</v>
      </c>
      <c r="G59" s="31" t="s">
        <v>144</v>
      </c>
      <c r="H59" s="97" t="s">
        <v>108</v>
      </c>
      <c r="I59" s="19"/>
      <c r="J59" s="80" t="s">
        <v>162</v>
      </c>
      <c r="K59" s="135">
        <v>47044</v>
      </c>
      <c r="L59" s="111">
        <v>320</v>
      </c>
      <c r="M59" s="111" t="s">
        <v>19</v>
      </c>
      <c r="N59" s="80" t="s">
        <v>197</v>
      </c>
      <c r="O59" s="80" t="s">
        <v>173</v>
      </c>
      <c r="P59" s="111">
        <v>228</v>
      </c>
      <c r="Q59" s="31">
        <f t="shared" si="12"/>
        <v>-5</v>
      </c>
      <c r="R59" s="112">
        <f>236-228+225</f>
        <v>233</v>
      </c>
      <c r="S59" s="58">
        <f t="shared" si="13"/>
        <v>-5</v>
      </c>
      <c r="T59" s="113" t="s">
        <v>638</v>
      </c>
      <c r="U59" s="114" t="s">
        <v>639</v>
      </c>
      <c r="V59" s="58">
        <f>218</f>
        <v>218</v>
      </c>
      <c r="W59" s="58">
        <f t="shared" si="14"/>
        <v>-10</v>
      </c>
      <c r="X59" s="145">
        <v>1634</v>
      </c>
      <c r="Y59" s="115" t="s">
        <v>675</v>
      </c>
      <c r="Z59" s="116">
        <f t="shared" si="15"/>
        <v>4.3859649122807022E-2</v>
      </c>
      <c r="AA59" s="79" t="s">
        <v>974</v>
      </c>
      <c r="AB59" s="117"/>
      <c r="AC59" s="117"/>
      <c r="AD59" s="117"/>
      <c r="AE59" s="117"/>
      <c r="AF59" s="117"/>
    </row>
    <row r="60" spans="1:32" s="16" customFormat="1" ht="56.25" customHeight="1">
      <c r="A60" s="19"/>
      <c r="B60" s="118">
        <v>46129</v>
      </c>
      <c r="C60" s="18">
        <v>46142</v>
      </c>
      <c r="D60" s="118">
        <v>46148</v>
      </c>
      <c r="E60" s="118">
        <v>46158</v>
      </c>
      <c r="F60" s="80" t="s">
        <v>23</v>
      </c>
      <c r="G60" s="31" t="s">
        <v>144</v>
      </c>
      <c r="H60" s="97" t="s">
        <v>108</v>
      </c>
      <c r="I60" s="19"/>
      <c r="J60" s="80" t="s">
        <v>162</v>
      </c>
      <c r="K60" s="135">
        <v>47044</v>
      </c>
      <c r="L60" s="111">
        <v>320</v>
      </c>
      <c r="M60" s="111" t="s">
        <v>19</v>
      </c>
      <c r="N60" s="80" t="s">
        <v>152</v>
      </c>
      <c r="O60" s="80" t="s">
        <v>198</v>
      </c>
      <c r="P60" s="111">
        <v>228</v>
      </c>
      <c r="Q60" s="31">
        <f t="shared" si="12"/>
        <v>-35</v>
      </c>
      <c r="R60" s="112">
        <f>234+29</f>
        <v>263</v>
      </c>
      <c r="S60" s="58">
        <f t="shared" si="13"/>
        <v>-35</v>
      </c>
      <c r="T60" s="113" t="s">
        <v>634</v>
      </c>
      <c r="U60" s="114" t="s">
        <v>635</v>
      </c>
      <c r="V60" s="58">
        <f>229+25</f>
        <v>254</v>
      </c>
      <c r="W60" s="58">
        <f t="shared" si="14"/>
        <v>26</v>
      </c>
      <c r="X60" s="145" t="s">
        <v>676</v>
      </c>
      <c r="Y60" s="115" t="s">
        <v>677</v>
      </c>
      <c r="Z60" s="116">
        <f t="shared" si="15"/>
        <v>-0.11403508771929825</v>
      </c>
      <c r="AA60" s="79" t="s">
        <v>678</v>
      </c>
      <c r="AB60" s="117"/>
      <c r="AC60" s="117"/>
      <c r="AD60" s="117"/>
      <c r="AE60" s="117"/>
      <c r="AF60" s="117"/>
    </row>
    <row r="61" spans="1:32" s="16" customFormat="1" ht="54.75" customHeight="1">
      <c r="A61" s="19"/>
      <c r="B61" s="18">
        <v>46119</v>
      </c>
      <c r="C61" s="18">
        <v>46142</v>
      </c>
      <c r="D61" s="18">
        <v>46144</v>
      </c>
      <c r="E61" s="18">
        <v>46156</v>
      </c>
      <c r="F61" s="80" t="s">
        <v>23</v>
      </c>
      <c r="G61" s="31" t="s">
        <v>144</v>
      </c>
      <c r="H61" s="97" t="s">
        <v>64</v>
      </c>
      <c r="I61" s="19"/>
      <c r="J61" s="80" t="s">
        <v>34</v>
      </c>
      <c r="K61" s="110">
        <v>47148</v>
      </c>
      <c r="L61" s="111">
        <v>280</v>
      </c>
      <c r="M61" s="111" t="s">
        <v>56</v>
      </c>
      <c r="N61" s="80" t="s">
        <v>176</v>
      </c>
      <c r="O61" s="80" t="s">
        <v>110</v>
      </c>
      <c r="P61" s="111">
        <v>493</v>
      </c>
      <c r="Q61" s="31">
        <f t="shared" si="12"/>
        <v>-39</v>
      </c>
      <c r="R61" s="112">
        <f>532</f>
        <v>532</v>
      </c>
      <c r="S61" s="58">
        <f t="shared" si="13"/>
        <v>-39</v>
      </c>
      <c r="T61" s="113">
        <v>3666</v>
      </c>
      <c r="U61" s="114" t="s">
        <v>243</v>
      </c>
      <c r="V61" s="58">
        <f>446+44</f>
        <v>490</v>
      </c>
      <c r="W61" s="58">
        <f t="shared" si="14"/>
        <v>-3</v>
      </c>
      <c r="X61" s="145" t="s">
        <v>280</v>
      </c>
      <c r="Y61" s="115" t="s">
        <v>281</v>
      </c>
      <c r="Z61" s="116">
        <f t="shared" si="15"/>
        <v>6.0851926977687635E-3</v>
      </c>
      <c r="AA61" s="79" t="s">
        <v>282</v>
      </c>
      <c r="AB61" s="117"/>
      <c r="AC61" s="117"/>
      <c r="AD61" s="117"/>
      <c r="AE61" s="117"/>
      <c r="AF61" s="117"/>
    </row>
    <row r="62" spans="1:32" s="16" customFormat="1" ht="82.5" customHeight="1">
      <c r="A62" s="19"/>
      <c r="B62" s="18">
        <v>46119</v>
      </c>
      <c r="C62" s="18">
        <v>46142</v>
      </c>
      <c r="D62" s="18">
        <v>46144</v>
      </c>
      <c r="E62" s="18">
        <v>46156</v>
      </c>
      <c r="F62" s="80" t="s">
        <v>38</v>
      </c>
      <c r="G62" s="31" t="s">
        <v>144</v>
      </c>
      <c r="H62" s="97" t="s">
        <v>64</v>
      </c>
      <c r="I62" s="19"/>
      <c r="J62" s="80" t="s">
        <v>34</v>
      </c>
      <c r="K62" s="110">
        <v>47148</v>
      </c>
      <c r="L62" s="111">
        <v>280</v>
      </c>
      <c r="M62" s="111" t="s">
        <v>56</v>
      </c>
      <c r="N62" s="80" t="s">
        <v>206</v>
      </c>
      <c r="O62" s="80" t="s">
        <v>110</v>
      </c>
      <c r="P62" s="111">
        <v>883</v>
      </c>
      <c r="Q62" s="31">
        <f t="shared" si="12"/>
        <v>-4</v>
      </c>
      <c r="R62" s="112">
        <f>382+505</f>
        <v>887</v>
      </c>
      <c r="S62" s="58">
        <f t="shared" si="13"/>
        <v>-4</v>
      </c>
      <c r="T62" s="113">
        <v>2734</v>
      </c>
      <c r="U62" s="114" t="s">
        <v>232</v>
      </c>
      <c r="V62" s="58">
        <f>490+375</f>
        <v>865</v>
      </c>
      <c r="W62" s="58">
        <f t="shared" si="14"/>
        <v>-18</v>
      </c>
      <c r="X62" s="145">
        <v>1220</v>
      </c>
      <c r="Y62" s="115" t="s">
        <v>279</v>
      </c>
      <c r="Z62" s="116">
        <f t="shared" si="15"/>
        <v>2.0385050962627407E-2</v>
      </c>
      <c r="AA62" s="79" t="s">
        <v>294</v>
      </c>
      <c r="AB62" s="117"/>
      <c r="AC62" s="117"/>
      <c r="AD62" s="117"/>
      <c r="AE62" s="117"/>
      <c r="AF62" s="117"/>
    </row>
    <row r="63" spans="1:32" s="16" customFormat="1" ht="194.25" customHeight="1">
      <c r="A63" s="19"/>
      <c r="B63" s="18">
        <v>46123</v>
      </c>
      <c r="C63" s="18">
        <v>46142</v>
      </c>
      <c r="D63" s="18">
        <v>46136</v>
      </c>
      <c r="E63" s="18">
        <v>46153</v>
      </c>
      <c r="F63" s="80" t="s">
        <v>23</v>
      </c>
      <c r="G63" s="31" t="s">
        <v>144</v>
      </c>
      <c r="H63" s="97" t="s">
        <v>32</v>
      </c>
      <c r="I63" s="19"/>
      <c r="J63" s="80" t="s">
        <v>34</v>
      </c>
      <c r="K63" s="110">
        <v>47324</v>
      </c>
      <c r="L63" s="111">
        <v>180</v>
      </c>
      <c r="M63" s="111" t="s">
        <v>60</v>
      </c>
      <c r="N63" s="80" t="s">
        <v>211</v>
      </c>
      <c r="O63" s="80" t="s">
        <v>212</v>
      </c>
      <c r="P63" s="111">
        <v>2292</v>
      </c>
      <c r="Q63" s="31">
        <f t="shared" si="12"/>
        <v>-39</v>
      </c>
      <c r="R63" s="112">
        <f>813+770+828-80</f>
        <v>2331</v>
      </c>
      <c r="S63" s="58">
        <f t="shared" si="13"/>
        <v>-39</v>
      </c>
      <c r="T63" s="113" t="s">
        <v>242</v>
      </c>
      <c r="U63" s="114" t="s">
        <v>241</v>
      </c>
      <c r="V63" s="58">
        <f>687+723+47+856+18</f>
        <v>2331</v>
      </c>
      <c r="W63" s="58">
        <f t="shared" si="14"/>
        <v>39</v>
      </c>
      <c r="X63" s="145" t="s">
        <v>405</v>
      </c>
      <c r="Y63" s="115" t="s">
        <v>406</v>
      </c>
      <c r="Z63" s="116">
        <f t="shared" si="15"/>
        <v>-1.7015706806282723E-2</v>
      </c>
      <c r="AA63" s="79" t="s">
        <v>422</v>
      </c>
      <c r="AB63" s="117"/>
      <c r="AC63" s="117"/>
      <c r="AD63" s="117"/>
      <c r="AE63" s="117"/>
      <c r="AF63" s="117"/>
    </row>
    <row r="64" spans="1:32" s="16" customFormat="1" ht="216" customHeight="1">
      <c r="A64" s="19"/>
      <c r="B64" s="18">
        <v>46127</v>
      </c>
      <c r="C64" s="18">
        <v>46153</v>
      </c>
      <c r="D64" s="18">
        <v>46144</v>
      </c>
      <c r="E64" s="18">
        <v>46160</v>
      </c>
      <c r="F64" s="80" t="s">
        <v>23</v>
      </c>
      <c r="G64" s="31" t="s">
        <v>144</v>
      </c>
      <c r="H64" s="97" t="s">
        <v>138</v>
      </c>
      <c r="I64" s="19"/>
      <c r="J64" s="80" t="s">
        <v>34</v>
      </c>
      <c r="K64" s="110">
        <v>47233</v>
      </c>
      <c r="L64" s="111">
        <v>200</v>
      </c>
      <c r="M64" s="111" t="s">
        <v>60</v>
      </c>
      <c r="N64" s="59" t="s">
        <v>213</v>
      </c>
      <c r="O64" s="80" t="s">
        <v>66</v>
      </c>
      <c r="P64" s="111">
        <f>2670-50</f>
        <v>2620</v>
      </c>
      <c r="Q64" s="31">
        <f t="shared" si="12"/>
        <v>-109</v>
      </c>
      <c r="R64" s="112">
        <f>675+662+665+727</f>
        <v>2729</v>
      </c>
      <c r="S64" s="58">
        <f t="shared" si="13"/>
        <v>-109</v>
      </c>
      <c r="T64" s="113" t="s">
        <v>341</v>
      </c>
      <c r="U64" s="114" t="s">
        <v>342</v>
      </c>
      <c r="V64" s="58">
        <f>13+650+480+704+144+642</f>
        <v>2633</v>
      </c>
      <c r="W64" s="58">
        <f t="shared" si="14"/>
        <v>13</v>
      </c>
      <c r="X64" s="145" t="s">
        <v>594</v>
      </c>
      <c r="Y64" s="115" t="s">
        <v>595</v>
      </c>
      <c r="Z64" s="116">
        <f t="shared" si="15"/>
        <v>-4.9618320610687024E-3</v>
      </c>
      <c r="AA64" s="79" t="s">
        <v>484</v>
      </c>
      <c r="AB64" s="117"/>
      <c r="AC64" s="117"/>
      <c r="AD64" s="117"/>
      <c r="AE64" s="117"/>
      <c r="AF64" s="117"/>
    </row>
    <row r="65" spans="1:32" s="16" customFormat="1" ht="282" customHeight="1">
      <c r="A65" s="19"/>
      <c r="B65" s="18">
        <v>46127</v>
      </c>
      <c r="C65" s="18">
        <v>46153</v>
      </c>
      <c r="D65" s="18">
        <v>46144</v>
      </c>
      <c r="E65" s="18">
        <v>46160</v>
      </c>
      <c r="F65" s="80" t="s">
        <v>23</v>
      </c>
      <c r="G65" s="31" t="s">
        <v>144</v>
      </c>
      <c r="H65" s="97" t="s">
        <v>138</v>
      </c>
      <c r="I65" s="19"/>
      <c r="J65" s="80" t="s">
        <v>34</v>
      </c>
      <c r="K65" s="110">
        <v>47257</v>
      </c>
      <c r="L65" s="111">
        <v>200</v>
      </c>
      <c r="M65" s="111" t="s">
        <v>56</v>
      </c>
      <c r="N65" s="59" t="s">
        <v>137</v>
      </c>
      <c r="O65" s="80" t="s">
        <v>66</v>
      </c>
      <c r="P65" s="111">
        <v>2520</v>
      </c>
      <c r="Q65" s="31">
        <f t="shared" si="12"/>
        <v>-116</v>
      </c>
      <c r="R65" s="112">
        <f>651+640+685+660</f>
        <v>2636</v>
      </c>
      <c r="S65" s="58">
        <f t="shared" si="13"/>
        <v>-116</v>
      </c>
      <c r="T65" s="113" t="s">
        <v>361</v>
      </c>
      <c r="U65" s="114" t="s">
        <v>362</v>
      </c>
      <c r="V65" s="58">
        <f>6-5+10+553+593-602-485+596+485+648+610+31</f>
        <v>2440</v>
      </c>
      <c r="W65" s="39">
        <f t="shared" si="14"/>
        <v>-80</v>
      </c>
      <c r="X65" s="147" t="s">
        <v>757</v>
      </c>
      <c r="Y65" s="41" t="s">
        <v>698</v>
      </c>
      <c r="Z65" s="42">
        <f t="shared" si="15"/>
        <v>3.1746031746031744E-2</v>
      </c>
      <c r="AA65" s="79" t="s">
        <v>580</v>
      </c>
      <c r="AB65" s="117"/>
      <c r="AC65" s="117"/>
      <c r="AD65" s="117"/>
      <c r="AE65" s="117"/>
      <c r="AF65" s="117"/>
    </row>
    <row r="66" spans="1:32" s="16" customFormat="1" ht="57" customHeight="1">
      <c r="A66" s="19"/>
      <c r="B66" s="18">
        <v>46133</v>
      </c>
      <c r="C66" s="18">
        <v>46147</v>
      </c>
      <c r="D66" s="18">
        <v>46148</v>
      </c>
      <c r="E66" s="18">
        <v>46158</v>
      </c>
      <c r="F66" s="80" t="s">
        <v>23</v>
      </c>
      <c r="G66" s="31" t="s">
        <v>144</v>
      </c>
      <c r="H66" s="97" t="s">
        <v>32</v>
      </c>
      <c r="I66" s="19"/>
      <c r="J66" s="80" t="s">
        <v>34</v>
      </c>
      <c r="K66" s="110">
        <v>47380</v>
      </c>
      <c r="L66" s="111">
        <v>200</v>
      </c>
      <c r="M66" s="111" t="s">
        <v>19</v>
      </c>
      <c r="N66" s="80" t="s">
        <v>174</v>
      </c>
      <c r="O66" s="80" t="s">
        <v>66</v>
      </c>
      <c r="P66" s="111">
        <v>1512</v>
      </c>
      <c r="Q66" s="31">
        <f t="shared" si="12"/>
        <v>27</v>
      </c>
      <c r="R66" s="112">
        <f>761+724</f>
        <v>1485</v>
      </c>
      <c r="S66" s="58">
        <f t="shared" si="13"/>
        <v>27</v>
      </c>
      <c r="T66" s="113">
        <v>3680</v>
      </c>
      <c r="U66" s="114" t="s">
        <v>261</v>
      </c>
      <c r="V66" s="58">
        <f>644+739+52</f>
        <v>1435</v>
      </c>
      <c r="W66" s="58">
        <f t="shared" si="14"/>
        <v>-77</v>
      </c>
      <c r="X66" s="145" t="s">
        <v>381</v>
      </c>
      <c r="Y66" s="115" t="s">
        <v>382</v>
      </c>
      <c r="Z66" s="116">
        <f t="shared" si="15"/>
        <v>5.0925925925925923E-2</v>
      </c>
      <c r="AA66" s="79" t="s">
        <v>390</v>
      </c>
      <c r="AB66" s="117"/>
      <c r="AC66" s="117"/>
      <c r="AD66" s="117"/>
      <c r="AE66" s="117"/>
      <c r="AF66" s="117"/>
    </row>
    <row r="67" spans="1:32" s="16" customFormat="1" ht="62.25" customHeight="1">
      <c r="A67" s="19"/>
      <c r="B67" s="18">
        <v>46133</v>
      </c>
      <c r="C67" s="18">
        <v>46147</v>
      </c>
      <c r="D67" s="18">
        <v>46148</v>
      </c>
      <c r="E67" s="18">
        <v>46158</v>
      </c>
      <c r="F67" s="80" t="s">
        <v>44</v>
      </c>
      <c r="G67" s="31" t="s">
        <v>144</v>
      </c>
      <c r="H67" s="97" t="s">
        <v>32</v>
      </c>
      <c r="I67" s="19"/>
      <c r="J67" s="80" t="s">
        <v>34</v>
      </c>
      <c r="K67" s="110">
        <v>47380</v>
      </c>
      <c r="L67" s="111">
        <v>200</v>
      </c>
      <c r="M67" s="111" t="s">
        <v>19</v>
      </c>
      <c r="N67" s="80" t="s">
        <v>214</v>
      </c>
      <c r="O67" s="80" t="s">
        <v>66</v>
      </c>
      <c r="P67" s="111">
        <v>1483</v>
      </c>
      <c r="Q67" s="31">
        <f t="shared" si="12"/>
        <v>-5</v>
      </c>
      <c r="R67" s="112">
        <f>568+920</f>
        <v>1488</v>
      </c>
      <c r="S67" s="58">
        <f t="shared" si="13"/>
        <v>-5</v>
      </c>
      <c r="T67" s="113" t="s">
        <v>344</v>
      </c>
      <c r="U67" s="114" t="s">
        <v>345</v>
      </c>
      <c r="V67" s="58">
        <f>900+492+53</f>
        <v>1445</v>
      </c>
      <c r="W67" s="58">
        <f t="shared" si="14"/>
        <v>-38</v>
      </c>
      <c r="X67" s="145" t="s">
        <v>378</v>
      </c>
      <c r="Y67" s="115" t="s">
        <v>379</v>
      </c>
      <c r="Z67" s="116">
        <f t="shared" si="15"/>
        <v>2.562373567093729E-2</v>
      </c>
      <c r="AA67" s="79" t="s">
        <v>380</v>
      </c>
      <c r="AB67" s="117"/>
      <c r="AC67" s="117"/>
      <c r="AD67" s="117"/>
      <c r="AE67" s="117"/>
      <c r="AF67" s="117"/>
    </row>
    <row r="68" spans="1:32" s="16" customFormat="1" ht="76.5" customHeight="1">
      <c r="A68" s="19"/>
      <c r="B68" s="18">
        <v>46144</v>
      </c>
      <c r="C68" s="18">
        <v>46151</v>
      </c>
      <c r="D68" s="18">
        <v>46152</v>
      </c>
      <c r="E68" s="18">
        <v>46157</v>
      </c>
      <c r="F68" s="80" t="s">
        <v>38</v>
      </c>
      <c r="G68" s="31" t="s">
        <v>62</v>
      </c>
      <c r="H68" s="97" t="s">
        <v>39</v>
      </c>
      <c r="I68" s="19"/>
      <c r="J68" s="80" t="s">
        <v>18</v>
      </c>
      <c r="K68" s="108" t="s">
        <v>215</v>
      </c>
      <c r="L68" s="111">
        <v>240</v>
      </c>
      <c r="M68" s="111" t="s">
        <v>56</v>
      </c>
      <c r="N68" s="80" t="s">
        <v>165</v>
      </c>
      <c r="O68" s="80" t="s">
        <v>41</v>
      </c>
      <c r="P68" s="111">
        <v>191</v>
      </c>
      <c r="Q68" s="31">
        <f t="shared" si="12"/>
        <v>-17</v>
      </c>
      <c r="R68" s="112">
        <f>208</f>
        <v>208</v>
      </c>
      <c r="S68" s="58">
        <f t="shared" si="13"/>
        <v>-17</v>
      </c>
      <c r="T68" s="113">
        <v>4011</v>
      </c>
      <c r="U68" s="114" t="s">
        <v>278</v>
      </c>
      <c r="V68" s="58">
        <f>208</f>
        <v>208</v>
      </c>
      <c r="W68" s="58">
        <f t="shared" si="14"/>
        <v>17</v>
      </c>
      <c r="X68" s="145">
        <v>41059</v>
      </c>
      <c r="Y68" s="115" t="s">
        <v>333</v>
      </c>
      <c r="Z68" s="116">
        <f t="shared" si="15"/>
        <v>-8.9005235602094238E-2</v>
      </c>
      <c r="AA68" s="79" t="s">
        <v>290</v>
      </c>
      <c r="AB68" s="117"/>
      <c r="AC68" s="117"/>
      <c r="AD68" s="117"/>
      <c r="AE68" s="117"/>
      <c r="AF68" s="117"/>
    </row>
    <row r="69" spans="1:32" s="16" customFormat="1" ht="56.25" customHeight="1">
      <c r="A69" s="19"/>
      <c r="B69" s="18">
        <v>46144</v>
      </c>
      <c r="C69" s="18">
        <v>46149</v>
      </c>
      <c r="D69" s="18">
        <v>46152</v>
      </c>
      <c r="E69" s="18">
        <v>46158</v>
      </c>
      <c r="F69" s="80" t="s">
        <v>23</v>
      </c>
      <c r="G69" s="31" t="s">
        <v>62</v>
      </c>
      <c r="H69" s="97" t="s">
        <v>108</v>
      </c>
      <c r="I69" s="19"/>
      <c r="J69" s="80" t="s">
        <v>162</v>
      </c>
      <c r="K69" s="135">
        <v>47462</v>
      </c>
      <c r="L69" s="111">
        <v>190</v>
      </c>
      <c r="M69" s="111" t="s">
        <v>147</v>
      </c>
      <c r="N69" s="80" t="s">
        <v>27</v>
      </c>
      <c r="O69" s="80" t="s">
        <v>22</v>
      </c>
      <c r="P69" s="111">
        <v>185</v>
      </c>
      <c r="Q69" s="31">
        <f t="shared" si="12"/>
        <v>-12</v>
      </c>
      <c r="R69" s="112">
        <f>197</f>
        <v>197</v>
      </c>
      <c r="S69" s="58">
        <f t="shared" si="13"/>
        <v>-12</v>
      </c>
      <c r="T69" s="113">
        <v>4040</v>
      </c>
      <c r="U69" s="114" t="s">
        <v>352</v>
      </c>
      <c r="V69" s="58">
        <f>193</f>
        <v>193</v>
      </c>
      <c r="W69" s="58">
        <f t="shared" si="14"/>
        <v>8</v>
      </c>
      <c r="X69" s="145">
        <v>41201</v>
      </c>
      <c r="Y69" s="115" t="s">
        <v>377</v>
      </c>
      <c r="Z69" s="116">
        <f t="shared" si="15"/>
        <v>-4.3243243243243246E-2</v>
      </c>
      <c r="AA69" s="79" t="s">
        <v>358</v>
      </c>
      <c r="AB69" s="117"/>
      <c r="AC69" s="117"/>
      <c r="AD69" s="117"/>
      <c r="AE69" s="117"/>
      <c r="AF69" s="117"/>
    </row>
    <row r="70" spans="1:32" s="16" customFormat="1" ht="49.5" customHeight="1">
      <c r="A70" s="19"/>
      <c r="B70" s="18">
        <v>46144</v>
      </c>
      <c r="C70" s="18">
        <v>46151</v>
      </c>
      <c r="D70" s="18">
        <v>46152</v>
      </c>
      <c r="E70" s="18">
        <v>46156</v>
      </c>
      <c r="F70" s="80" t="s">
        <v>23</v>
      </c>
      <c r="G70" s="31" t="s">
        <v>62</v>
      </c>
      <c r="H70" s="97" t="s">
        <v>108</v>
      </c>
      <c r="I70" s="19"/>
      <c r="J70" s="80" t="s">
        <v>162</v>
      </c>
      <c r="K70" s="135">
        <v>47461</v>
      </c>
      <c r="L70" s="111">
        <v>190</v>
      </c>
      <c r="M70" s="111" t="s">
        <v>35</v>
      </c>
      <c r="N70" s="80" t="s">
        <v>27</v>
      </c>
      <c r="O70" s="80" t="s">
        <v>22</v>
      </c>
      <c r="P70" s="111">
        <v>121</v>
      </c>
      <c r="Q70" s="31">
        <f t="shared" si="12"/>
        <v>-14</v>
      </c>
      <c r="R70" s="112">
        <f>135</f>
        <v>135</v>
      </c>
      <c r="S70" s="58">
        <f t="shared" si="13"/>
        <v>-14</v>
      </c>
      <c r="T70" s="113">
        <v>4040</v>
      </c>
      <c r="U70" s="114" t="s">
        <v>352</v>
      </c>
      <c r="V70" s="58">
        <f>133</f>
        <v>133</v>
      </c>
      <c r="W70" s="58">
        <f t="shared" si="14"/>
        <v>12</v>
      </c>
      <c r="X70" s="145">
        <v>41201</v>
      </c>
      <c r="Y70" s="115" t="s">
        <v>377</v>
      </c>
      <c r="Z70" s="116">
        <f t="shared" si="15"/>
        <v>-9.9173553719008267E-2</v>
      </c>
      <c r="AA70" s="79" t="s">
        <v>357</v>
      </c>
      <c r="AB70" s="117"/>
      <c r="AC70" s="117"/>
      <c r="AD70" s="117"/>
      <c r="AE70" s="117"/>
      <c r="AF70" s="117"/>
    </row>
    <row r="71" spans="1:32" s="16" customFormat="1" ht="45.75" customHeight="1">
      <c r="A71" s="19"/>
      <c r="B71" s="118">
        <v>46144</v>
      </c>
      <c r="C71" s="18">
        <v>46152</v>
      </c>
      <c r="D71" s="118">
        <v>46153</v>
      </c>
      <c r="E71" s="118">
        <v>46157</v>
      </c>
      <c r="F71" s="80" t="s">
        <v>23</v>
      </c>
      <c r="G71" s="31" t="s">
        <v>99</v>
      </c>
      <c r="H71" s="97" t="s">
        <v>63</v>
      </c>
      <c r="I71" s="19"/>
      <c r="J71" s="80" t="s">
        <v>65</v>
      </c>
      <c r="K71" s="107">
        <v>47446</v>
      </c>
      <c r="L71" s="111">
        <v>180</v>
      </c>
      <c r="M71" s="111" t="s">
        <v>56</v>
      </c>
      <c r="N71" s="80" t="s">
        <v>216</v>
      </c>
      <c r="O71" s="80" t="s">
        <v>68</v>
      </c>
      <c r="P71" s="111">
        <v>212</v>
      </c>
      <c r="Q71" s="31">
        <f t="shared" si="12"/>
        <v>-6</v>
      </c>
      <c r="R71" s="112">
        <f>218</f>
        <v>218</v>
      </c>
      <c r="S71" s="58">
        <f t="shared" si="13"/>
        <v>-6</v>
      </c>
      <c r="T71" s="113">
        <v>4034</v>
      </c>
      <c r="U71" s="114" t="s">
        <v>340</v>
      </c>
      <c r="V71" s="58">
        <f>215</f>
        <v>215</v>
      </c>
      <c r="W71" s="58">
        <f t="shared" si="14"/>
        <v>3</v>
      </c>
      <c r="X71" s="145">
        <v>220249</v>
      </c>
      <c r="Y71" s="115" t="s">
        <v>412</v>
      </c>
      <c r="Z71" s="116">
        <f t="shared" si="15"/>
        <v>-1.4150943396226414E-2</v>
      </c>
      <c r="AA71" s="79" t="s">
        <v>367</v>
      </c>
      <c r="AB71" s="117"/>
      <c r="AC71" s="117"/>
      <c r="AD71" s="117"/>
      <c r="AE71" s="117"/>
      <c r="AF71" s="117"/>
    </row>
    <row r="72" spans="1:32" s="16" customFormat="1" ht="46.5" customHeight="1">
      <c r="A72" s="19"/>
      <c r="B72" s="118">
        <v>46144</v>
      </c>
      <c r="C72" s="18">
        <v>46152</v>
      </c>
      <c r="D72" s="118">
        <v>46152</v>
      </c>
      <c r="E72" s="118">
        <v>46158</v>
      </c>
      <c r="F72" s="80" t="s">
        <v>23</v>
      </c>
      <c r="G72" s="31" t="s">
        <v>99</v>
      </c>
      <c r="H72" s="97" t="s">
        <v>63</v>
      </c>
      <c r="I72" s="19"/>
      <c r="J72" s="80" t="s">
        <v>65</v>
      </c>
      <c r="K72" s="107">
        <v>47447</v>
      </c>
      <c r="L72" s="111">
        <v>240</v>
      </c>
      <c r="M72" s="111" t="s">
        <v>43</v>
      </c>
      <c r="N72" s="80" t="s">
        <v>217</v>
      </c>
      <c r="O72" s="80" t="s">
        <v>157</v>
      </c>
      <c r="P72" s="111">
        <v>283</v>
      </c>
      <c r="Q72" s="31">
        <f t="shared" si="12"/>
        <v>-5</v>
      </c>
      <c r="R72" s="112">
        <f>288</f>
        <v>288</v>
      </c>
      <c r="S72" s="58">
        <f t="shared" si="13"/>
        <v>-5</v>
      </c>
      <c r="T72" s="113">
        <v>4034</v>
      </c>
      <c r="U72" s="114" t="s">
        <v>340</v>
      </c>
      <c r="V72" s="58">
        <f>282</f>
        <v>282</v>
      </c>
      <c r="W72" s="58">
        <f t="shared" si="14"/>
        <v>-1</v>
      </c>
      <c r="X72" s="145">
        <v>220701</v>
      </c>
      <c r="Y72" s="115" t="s">
        <v>463</v>
      </c>
      <c r="Z72" s="116">
        <f t="shared" si="15"/>
        <v>3.5335689045936395E-3</v>
      </c>
      <c r="AA72" s="79" t="s">
        <v>348</v>
      </c>
      <c r="AB72" s="117"/>
      <c r="AC72" s="117"/>
      <c r="AD72" s="117"/>
      <c r="AE72" s="117"/>
      <c r="AF72" s="117"/>
    </row>
    <row r="73" spans="1:32" s="16" customFormat="1" ht="52.5" customHeight="1">
      <c r="A73" s="19"/>
      <c r="B73" s="118">
        <v>46144</v>
      </c>
      <c r="C73" s="18">
        <v>46152</v>
      </c>
      <c r="D73" s="118">
        <v>46152</v>
      </c>
      <c r="E73" s="118">
        <v>46158</v>
      </c>
      <c r="F73" s="80" t="s">
        <v>23</v>
      </c>
      <c r="G73" s="31" t="s">
        <v>99</v>
      </c>
      <c r="H73" s="97" t="s">
        <v>63</v>
      </c>
      <c r="I73" s="19"/>
      <c r="J73" s="80" t="s">
        <v>65</v>
      </c>
      <c r="K73" s="107">
        <v>47447</v>
      </c>
      <c r="L73" s="111">
        <v>240</v>
      </c>
      <c r="M73" s="111" t="s">
        <v>43</v>
      </c>
      <c r="N73" s="80" t="s">
        <v>218</v>
      </c>
      <c r="O73" s="80" t="s">
        <v>157</v>
      </c>
      <c r="P73" s="111">
        <v>249</v>
      </c>
      <c r="Q73" s="31">
        <f t="shared" si="12"/>
        <v>-8</v>
      </c>
      <c r="R73" s="112">
        <f>257</f>
        <v>257</v>
      </c>
      <c r="S73" s="58">
        <f t="shared" si="13"/>
        <v>-8</v>
      </c>
      <c r="T73" s="113">
        <v>4116</v>
      </c>
      <c r="U73" s="114" t="s">
        <v>351</v>
      </c>
      <c r="V73" s="58">
        <f>5+261</f>
        <v>266</v>
      </c>
      <c r="W73" s="58">
        <f t="shared" si="14"/>
        <v>17</v>
      </c>
      <c r="X73" s="145" t="s">
        <v>413</v>
      </c>
      <c r="Y73" s="115" t="s">
        <v>414</v>
      </c>
      <c r="Z73" s="116">
        <f t="shared" si="15"/>
        <v>-6.8273092369477914E-2</v>
      </c>
      <c r="AA73" s="79" t="s">
        <v>403</v>
      </c>
      <c r="AB73" s="117"/>
      <c r="AC73" s="117"/>
      <c r="AD73" s="117"/>
      <c r="AE73" s="117"/>
      <c r="AF73" s="117"/>
    </row>
    <row r="74" spans="1:32" s="16" customFormat="1" ht="51" customHeight="1">
      <c r="A74" s="19"/>
      <c r="B74" s="18">
        <v>46149</v>
      </c>
      <c r="C74" s="18">
        <v>46153</v>
      </c>
      <c r="D74" s="18">
        <v>46153</v>
      </c>
      <c r="E74" s="18">
        <v>46155</v>
      </c>
      <c r="F74" s="80" t="s">
        <v>23</v>
      </c>
      <c r="G74" s="31" t="s">
        <v>144</v>
      </c>
      <c r="H74" s="97" t="s">
        <v>51</v>
      </c>
      <c r="I74" s="19"/>
      <c r="J74" s="80" t="s">
        <v>18</v>
      </c>
      <c r="K74" s="108">
        <v>46951</v>
      </c>
      <c r="L74" s="111">
        <v>180</v>
      </c>
      <c r="M74" s="111" t="s">
        <v>35</v>
      </c>
      <c r="N74" s="80" t="s">
        <v>177</v>
      </c>
      <c r="O74" s="80" t="s">
        <v>52</v>
      </c>
      <c r="P74" s="111">
        <v>20</v>
      </c>
      <c r="Q74" s="31">
        <f t="shared" ref="Q74:Q79" si="16">P74-R74</f>
        <v>20</v>
      </c>
      <c r="R74" s="112">
        <v>0</v>
      </c>
      <c r="S74" s="58">
        <f t="shared" ref="S74:S79" si="17">P74-R74</f>
        <v>20</v>
      </c>
      <c r="T74" s="113"/>
      <c r="U74" s="114"/>
      <c r="V74" s="58">
        <v>0</v>
      </c>
      <c r="W74" s="58">
        <f t="shared" ref="W74:W79" si="18">+V74-P74</f>
        <v>-20</v>
      </c>
      <c r="X74" s="145"/>
      <c r="Y74" s="115"/>
      <c r="Z74" s="116">
        <f t="shared" si="15"/>
        <v>1</v>
      </c>
      <c r="AA74" s="79" t="s">
        <v>246</v>
      </c>
      <c r="AB74" s="117"/>
      <c r="AC74" s="117"/>
      <c r="AD74" s="117"/>
      <c r="AE74" s="117"/>
      <c r="AF74" s="117"/>
    </row>
    <row r="75" spans="1:32" s="16" customFormat="1" ht="51" customHeight="1">
      <c r="A75" s="19"/>
      <c r="B75" s="18">
        <v>46149</v>
      </c>
      <c r="C75" s="18">
        <v>46153</v>
      </c>
      <c r="D75" s="18">
        <v>46153</v>
      </c>
      <c r="E75" s="18">
        <v>46155</v>
      </c>
      <c r="F75" s="80" t="s">
        <v>23</v>
      </c>
      <c r="G75" s="31" t="s">
        <v>144</v>
      </c>
      <c r="H75" s="97" t="s">
        <v>51</v>
      </c>
      <c r="I75" s="19"/>
      <c r="J75" s="80" t="s">
        <v>18</v>
      </c>
      <c r="K75" s="108">
        <v>46951</v>
      </c>
      <c r="L75" s="111">
        <v>180</v>
      </c>
      <c r="M75" s="111" t="s">
        <v>35</v>
      </c>
      <c r="N75" s="80" t="s">
        <v>178</v>
      </c>
      <c r="O75" s="80" t="s">
        <v>52</v>
      </c>
      <c r="P75" s="111">
        <v>23</v>
      </c>
      <c r="Q75" s="31">
        <f t="shared" si="16"/>
        <v>-12</v>
      </c>
      <c r="R75" s="112">
        <f>35</f>
        <v>35</v>
      </c>
      <c r="S75" s="58">
        <f t="shared" si="17"/>
        <v>-12</v>
      </c>
      <c r="T75" s="113">
        <v>3666</v>
      </c>
      <c r="U75" s="114" t="s">
        <v>243</v>
      </c>
      <c r="V75" s="58">
        <f>33</f>
        <v>33</v>
      </c>
      <c r="W75" s="58">
        <f t="shared" si="18"/>
        <v>10</v>
      </c>
      <c r="X75" s="145">
        <v>1206</v>
      </c>
      <c r="Y75" s="115" t="s">
        <v>260</v>
      </c>
      <c r="Z75" s="116">
        <f t="shared" si="15"/>
        <v>-0.43478260869565216</v>
      </c>
      <c r="AA75" s="79" t="s">
        <v>264</v>
      </c>
      <c r="AB75" s="117"/>
      <c r="AC75" s="117"/>
      <c r="AD75" s="117"/>
      <c r="AE75" s="117"/>
      <c r="AF75" s="117"/>
    </row>
    <row r="76" spans="1:32" s="16" customFormat="1" ht="51" customHeight="1">
      <c r="A76" s="19"/>
      <c r="B76" s="18">
        <v>46149</v>
      </c>
      <c r="C76" s="18">
        <v>46153</v>
      </c>
      <c r="D76" s="18">
        <v>46153</v>
      </c>
      <c r="E76" s="18">
        <v>46155</v>
      </c>
      <c r="F76" s="80" t="s">
        <v>23</v>
      </c>
      <c r="G76" s="31" t="s">
        <v>144</v>
      </c>
      <c r="H76" s="97" t="s">
        <v>51</v>
      </c>
      <c r="I76" s="19"/>
      <c r="J76" s="80" t="s">
        <v>18</v>
      </c>
      <c r="K76" s="108">
        <v>46951</v>
      </c>
      <c r="L76" s="111">
        <v>180</v>
      </c>
      <c r="M76" s="111" t="s">
        <v>35</v>
      </c>
      <c r="N76" s="80" t="s">
        <v>168</v>
      </c>
      <c r="O76" s="80" t="s">
        <v>52</v>
      </c>
      <c r="P76" s="111">
        <v>20</v>
      </c>
      <c r="Q76" s="31">
        <f t="shared" si="16"/>
        <v>-14</v>
      </c>
      <c r="R76" s="112">
        <f>34</f>
        <v>34</v>
      </c>
      <c r="S76" s="58">
        <f t="shared" si="17"/>
        <v>-14</v>
      </c>
      <c r="T76" s="113">
        <v>3666</v>
      </c>
      <c r="U76" s="114" t="s">
        <v>243</v>
      </c>
      <c r="V76" s="58">
        <f>32</f>
        <v>32</v>
      </c>
      <c r="W76" s="58">
        <f t="shared" si="18"/>
        <v>12</v>
      </c>
      <c r="X76" s="145">
        <v>1206</v>
      </c>
      <c r="Y76" s="115" t="s">
        <v>260</v>
      </c>
      <c r="Z76" s="116">
        <f t="shared" si="15"/>
        <v>-0.6</v>
      </c>
      <c r="AA76" s="79" t="s">
        <v>264</v>
      </c>
      <c r="AB76" s="117"/>
      <c r="AC76" s="117"/>
      <c r="AD76" s="117"/>
      <c r="AE76" s="117"/>
      <c r="AF76" s="117"/>
    </row>
    <row r="77" spans="1:32" s="16" customFormat="1" ht="72" customHeight="1">
      <c r="A77" s="19"/>
      <c r="B77" s="18">
        <v>46111</v>
      </c>
      <c r="C77" s="18">
        <v>46153</v>
      </c>
      <c r="D77" s="18">
        <v>46128</v>
      </c>
      <c r="E77" s="18">
        <v>46158</v>
      </c>
      <c r="F77" s="80" t="s">
        <v>50</v>
      </c>
      <c r="G77" s="97" t="s">
        <v>144</v>
      </c>
      <c r="H77" s="97" t="s">
        <v>32</v>
      </c>
      <c r="I77" s="19"/>
      <c r="J77" s="80" t="s">
        <v>34</v>
      </c>
      <c r="K77" s="110">
        <v>46855</v>
      </c>
      <c r="L77" s="111">
        <v>200</v>
      </c>
      <c r="M77" s="111" t="s">
        <v>56</v>
      </c>
      <c r="N77" s="80" t="s">
        <v>197</v>
      </c>
      <c r="O77" s="111" t="s">
        <v>66</v>
      </c>
      <c r="P77" s="111">
        <f>2400+57-57</f>
        <v>2400</v>
      </c>
      <c r="Q77" s="31">
        <f t="shared" si="16"/>
        <v>-64</v>
      </c>
      <c r="R77" s="112">
        <f>357+1038+1069</f>
        <v>2464</v>
      </c>
      <c r="S77" s="58">
        <f t="shared" si="17"/>
        <v>-64</v>
      </c>
      <c r="T77" s="114" t="s">
        <v>226</v>
      </c>
      <c r="U77" s="114" t="s">
        <v>227</v>
      </c>
      <c r="V77" s="58">
        <f>9+963+363+1035+56</f>
        <v>2426</v>
      </c>
      <c r="W77" s="58">
        <f t="shared" si="18"/>
        <v>26</v>
      </c>
      <c r="X77" s="146" t="s">
        <v>244</v>
      </c>
      <c r="Y77" s="121" t="s">
        <v>245</v>
      </c>
      <c r="Z77" s="116">
        <f t="shared" si="15"/>
        <v>-1.0833333333333332E-2</v>
      </c>
      <c r="AA77" s="79" t="s">
        <v>256</v>
      </c>
      <c r="AB77" s="117"/>
      <c r="AC77" s="117"/>
      <c r="AD77" s="117"/>
      <c r="AE77" s="117"/>
      <c r="AF77" s="117"/>
    </row>
    <row r="78" spans="1:32" s="16" customFormat="1" ht="72" customHeight="1">
      <c r="A78" s="19"/>
      <c r="B78" s="18">
        <v>46111</v>
      </c>
      <c r="C78" s="18">
        <v>46153</v>
      </c>
      <c r="D78" s="18">
        <v>46128</v>
      </c>
      <c r="E78" s="18">
        <v>46158</v>
      </c>
      <c r="F78" s="80" t="s">
        <v>50</v>
      </c>
      <c r="G78" s="97" t="s">
        <v>144</v>
      </c>
      <c r="H78" s="97" t="s">
        <v>32</v>
      </c>
      <c r="I78" s="19"/>
      <c r="J78" s="80" t="s">
        <v>34</v>
      </c>
      <c r="K78" s="110">
        <v>46855</v>
      </c>
      <c r="L78" s="111">
        <v>200</v>
      </c>
      <c r="M78" s="111" t="s">
        <v>60</v>
      </c>
      <c r="N78" s="80" t="s">
        <v>207</v>
      </c>
      <c r="O78" s="111" t="s">
        <v>66</v>
      </c>
      <c r="P78" s="111">
        <v>2282</v>
      </c>
      <c r="Q78" s="31">
        <f t="shared" si="16"/>
        <v>-2</v>
      </c>
      <c r="R78" s="112">
        <f>1087+1138+59</f>
        <v>2284</v>
      </c>
      <c r="S78" s="58">
        <f t="shared" si="17"/>
        <v>-2</v>
      </c>
      <c r="T78" s="114" t="s">
        <v>222</v>
      </c>
      <c r="U78" s="114" t="s">
        <v>223</v>
      </c>
      <c r="V78" s="58">
        <f>8+1042+54+1118</f>
        <v>2222</v>
      </c>
      <c r="W78" s="58">
        <f t="shared" si="18"/>
        <v>-60</v>
      </c>
      <c r="X78" s="146" t="s">
        <v>265</v>
      </c>
      <c r="Y78" s="121" t="s">
        <v>266</v>
      </c>
      <c r="Z78" s="116">
        <f t="shared" si="15"/>
        <v>2.6292725679228749E-2</v>
      </c>
      <c r="AA78" s="79" t="s">
        <v>255</v>
      </c>
      <c r="AB78" s="117"/>
      <c r="AC78" s="117"/>
      <c r="AD78" s="117"/>
      <c r="AE78" s="117"/>
      <c r="AF78" s="117"/>
    </row>
    <row r="79" spans="1:32" s="16" customFormat="1" ht="72" customHeight="1">
      <c r="A79" s="19"/>
      <c r="B79" s="18">
        <v>46111</v>
      </c>
      <c r="C79" s="18">
        <v>46153</v>
      </c>
      <c r="D79" s="18">
        <v>46128</v>
      </c>
      <c r="E79" s="18">
        <v>46158</v>
      </c>
      <c r="F79" s="80" t="s">
        <v>50</v>
      </c>
      <c r="G79" s="31" t="s">
        <v>144</v>
      </c>
      <c r="H79" s="97" t="s">
        <v>32</v>
      </c>
      <c r="I79" s="19"/>
      <c r="J79" s="80" t="s">
        <v>34</v>
      </c>
      <c r="K79" s="110">
        <v>46855</v>
      </c>
      <c r="L79" s="111">
        <v>200</v>
      </c>
      <c r="M79" s="111" t="s">
        <v>60</v>
      </c>
      <c r="N79" s="80" t="s">
        <v>208</v>
      </c>
      <c r="O79" s="111" t="s">
        <v>66</v>
      </c>
      <c r="P79" s="111">
        <v>2400</v>
      </c>
      <c r="Q79" s="31">
        <f t="shared" si="16"/>
        <v>45</v>
      </c>
      <c r="R79" s="112">
        <f>1000+1131+224</f>
        <v>2355</v>
      </c>
      <c r="S79" s="58">
        <f t="shared" si="17"/>
        <v>45</v>
      </c>
      <c r="T79" s="114" t="s">
        <v>224</v>
      </c>
      <c r="U79" s="114" t="s">
        <v>225</v>
      </c>
      <c r="V79" s="58">
        <f>226+1052+1012+50</f>
        <v>2340</v>
      </c>
      <c r="W79" s="58">
        <f t="shared" si="18"/>
        <v>-60</v>
      </c>
      <c r="X79" s="146" t="s">
        <v>248</v>
      </c>
      <c r="Y79" s="121" t="s">
        <v>249</v>
      </c>
      <c r="Z79" s="116">
        <f t="shared" si="15"/>
        <v>2.5000000000000001E-2</v>
      </c>
      <c r="AA79" s="79" t="s">
        <v>250</v>
      </c>
      <c r="AB79" s="117"/>
      <c r="AC79" s="117"/>
      <c r="AD79" s="117"/>
      <c r="AE79" s="117"/>
      <c r="AF79" s="117"/>
    </row>
    <row r="80" spans="1:32" s="35" customFormat="1" ht="45.75" customHeight="1">
      <c r="A80" s="19"/>
      <c r="B80" s="22"/>
      <c r="C80" s="22"/>
      <c r="D80" s="22"/>
      <c r="E80" s="22"/>
      <c r="F80" s="122"/>
      <c r="G80" s="31"/>
      <c r="H80" s="123"/>
      <c r="I80" s="19"/>
      <c r="J80" s="124"/>
      <c r="K80" s="79"/>
      <c r="L80" s="125"/>
      <c r="M80" s="125"/>
      <c r="N80" s="125"/>
      <c r="O80" s="125"/>
      <c r="P80" s="125">
        <f t="shared" ref="P80:Z80" si="19">SUM(P51:P79)</f>
        <v>22372</v>
      </c>
      <c r="Q80" s="125">
        <f t="shared" si="19"/>
        <v>-449</v>
      </c>
      <c r="R80" s="125">
        <f t="shared" si="19"/>
        <v>22821</v>
      </c>
      <c r="S80" s="125">
        <f t="shared" si="19"/>
        <v>-449</v>
      </c>
      <c r="T80" s="125">
        <f t="shared" si="19"/>
        <v>72578</v>
      </c>
      <c r="U80" s="136">
        <f t="shared" si="19"/>
        <v>0</v>
      </c>
      <c r="V80" s="125">
        <f t="shared" si="19"/>
        <v>22203</v>
      </c>
      <c r="W80" s="125">
        <f t="shared" si="19"/>
        <v>-169</v>
      </c>
      <c r="X80" s="149">
        <f t="shared" si="19"/>
        <v>775898</v>
      </c>
      <c r="Y80" s="125">
        <f t="shared" si="19"/>
        <v>0</v>
      </c>
      <c r="Z80" s="125">
        <f t="shared" si="19"/>
        <v>-0.36009977719116798</v>
      </c>
      <c r="AA80" s="79"/>
      <c r="AB80" s="117"/>
      <c r="AC80" s="117"/>
      <c r="AD80" s="117"/>
      <c r="AE80" s="117"/>
      <c r="AF80" s="117"/>
    </row>
    <row r="81" spans="1:32" s="51" customFormat="1" ht="38.25" customHeight="1">
      <c r="A81" s="303" t="s">
        <v>180</v>
      </c>
      <c r="B81" s="304"/>
      <c r="C81" s="304"/>
      <c r="D81" s="304"/>
      <c r="E81" s="304"/>
      <c r="F81" s="304"/>
      <c r="G81" s="304"/>
      <c r="H81" s="304"/>
      <c r="I81" s="304"/>
      <c r="J81" s="304"/>
      <c r="K81" s="304"/>
      <c r="L81" s="304"/>
      <c r="M81" s="304"/>
      <c r="N81" s="304"/>
      <c r="O81" s="304"/>
      <c r="P81" s="304"/>
      <c r="Q81" s="304"/>
      <c r="R81" s="304"/>
      <c r="S81" s="304"/>
      <c r="T81" s="304"/>
      <c r="U81" s="304"/>
      <c r="V81" s="304"/>
      <c r="W81" s="304"/>
      <c r="X81" s="304"/>
      <c r="Y81" s="304"/>
      <c r="Z81" s="304"/>
      <c r="AA81" s="304"/>
      <c r="AB81" s="304"/>
      <c r="AC81" s="304"/>
      <c r="AD81" s="304"/>
      <c r="AE81" s="304"/>
      <c r="AF81" s="305"/>
    </row>
    <row r="82" spans="1:32" s="16" customFormat="1" ht="72" customHeight="1">
      <c r="A82" s="126" t="s">
        <v>1</v>
      </c>
      <c r="B82" s="127" t="s">
        <v>140</v>
      </c>
      <c r="C82" s="127" t="s">
        <v>141</v>
      </c>
      <c r="D82" s="127" t="s">
        <v>142</v>
      </c>
      <c r="E82" s="127" t="s">
        <v>143</v>
      </c>
      <c r="F82" s="128" t="s">
        <v>115</v>
      </c>
      <c r="G82" s="126" t="s">
        <v>117</v>
      </c>
      <c r="H82" s="129" t="s">
        <v>48</v>
      </c>
      <c r="I82" s="126" t="s">
        <v>2</v>
      </c>
      <c r="J82" s="126" t="s">
        <v>3</v>
      </c>
      <c r="K82" s="130" t="s">
        <v>4</v>
      </c>
      <c r="L82" s="131" t="s">
        <v>5</v>
      </c>
      <c r="M82" s="132" t="s">
        <v>6</v>
      </c>
      <c r="N82" s="126" t="s">
        <v>7</v>
      </c>
      <c r="O82" s="132" t="s">
        <v>8</v>
      </c>
      <c r="P82" s="132" t="s">
        <v>9</v>
      </c>
      <c r="Q82" s="132" t="s">
        <v>10</v>
      </c>
      <c r="R82" s="132" t="s">
        <v>11</v>
      </c>
      <c r="S82" s="132" t="s">
        <v>12</v>
      </c>
      <c r="T82" s="132" t="s">
        <v>119</v>
      </c>
      <c r="U82" s="133" t="s">
        <v>13</v>
      </c>
      <c r="V82" s="132" t="s">
        <v>14</v>
      </c>
      <c r="W82" s="132" t="s">
        <v>15</v>
      </c>
      <c r="X82" s="148" t="s">
        <v>119</v>
      </c>
      <c r="Y82" s="132" t="s">
        <v>118</v>
      </c>
      <c r="Z82" s="134" t="s">
        <v>16</v>
      </c>
      <c r="AA82" s="79" t="s">
        <v>17</v>
      </c>
      <c r="AB82" s="117"/>
      <c r="AC82" s="117"/>
      <c r="AD82" s="117"/>
      <c r="AE82" s="117"/>
      <c r="AF82" s="117"/>
    </row>
    <row r="83" spans="1:32" s="16" customFormat="1" ht="72" customHeight="1">
      <c r="A83" s="19"/>
      <c r="B83" s="18">
        <v>46147</v>
      </c>
      <c r="C83" s="18">
        <v>46158</v>
      </c>
      <c r="D83" s="18">
        <v>46160</v>
      </c>
      <c r="E83" s="18">
        <v>46167</v>
      </c>
      <c r="F83" s="80" t="s">
        <v>23</v>
      </c>
      <c r="G83" s="31" t="s">
        <v>62</v>
      </c>
      <c r="H83" s="97" t="s">
        <v>161</v>
      </c>
      <c r="I83" s="19"/>
      <c r="J83" s="80" t="s">
        <v>164</v>
      </c>
      <c r="K83" s="135">
        <v>47412</v>
      </c>
      <c r="L83" s="111">
        <v>190</v>
      </c>
      <c r="M83" s="111" t="s">
        <v>35</v>
      </c>
      <c r="N83" s="59" t="s">
        <v>27</v>
      </c>
      <c r="O83" s="80" t="s">
        <v>22</v>
      </c>
      <c r="P83" s="111">
        <v>235</v>
      </c>
      <c r="Q83" s="31">
        <f t="shared" ref="Q83:Q85" si="20">P83-R83</f>
        <v>-41</v>
      </c>
      <c r="R83" s="38">
        <f>238+38</f>
        <v>276</v>
      </c>
      <c r="S83" s="39">
        <f t="shared" ref="S83:S85" si="21">P83-R83</f>
        <v>-41</v>
      </c>
      <c r="T83" s="40" t="s">
        <v>588</v>
      </c>
      <c r="U83" s="65" t="s">
        <v>589</v>
      </c>
      <c r="V83" s="39">
        <f>237+38</f>
        <v>275</v>
      </c>
      <c r="W83" s="39">
        <f t="shared" ref="W83:W85" si="22">+V83-P83</f>
        <v>40</v>
      </c>
      <c r="X83" s="147" t="s">
        <v>600</v>
      </c>
      <c r="Y83" s="41" t="s">
        <v>601</v>
      </c>
      <c r="Z83" s="42">
        <f t="shared" ref="Z83:Z85" si="23">(P83-V83)*100/P83/100</f>
        <v>-0.1702127659574468</v>
      </c>
      <c r="AA83" s="62" t="s">
        <v>602</v>
      </c>
      <c r="AB83" s="117"/>
      <c r="AC83" s="117"/>
      <c r="AD83" s="117"/>
      <c r="AE83" s="117"/>
      <c r="AF83" s="117"/>
    </row>
    <row r="84" spans="1:32" s="16" customFormat="1" ht="72" customHeight="1">
      <c r="A84" s="19"/>
      <c r="B84" s="18">
        <v>46148</v>
      </c>
      <c r="C84" s="18">
        <v>46158</v>
      </c>
      <c r="D84" s="18">
        <v>46161</v>
      </c>
      <c r="E84" s="18">
        <v>46167</v>
      </c>
      <c r="F84" s="80" t="s">
        <v>23</v>
      </c>
      <c r="G84" s="31" t="s">
        <v>62</v>
      </c>
      <c r="H84" s="97" t="s">
        <v>161</v>
      </c>
      <c r="I84" s="19"/>
      <c r="J84" s="80" t="s">
        <v>164</v>
      </c>
      <c r="K84" s="135">
        <v>47413</v>
      </c>
      <c r="L84" s="111">
        <v>190</v>
      </c>
      <c r="M84" s="111" t="s">
        <v>35</v>
      </c>
      <c r="N84" s="59" t="s">
        <v>27</v>
      </c>
      <c r="O84" s="80" t="s">
        <v>22</v>
      </c>
      <c r="P84" s="111">
        <v>110</v>
      </c>
      <c r="Q84" s="31">
        <f t="shared" si="20"/>
        <v>-20</v>
      </c>
      <c r="R84" s="38">
        <f>112+18</f>
        <v>130</v>
      </c>
      <c r="S84" s="39">
        <f t="shared" si="21"/>
        <v>-20</v>
      </c>
      <c r="T84" s="40" t="s">
        <v>588</v>
      </c>
      <c r="U84" s="65" t="s">
        <v>589</v>
      </c>
      <c r="V84" s="39">
        <f>112+18</f>
        <v>130</v>
      </c>
      <c r="W84" s="39">
        <f t="shared" si="22"/>
        <v>20</v>
      </c>
      <c r="X84" s="147" t="s">
        <v>600</v>
      </c>
      <c r="Y84" s="41" t="s">
        <v>601</v>
      </c>
      <c r="Z84" s="42">
        <f t="shared" si="23"/>
        <v>-0.18181818181818182</v>
      </c>
      <c r="AA84" s="62" t="s">
        <v>603</v>
      </c>
      <c r="AB84" s="117"/>
      <c r="AC84" s="117"/>
      <c r="AD84" s="117"/>
      <c r="AE84" s="117"/>
      <c r="AF84" s="117"/>
    </row>
    <row r="85" spans="1:32" s="16" customFormat="1" ht="72" customHeight="1">
      <c r="A85" s="19"/>
      <c r="B85" s="18">
        <v>46151</v>
      </c>
      <c r="C85" s="18">
        <v>46160</v>
      </c>
      <c r="D85" s="18">
        <v>46160</v>
      </c>
      <c r="E85" s="18">
        <v>46167</v>
      </c>
      <c r="F85" s="80" t="s">
        <v>23</v>
      </c>
      <c r="G85" s="31" t="s">
        <v>116</v>
      </c>
      <c r="H85" s="97" t="s">
        <v>150</v>
      </c>
      <c r="I85" s="19"/>
      <c r="J85" s="80" t="s">
        <v>33</v>
      </c>
      <c r="K85" s="109" t="s">
        <v>236</v>
      </c>
      <c r="L85" s="111">
        <v>180</v>
      </c>
      <c r="M85" s="111" t="s">
        <v>56</v>
      </c>
      <c r="N85" s="80" t="s">
        <v>46</v>
      </c>
      <c r="O85" s="80" t="s">
        <v>52</v>
      </c>
      <c r="P85" s="111">
        <v>265</v>
      </c>
      <c r="Q85" s="31">
        <f t="shared" si="20"/>
        <v>-3</v>
      </c>
      <c r="R85" s="112">
        <f>268</f>
        <v>268</v>
      </c>
      <c r="S85" s="58">
        <f t="shared" si="21"/>
        <v>-3</v>
      </c>
      <c r="T85" s="113">
        <v>4703</v>
      </c>
      <c r="U85" s="114" t="s">
        <v>396</v>
      </c>
      <c r="V85" s="58">
        <f>236+11+11</f>
        <v>258</v>
      </c>
      <c r="W85" s="58">
        <f t="shared" si="22"/>
        <v>-7</v>
      </c>
      <c r="X85" s="145" t="s">
        <v>432</v>
      </c>
      <c r="Y85" s="115" t="s">
        <v>433</v>
      </c>
      <c r="Z85" s="116">
        <f t="shared" si="23"/>
        <v>2.6415094339622639E-2</v>
      </c>
      <c r="AA85" s="79" t="s">
        <v>394</v>
      </c>
      <c r="AB85" s="117"/>
      <c r="AC85" s="117"/>
      <c r="AD85" s="117"/>
      <c r="AE85" s="117"/>
      <c r="AF85" s="117"/>
    </row>
    <row r="86" spans="1:32" s="35" customFormat="1" ht="43.5" customHeight="1">
      <c r="A86" s="19"/>
      <c r="B86" s="22"/>
      <c r="C86" s="22"/>
      <c r="D86" s="22"/>
      <c r="E86" s="22"/>
      <c r="F86" s="122"/>
      <c r="G86" s="31"/>
      <c r="H86" s="123"/>
      <c r="I86" s="19"/>
      <c r="J86" s="124"/>
      <c r="K86" s="79"/>
      <c r="L86" s="125"/>
      <c r="M86" s="125"/>
      <c r="N86" s="125"/>
      <c r="O86" s="125"/>
      <c r="P86" s="125">
        <f t="shared" ref="P86:Z87" si="24">SUM(P83:P85)</f>
        <v>610</v>
      </c>
      <c r="Q86" s="125">
        <f t="shared" si="24"/>
        <v>-64</v>
      </c>
      <c r="R86" s="125">
        <f t="shared" si="24"/>
        <v>674</v>
      </c>
      <c r="S86" s="125">
        <f t="shared" si="24"/>
        <v>-64</v>
      </c>
      <c r="T86" s="125">
        <f t="shared" si="24"/>
        <v>4703</v>
      </c>
      <c r="U86" s="136">
        <f t="shared" si="24"/>
        <v>0</v>
      </c>
      <c r="V86" s="125">
        <f t="shared" si="24"/>
        <v>663</v>
      </c>
      <c r="W86" s="125">
        <f t="shared" si="24"/>
        <v>53</v>
      </c>
      <c r="X86" s="149">
        <f t="shared" si="24"/>
        <v>0</v>
      </c>
      <c r="Y86" s="125">
        <f t="shared" si="24"/>
        <v>0</v>
      </c>
      <c r="Z86" s="125">
        <f t="shared" si="24"/>
        <v>-0.32561585343600596</v>
      </c>
      <c r="AA86" s="79"/>
      <c r="AB86" s="117"/>
      <c r="AC86" s="117"/>
      <c r="AD86" s="117"/>
      <c r="AE86" s="117"/>
      <c r="AF86" s="117"/>
    </row>
    <row r="87" spans="1:32" s="35" customFormat="1" ht="48.75" customHeight="1">
      <c r="A87" s="137"/>
      <c r="B87" s="300" t="s">
        <v>120</v>
      </c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2"/>
      <c r="P87" s="125">
        <f t="shared" ref="P87:Y87" si="25">P86+P80+P48</f>
        <v>41968</v>
      </c>
      <c r="Q87" s="125">
        <f t="shared" si="25"/>
        <v>-1256</v>
      </c>
      <c r="R87" s="125">
        <f t="shared" si="25"/>
        <v>43224</v>
      </c>
      <c r="S87" s="125">
        <f t="shared" si="25"/>
        <v>-1256</v>
      </c>
      <c r="T87" s="125">
        <f t="shared" si="25"/>
        <v>77281</v>
      </c>
      <c r="U87" s="136">
        <f t="shared" si="25"/>
        <v>0</v>
      </c>
      <c r="V87" s="125">
        <f t="shared" si="25"/>
        <v>42045.4</v>
      </c>
      <c r="W87" s="125">
        <f t="shared" si="25"/>
        <v>77.399999999999977</v>
      </c>
      <c r="X87" s="149">
        <f t="shared" si="25"/>
        <v>775898</v>
      </c>
      <c r="Y87" s="125">
        <f t="shared" si="25"/>
        <v>0</v>
      </c>
      <c r="Z87" s="125">
        <f t="shared" si="24"/>
        <v>-0.48101894091456515</v>
      </c>
      <c r="AA87" s="138"/>
      <c r="AB87" s="117"/>
      <c r="AC87" s="117"/>
      <c r="AD87" s="117"/>
      <c r="AE87" s="117"/>
      <c r="AF87" s="117"/>
    </row>
  </sheetData>
  <autoFilter ref="B82:AA87"/>
  <mergeCells count="7">
    <mergeCell ref="B87:O87"/>
    <mergeCell ref="A81:AF81"/>
    <mergeCell ref="A1:Z1"/>
    <mergeCell ref="AA1:AA2"/>
    <mergeCell ref="A2:Z2"/>
    <mergeCell ref="A3:Z3"/>
    <mergeCell ref="A49:AF49"/>
  </mergeCells>
  <dataValidations count="3">
    <dataValidation type="list" allowBlank="1" showInputMessage="1" showErrorMessage="1" sqref="H77:H79">
      <formula1>$O$86:$O$122</formula1>
    </dataValidation>
    <dataValidation type="list" allowBlank="1" showInputMessage="1" showErrorMessage="1" sqref="F53">
      <formula1>$C$86:$C$88</formula1>
    </dataValidation>
    <dataValidation type="list" allowBlank="1" showInputMessage="1" showErrorMessage="1" sqref="J5:J19 J40:J44 J77:J79 J59:J63 J31 J22:J26">
      <formula1>#REF!</formula1>
    </dataValidation>
  </dataValidations>
  <pageMargins left="0.7" right="0.7" top="0.75" bottom="0.75" header="0.3" footer="0.3"/>
  <pageSetup paperSize="9" scale="6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'C:\Users\shekor\Desktop\[New Job Posting.xlsm]Summary'!#REF!</xm:f>
          </x14:formula1>
          <xm:sqref>J20:J21 F20:F21 H5:H13 J51:J53 H51:H53 J27:J30 J32:J33 H15:H33 J35:J37 J39 F39 H35:H37 H39:H41 J83:J85 F85 H83:H85 J46 H46 H44 H61:H76 J64:J76</xm:sqref>
        </x14:dataValidation>
        <x14:dataValidation type="list" allowBlank="1" showInputMessage="1" showErrorMessage="1">
          <x14:formula1>
            <xm:f>'C:\Users\rokibul\Desktop\[17.04.26 Finish Fabric Plan &amp; Execution Status.xlsm]Summary'!#REF!</xm:f>
          </x14:formula1>
          <xm:sqref>F5:F19 F83:F84 F51:F52 F54:F73 F22:F38 F77:F79 F40:F44</xm:sqref>
        </x14:dataValidation>
        <x14:dataValidation type="list" allowBlank="1" showInputMessage="1" showErrorMessage="1">
          <x14:formula1>
            <xm:f>'C:\Users\salman\Desktop\[New Posting.xlsm]Summary'!#REF!</xm:f>
          </x14:formula1>
          <xm:sqref>H14 H42:H43 J54:J58 H54:H60 J34 J38 H34 H38 J45 H45</xm:sqref>
        </x14:dataValidation>
        <x14:dataValidation type="list" allowBlank="1" showInputMessage="1" showErrorMessage="1">
          <x14:formula1>
            <xm:f>'C:\Users\rokibul\Desktop\[09.05.26 Finish Fabric Plan &amp; Execution Status.xlsm]Summary'!#REF!</xm:f>
          </x14:formula1>
          <xm:sqref>F74:F76</xm:sqref>
        </x14:dataValidation>
        <x14:dataValidation type="list" allowBlank="1" showInputMessage="1" showErrorMessage="1">
          <x14:formula1>
            <xm:f>'C:\Users\rokibul\Desktop\[14.05.26 Finish Fabric Plan &amp; Execution Status.xlsm]Summary'!#REF!</xm:f>
          </x14:formula1>
          <xm:sqref>F45:F46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25"/>
  <sheetViews>
    <sheetView view="pageBreakPreview" topLeftCell="C1" zoomScale="80" zoomScaleNormal="80" zoomScaleSheetLayoutView="80" workbookViewId="0">
      <pane ySplit="4" topLeftCell="A116" activePane="bottomLeft" state="frozen"/>
      <selection activeCell="C1" sqref="C1"/>
      <selection pane="bottomLeft" activeCell="K116" sqref="K116"/>
    </sheetView>
  </sheetViews>
  <sheetFormatPr defaultRowHeight="15"/>
  <cols>
    <col min="1" max="1" width="8.85546875" style="9" hidden="1" customWidth="1"/>
    <col min="2" max="2" width="8.28515625" style="89" hidden="1" customWidth="1"/>
    <col min="3" max="3" width="9.140625" style="64" customWidth="1"/>
    <col min="4" max="4" width="8.5703125" style="64" customWidth="1"/>
    <col min="5" max="5" width="8.42578125" style="64" customWidth="1"/>
    <col min="6" max="6" width="6.5703125" style="72" customWidth="1"/>
    <col min="7" max="7" width="6.28515625" style="64" customWidth="1"/>
    <col min="8" max="8" width="6.42578125" style="72" customWidth="1"/>
    <col min="9" max="9" width="14.7109375" customWidth="1"/>
    <col min="10" max="10" width="7.140625" customWidth="1"/>
    <col min="11" max="11" width="16.7109375" style="14" customWidth="1"/>
    <col min="12" max="12" width="5" customWidth="1"/>
    <col min="13" max="13" width="3.7109375" customWidth="1"/>
    <col min="14" max="14" width="8.42578125" customWidth="1"/>
    <col min="15" max="15" width="8" style="1" customWidth="1"/>
    <col min="16" max="16" width="10.7109375" style="64" customWidth="1"/>
    <col min="17" max="17" width="7.85546875" style="64" customWidth="1"/>
    <col min="18" max="18" width="9.140625" style="64" customWidth="1"/>
    <col min="19" max="19" width="8.42578125" style="64" customWidth="1"/>
    <col min="20" max="20" width="9.85546875" style="64" customWidth="1"/>
    <col min="21" max="21" width="6.7109375" style="64" customWidth="1"/>
    <col min="22" max="22" width="8.7109375" style="64" customWidth="1"/>
    <col min="23" max="23" width="9.85546875" style="64" customWidth="1"/>
    <col min="24" max="24" width="12.42578125" style="64" customWidth="1"/>
    <col min="25" max="25" width="5.42578125" style="64" customWidth="1"/>
    <col min="26" max="26" width="10.5703125" style="64" customWidth="1"/>
    <col min="27" max="27" width="27" customWidth="1"/>
  </cols>
  <sheetData>
    <row r="1" spans="1:45" s="49" customFormat="1" ht="27" customHeight="1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7" t="s">
        <v>802</v>
      </c>
    </row>
    <row r="2" spans="1:45" s="50" customFormat="1" ht="31.5" customHeight="1">
      <c r="A2" s="308" t="s">
        <v>285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7"/>
    </row>
    <row r="3" spans="1:45" s="47" customFormat="1" ht="30" customHeight="1">
      <c r="A3" s="309" t="s">
        <v>286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61"/>
      <c r="AB3" s="48"/>
    </row>
    <row r="4" spans="1:45" s="35" customFormat="1" ht="98.25" customHeight="1">
      <c r="A4" s="34" t="s">
        <v>1</v>
      </c>
      <c r="B4" s="94" t="s">
        <v>140</v>
      </c>
      <c r="C4" s="209" t="s">
        <v>141</v>
      </c>
      <c r="D4" s="209" t="s">
        <v>142</v>
      </c>
      <c r="E4" s="209" t="s">
        <v>143</v>
      </c>
      <c r="F4" s="210" t="s">
        <v>115</v>
      </c>
      <c r="G4" s="211" t="s">
        <v>117</v>
      </c>
      <c r="H4" s="212" t="s">
        <v>48</v>
      </c>
      <c r="I4" s="211" t="s">
        <v>2</v>
      </c>
      <c r="J4" s="211" t="s">
        <v>3</v>
      </c>
      <c r="K4" s="211" t="s">
        <v>4</v>
      </c>
      <c r="L4" s="213" t="s">
        <v>5</v>
      </c>
      <c r="M4" s="214" t="s">
        <v>6</v>
      </c>
      <c r="N4" s="211" t="s">
        <v>7</v>
      </c>
      <c r="O4" s="214" t="s">
        <v>8</v>
      </c>
      <c r="P4" s="214" t="s">
        <v>9</v>
      </c>
      <c r="Q4" s="214" t="s">
        <v>10</v>
      </c>
      <c r="R4" s="214" t="s">
        <v>11</v>
      </c>
      <c r="S4" s="214" t="s">
        <v>12</v>
      </c>
      <c r="T4" s="214" t="s">
        <v>119</v>
      </c>
      <c r="U4" s="214" t="s">
        <v>13</v>
      </c>
      <c r="V4" s="214" t="s">
        <v>14</v>
      </c>
      <c r="W4" s="214" t="s">
        <v>15</v>
      </c>
      <c r="X4" s="214" t="s">
        <v>119</v>
      </c>
      <c r="Y4" s="214" t="s">
        <v>118</v>
      </c>
      <c r="Z4" s="215" t="s">
        <v>16</v>
      </c>
      <c r="AA4" s="60" t="s">
        <v>17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 s="64" customFormat="1" ht="96.75" customHeight="1">
      <c r="A5" s="63"/>
      <c r="B5" s="99">
        <v>46154</v>
      </c>
      <c r="C5" s="82">
        <v>46164</v>
      </c>
      <c r="D5" s="83">
        <v>46167</v>
      </c>
      <c r="E5" s="83">
        <v>46179</v>
      </c>
      <c r="F5" s="71" t="s">
        <v>25</v>
      </c>
      <c r="G5" s="66" t="s">
        <v>62</v>
      </c>
      <c r="H5" s="71" t="s">
        <v>39</v>
      </c>
      <c r="I5" s="63"/>
      <c r="J5" s="71" t="s">
        <v>18</v>
      </c>
      <c r="K5" s="84" t="s">
        <v>301</v>
      </c>
      <c r="L5" s="85">
        <v>240</v>
      </c>
      <c r="M5" s="76" t="s">
        <v>56</v>
      </c>
      <c r="N5" s="100" t="s">
        <v>136</v>
      </c>
      <c r="O5" s="71" t="s">
        <v>41</v>
      </c>
      <c r="P5" s="69">
        <v>229</v>
      </c>
      <c r="Q5" s="66">
        <f t="shared" ref="Q5:Q23" si="0">P5-R5</f>
        <v>-10</v>
      </c>
      <c r="R5" s="86">
        <f>239</f>
        <v>239</v>
      </c>
      <c r="S5" s="87">
        <f t="shared" ref="S5:S23" si="1">P5-R5</f>
        <v>-10</v>
      </c>
      <c r="T5" s="65">
        <v>3679</v>
      </c>
      <c r="U5" s="65" t="s">
        <v>261</v>
      </c>
      <c r="V5" s="87">
        <f>238</f>
        <v>238</v>
      </c>
      <c r="W5" s="87">
        <f t="shared" ref="W5:W23" si="2">+V5-P5</f>
        <v>9</v>
      </c>
      <c r="X5" s="67">
        <v>41034</v>
      </c>
      <c r="Y5" s="67" t="s">
        <v>283</v>
      </c>
      <c r="Z5" s="88">
        <f t="shared" ref="Z5:Z23" si="3">(P5-V5)*100/P5/100</f>
        <v>-3.9301310043668124E-2</v>
      </c>
      <c r="AA5" s="62" t="s">
        <v>329</v>
      </c>
      <c r="AB5" s="89"/>
      <c r="AC5" s="89"/>
      <c r="AD5" s="89"/>
      <c r="AE5" s="89"/>
      <c r="AF5" s="89"/>
    </row>
    <row r="6" spans="1:45" s="64" customFormat="1" ht="201" customHeight="1">
      <c r="A6" s="63"/>
      <c r="B6" s="70">
        <v>46157</v>
      </c>
      <c r="C6" s="82">
        <v>46181</v>
      </c>
      <c r="D6" s="83">
        <v>46178</v>
      </c>
      <c r="E6" s="83">
        <v>46183</v>
      </c>
      <c r="F6" s="71" t="s">
        <v>38</v>
      </c>
      <c r="G6" s="66" t="s">
        <v>105</v>
      </c>
      <c r="H6" s="71" t="s">
        <v>24</v>
      </c>
      <c r="I6" s="63"/>
      <c r="J6" s="71" t="s">
        <v>18</v>
      </c>
      <c r="K6" s="102">
        <v>47534</v>
      </c>
      <c r="L6" s="76">
        <v>240</v>
      </c>
      <c r="M6" s="76" t="s">
        <v>42</v>
      </c>
      <c r="N6" s="100" t="s">
        <v>160</v>
      </c>
      <c r="O6" s="71" t="s">
        <v>41</v>
      </c>
      <c r="P6" s="76">
        <v>211</v>
      </c>
      <c r="Q6" s="66">
        <f t="shared" si="0"/>
        <v>12</v>
      </c>
      <c r="R6" s="86">
        <f>199</f>
        <v>199</v>
      </c>
      <c r="S6" s="101">
        <f t="shared" si="1"/>
        <v>12</v>
      </c>
      <c r="T6" s="65">
        <v>4794</v>
      </c>
      <c r="U6" s="65" t="s">
        <v>466</v>
      </c>
      <c r="V6" s="87">
        <f>192</f>
        <v>192</v>
      </c>
      <c r="W6" s="101">
        <f t="shared" si="2"/>
        <v>-19</v>
      </c>
      <c r="X6" s="67">
        <v>1607</v>
      </c>
      <c r="Y6" s="67" t="s">
        <v>560</v>
      </c>
      <c r="Z6" s="105">
        <f t="shared" si="3"/>
        <v>9.004739336492891E-2</v>
      </c>
      <c r="AA6" s="62" t="s">
        <v>493</v>
      </c>
      <c r="AB6" s="89"/>
      <c r="AC6" s="89"/>
      <c r="AD6" s="89"/>
      <c r="AE6" s="89"/>
      <c r="AF6" s="89"/>
    </row>
    <row r="7" spans="1:45" s="64" customFormat="1" ht="143.25" customHeight="1">
      <c r="A7" s="63"/>
      <c r="B7" s="70">
        <v>46157</v>
      </c>
      <c r="C7" s="82">
        <v>46181</v>
      </c>
      <c r="D7" s="83">
        <v>46178</v>
      </c>
      <c r="E7" s="83">
        <v>46183</v>
      </c>
      <c r="F7" s="71" t="s">
        <v>38</v>
      </c>
      <c r="G7" s="66" t="s">
        <v>105</v>
      </c>
      <c r="H7" s="71" t="s">
        <v>24</v>
      </c>
      <c r="I7" s="63"/>
      <c r="J7" s="71" t="s">
        <v>18</v>
      </c>
      <c r="K7" s="102">
        <v>47534</v>
      </c>
      <c r="L7" s="76">
        <v>240</v>
      </c>
      <c r="M7" s="76" t="s">
        <v>42</v>
      </c>
      <c r="N7" s="100" t="s">
        <v>302</v>
      </c>
      <c r="O7" s="71" t="s">
        <v>41</v>
      </c>
      <c r="P7" s="76">
        <v>155</v>
      </c>
      <c r="Q7" s="66">
        <f t="shared" si="0"/>
        <v>4</v>
      </c>
      <c r="R7" s="86">
        <f>151</f>
        <v>151</v>
      </c>
      <c r="S7" s="101">
        <f t="shared" si="1"/>
        <v>4</v>
      </c>
      <c r="T7" s="65">
        <v>4794</v>
      </c>
      <c r="U7" s="65" t="s">
        <v>466</v>
      </c>
      <c r="V7" s="87">
        <f>154</f>
        <v>154</v>
      </c>
      <c r="W7" s="87">
        <f t="shared" si="2"/>
        <v>-1</v>
      </c>
      <c r="X7" s="67">
        <v>1607</v>
      </c>
      <c r="Y7" s="67" t="s">
        <v>560</v>
      </c>
      <c r="Z7" s="88">
        <f t="shared" si="3"/>
        <v>6.4516129032258064E-3</v>
      </c>
      <c r="AA7" s="62" t="s">
        <v>543</v>
      </c>
      <c r="AB7" s="89"/>
      <c r="AC7" s="89"/>
      <c r="AD7" s="89"/>
      <c r="AE7" s="89"/>
      <c r="AF7" s="89"/>
    </row>
    <row r="8" spans="1:45" s="64" customFormat="1" ht="154.5" customHeight="1">
      <c r="A8" s="63"/>
      <c r="B8" s="70">
        <v>46154</v>
      </c>
      <c r="C8" s="82">
        <v>46167</v>
      </c>
      <c r="D8" s="83">
        <v>46167</v>
      </c>
      <c r="E8" s="83">
        <v>46183</v>
      </c>
      <c r="F8" s="71" t="s">
        <v>23</v>
      </c>
      <c r="G8" s="66" t="s">
        <v>62</v>
      </c>
      <c r="H8" s="71" t="s">
        <v>128</v>
      </c>
      <c r="I8" s="63"/>
      <c r="J8" s="71" t="s">
        <v>18</v>
      </c>
      <c r="K8" s="102">
        <v>47659</v>
      </c>
      <c r="L8" s="76">
        <v>280</v>
      </c>
      <c r="M8" s="76" t="s">
        <v>56</v>
      </c>
      <c r="N8" s="100" t="s">
        <v>298</v>
      </c>
      <c r="O8" s="71" t="s">
        <v>299</v>
      </c>
      <c r="P8" s="76">
        <v>465</v>
      </c>
      <c r="Q8" s="66">
        <f t="shared" si="0"/>
        <v>-25</v>
      </c>
      <c r="R8" s="86">
        <f>470-331+324+27</f>
        <v>490</v>
      </c>
      <c r="S8" s="87">
        <f t="shared" si="1"/>
        <v>-25</v>
      </c>
      <c r="T8" s="65" t="s">
        <v>584</v>
      </c>
      <c r="U8" s="65" t="s">
        <v>586</v>
      </c>
      <c r="V8" s="87">
        <f>446+28</f>
        <v>474</v>
      </c>
      <c r="W8" s="87">
        <f t="shared" si="2"/>
        <v>9</v>
      </c>
      <c r="X8" s="67" t="s">
        <v>607</v>
      </c>
      <c r="Y8" s="67" t="s">
        <v>608</v>
      </c>
      <c r="Z8" s="88">
        <f t="shared" si="3"/>
        <v>-1.935483870967742E-2</v>
      </c>
      <c r="AA8" s="62" t="s">
        <v>609</v>
      </c>
      <c r="AB8" s="89"/>
      <c r="AC8" s="89"/>
      <c r="AD8" s="89"/>
      <c r="AE8" s="89"/>
      <c r="AF8" s="89"/>
    </row>
    <row r="9" spans="1:45" s="64" customFormat="1" ht="68.25" customHeight="1">
      <c r="A9" s="63"/>
      <c r="B9" s="70">
        <v>46154</v>
      </c>
      <c r="C9" s="82">
        <v>46167</v>
      </c>
      <c r="D9" s="83">
        <v>46167</v>
      </c>
      <c r="E9" s="83">
        <v>46183</v>
      </c>
      <c r="F9" s="71" t="s">
        <v>38</v>
      </c>
      <c r="G9" s="66" t="s">
        <v>62</v>
      </c>
      <c r="H9" s="71" t="s">
        <v>128</v>
      </c>
      <c r="I9" s="63"/>
      <c r="J9" s="71" t="s">
        <v>18</v>
      </c>
      <c r="K9" s="102">
        <v>47659</v>
      </c>
      <c r="L9" s="76">
        <v>280</v>
      </c>
      <c r="M9" s="76" t="s">
        <v>56</v>
      </c>
      <c r="N9" s="100" t="s">
        <v>300</v>
      </c>
      <c r="O9" s="71" t="s">
        <v>299</v>
      </c>
      <c r="P9" s="76">
        <v>547</v>
      </c>
      <c r="Q9" s="66">
        <f t="shared" si="0"/>
        <v>-31</v>
      </c>
      <c r="R9" s="86">
        <f>545+33</f>
        <v>578</v>
      </c>
      <c r="S9" s="87">
        <f t="shared" si="1"/>
        <v>-31</v>
      </c>
      <c r="T9" s="65" t="s">
        <v>585</v>
      </c>
      <c r="U9" s="65" t="s">
        <v>587</v>
      </c>
      <c r="V9" s="87">
        <f>531+33</f>
        <v>564</v>
      </c>
      <c r="W9" s="87">
        <f t="shared" si="2"/>
        <v>17</v>
      </c>
      <c r="X9" s="67" t="s">
        <v>604</v>
      </c>
      <c r="Y9" s="67" t="s">
        <v>605</v>
      </c>
      <c r="Z9" s="88">
        <f t="shared" si="3"/>
        <v>-3.1078610603290677E-2</v>
      </c>
      <c r="AA9" s="62" t="s">
        <v>606</v>
      </c>
      <c r="AB9" s="89"/>
      <c r="AC9" s="89"/>
      <c r="AD9" s="89"/>
      <c r="AE9" s="89"/>
      <c r="AF9" s="89"/>
    </row>
    <row r="10" spans="1:45" s="64" customFormat="1" ht="169.5" customHeight="1">
      <c r="A10" s="63"/>
      <c r="B10" s="99">
        <v>46160</v>
      </c>
      <c r="C10" s="82">
        <v>46168</v>
      </c>
      <c r="D10" s="83">
        <v>46167</v>
      </c>
      <c r="E10" s="83">
        <v>46180</v>
      </c>
      <c r="F10" s="71" t="s">
        <v>23</v>
      </c>
      <c r="G10" s="66" t="s">
        <v>62</v>
      </c>
      <c r="H10" s="71" t="s">
        <v>127</v>
      </c>
      <c r="I10" s="63"/>
      <c r="J10" s="71" t="s">
        <v>18</v>
      </c>
      <c r="K10" s="102" t="s">
        <v>307</v>
      </c>
      <c r="L10" s="76">
        <v>200</v>
      </c>
      <c r="M10" s="76" t="s">
        <v>42</v>
      </c>
      <c r="N10" s="100" t="s">
        <v>125</v>
      </c>
      <c r="O10" s="71" t="s">
        <v>66</v>
      </c>
      <c r="P10" s="76">
        <v>227</v>
      </c>
      <c r="Q10" s="66">
        <f t="shared" si="0"/>
        <v>-6</v>
      </c>
      <c r="R10" s="86">
        <f>233</f>
        <v>233</v>
      </c>
      <c r="S10" s="87">
        <f t="shared" si="1"/>
        <v>-6</v>
      </c>
      <c r="T10" s="65">
        <v>4119</v>
      </c>
      <c r="U10" s="65" t="s">
        <v>359</v>
      </c>
      <c r="V10" s="87">
        <f>2+228</f>
        <v>230</v>
      </c>
      <c r="W10" s="87">
        <f t="shared" si="2"/>
        <v>3</v>
      </c>
      <c r="X10" s="67" t="s">
        <v>397</v>
      </c>
      <c r="Y10" s="67" t="s">
        <v>398</v>
      </c>
      <c r="Z10" s="88">
        <f t="shared" si="3"/>
        <v>-1.3215859030837005E-2</v>
      </c>
      <c r="AA10" s="62" t="s">
        <v>392</v>
      </c>
      <c r="AB10" s="89"/>
      <c r="AC10" s="89"/>
      <c r="AD10" s="89"/>
      <c r="AE10" s="89"/>
      <c r="AF10" s="89"/>
    </row>
    <row r="11" spans="1:45" s="64" customFormat="1" ht="153" customHeight="1">
      <c r="A11" s="63"/>
      <c r="B11" s="99">
        <v>46160</v>
      </c>
      <c r="C11" s="82">
        <v>46168</v>
      </c>
      <c r="D11" s="83">
        <v>46167</v>
      </c>
      <c r="E11" s="83">
        <v>46180</v>
      </c>
      <c r="F11" s="71" t="s">
        <v>23</v>
      </c>
      <c r="G11" s="66" t="s">
        <v>62</v>
      </c>
      <c r="H11" s="71" t="s">
        <v>127</v>
      </c>
      <c r="I11" s="63"/>
      <c r="J11" s="71" t="s">
        <v>18</v>
      </c>
      <c r="K11" s="102" t="s">
        <v>307</v>
      </c>
      <c r="L11" s="76">
        <v>200</v>
      </c>
      <c r="M11" s="76" t="s">
        <v>42</v>
      </c>
      <c r="N11" s="100" t="s">
        <v>308</v>
      </c>
      <c r="O11" s="71" t="s">
        <v>66</v>
      </c>
      <c r="P11" s="76">
        <v>227</v>
      </c>
      <c r="Q11" s="66">
        <f t="shared" si="0"/>
        <v>-3</v>
      </c>
      <c r="R11" s="86">
        <f>230</f>
        <v>230</v>
      </c>
      <c r="S11" s="87">
        <f t="shared" si="1"/>
        <v>-3</v>
      </c>
      <c r="T11" s="65">
        <v>4119</v>
      </c>
      <c r="U11" s="65" t="s">
        <v>359</v>
      </c>
      <c r="V11" s="87">
        <f>210</f>
        <v>210</v>
      </c>
      <c r="W11" s="101">
        <f t="shared" si="2"/>
        <v>-17</v>
      </c>
      <c r="X11" s="67">
        <v>41252</v>
      </c>
      <c r="Y11" s="67" t="s">
        <v>396</v>
      </c>
      <c r="Z11" s="105">
        <f t="shared" si="3"/>
        <v>7.4889867841409691E-2</v>
      </c>
      <c r="AA11" s="62" t="s">
        <v>393</v>
      </c>
      <c r="AB11" s="89"/>
      <c r="AC11" s="89"/>
      <c r="AD11" s="89"/>
      <c r="AE11" s="89"/>
      <c r="AF11" s="89"/>
    </row>
    <row r="12" spans="1:45" s="64" customFormat="1" ht="54.75" customHeight="1">
      <c r="A12" s="63"/>
      <c r="B12" s="70"/>
      <c r="C12" s="82"/>
      <c r="D12" s="83"/>
      <c r="E12" s="83"/>
      <c r="F12" s="71"/>
      <c r="G12" s="66"/>
      <c r="H12" s="71"/>
      <c r="I12" s="63"/>
      <c r="J12" s="71"/>
      <c r="K12" s="102"/>
      <c r="L12" s="76"/>
      <c r="M12" s="76"/>
      <c r="N12" s="71"/>
      <c r="O12" s="71"/>
      <c r="P12" s="69">
        <v>0</v>
      </c>
      <c r="Q12" s="66">
        <f t="shared" ref="Q12:Q13" si="4">P12-R12</f>
        <v>0</v>
      </c>
      <c r="R12" s="86">
        <v>0</v>
      </c>
      <c r="S12" s="87">
        <f t="shared" si="1"/>
        <v>0</v>
      </c>
      <c r="T12" s="65"/>
      <c r="U12" s="65"/>
      <c r="V12" s="87">
        <v>0</v>
      </c>
      <c r="W12" s="87">
        <f t="shared" si="2"/>
        <v>0</v>
      </c>
      <c r="X12" s="67"/>
      <c r="Y12" s="67"/>
      <c r="Z12" s="88" t="e">
        <f t="shared" si="3"/>
        <v>#DIV/0!</v>
      </c>
      <c r="AA12" s="62"/>
      <c r="AB12" s="89"/>
      <c r="AC12" s="89"/>
      <c r="AD12" s="89"/>
      <c r="AE12" s="89"/>
      <c r="AF12" s="89"/>
    </row>
    <row r="13" spans="1:45" s="64" customFormat="1" ht="54.75" hidden="1" customHeight="1">
      <c r="A13" s="63"/>
      <c r="B13" s="70"/>
      <c r="C13" s="82"/>
      <c r="D13" s="83"/>
      <c r="E13" s="83"/>
      <c r="F13" s="71"/>
      <c r="G13" s="66"/>
      <c r="H13" s="71"/>
      <c r="I13" s="63"/>
      <c r="J13" s="71"/>
      <c r="K13" s="102"/>
      <c r="L13" s="76"/>
      <c r="M13" s="76"/>
      <c r="N13" s="71"/>
      <c r="O13" s="71"/>
      <c r="P13" s="69">
        <v>0</v>
      </c>
      <c r="Q13" s="66">
        <f t="shared" si="4"/>
        <v>0</v>
      </c>
      <c r="R13" s="86">
        <v>0</v>
      </c>
      <c r="S13" s="87">
        <f t="shared" si="1"/>
        <v>0</v>
      </c>
      <c r="T13" s="65"/>
      <c r="U13" s="65"/>
      <c r="V13" s="87">
        <v>0</v>
      </c>
      <c r="W13" s="87">
        <f t="shared" si="2"/>
        <v>0</v>
      </c>
      <c r="X13" s="67"/>
      <c r="Y13" s="67"/>
      <c r="Z13" s="88" t="e">
        <f t="shared" si="3"/>
        <v>#DIV/0!</v>
      </c>
      <c r="AA13" s="62"/>
      <c r="AB13" s="89"/>
      <c r="AC13" s="89"/>
      <c r="AD13" s="89"/>
      <c r="AE13" s="89"/>
      <c r="AF13" s="89"/>
    </row>
    <row r="14" spans="1:45" s="64" customFormat="1" ht="54.75" hidden="1" customHeight="1">
      <c r="A14" s="63"/>
      <c r="B14" s="70"/>
      <c r="C14" s="90"/>
      <c r="D14" s="91"/>
      <c r="E14" s="91"/>
      <c r="F14" s="92"/>
      <c r="G14" s="66"/>
      <c r="H14" s="81"/>
      <c r="I14" s="63"/>
      <c r="J14" s="71"/>
      <c r="K14" s="84"/>
      <c r="L14" s="85"/>
      <c r="M14" s="76"/>
      <c r="N14" s="71"/>
      <c r="O14" s="71"/>
      <c r="P14" s="69">
        <v>0</v>
      </c>
      <c r="Q14" s="66">
        <f t="shared" si="0"/>
        <v>0</v>
      </c>
      <c r="R14" s="86">
        <v>0</v>
      </c>
      <c r="S14" s="87">
        <f t="shared" si="1"/>
        <v>0</v>
      </c>
      <c r="T14" s="65"/>
      <c r="U14" s="65"/>
      <c r="V14" s="87">
        <v>0</v>
      </c>
      <c r="W14" s="87">
        <f t="shared" si="2"/>
        <v>0</v>
      </c>
      <c r="X14" s="67"/>
      <c r="Y14" s="67"/>
      <c r="Z14" s="88" t="e">
        <f t="shared" si="3"/>
        <v>#DIV/0!</v>
      </c>
      <c r="AA14" s="62"/>
      <c r="AB14" s="89"/>
      <c r="AC14" s="89"/>
      <c r="AD14" s="89"/>
      <c r="AE14" s="89"/>
      <c r="AF14" s="89"/>
    </row>
    <row r="15" spans="1:45" s="64" customFormat="1" ht="54.75" hidden="1" customHeight="1">
      <c r="A15" s="63"/>
      <c r="B15" s="70"/>
      <c r="C15" s="70"/>
      <c r="D15" s="70"/>
      <c r="E15" s="70"/>
      <c r="F15" s="93"/>
      <c r="G15" s="66"/>
      <c r="H15" s="74"/>
      <c r="I15" s="63"/>
      <c r="J15" s="62"/>
      <c r="K15" s="62"/>
      <c r="L15" s="69"/>
      <c r="M15" s="69"/>
      <c r="N15" s="69"/>
      <c r="O15" s="69"/>
      <c r="P15" s="69">
        <v>0</v>
      </c>
      <c r="Q15" s="66">
        <f t="shared" si="0"/>
        <v>0</v>
      </c>
      <c r="R15" s="86">
        <v>0</v>
      </c>
      <c r="S15" s="87">
        <f t="shared" si="1"/>
        <v>0</v>
      </c>
      <c r="T15" s="65"/>
      <c r="U15" s="65"/>
      <c r="V15" s="87">
        <v>0</v>
      </c>
      <c r="W15" s="87">
        <f t="shared" si="2"/>
        <v>0</v>
      </c>
      <c r="X15" s="67"/>
      <c r="Y15" s="67"/>
      <c r="Z15" s="88" t="e">
        <f t="shared" si="3"/>
        <v>#DIV/0!</v>
      </c>
      <c r="AA15" s="62"/>
      <c r="AB15" s="89"/>
      <c r="AC15" s="89"/>
      <c r="AD15" s="89"/>
      <c r="AE15" s="89"/>
      <c r="AF15" s="89"/>
    </row>
    <row r="16" spans="1:45" s="64" customFormat="1" ht="54.75" hidden="1" customHeight="1">
      <c r="A16" s="63"/>
      <c r="B16" s="70"/>
      <c r="C16" s="90"/>
      <c r="D16" s="91"/>
      <c r="E16" s="91"/>
      <c r="F16" s="92"/>
      <c r="G16" s="66"/>
      <c r="H16" s="81"/>
      <c r="I16" s="63"/>
      <c r="J16" s="71"/>
      <c r="K16" s="84"/>
      <c r="L16" s="85"/>
      <c r="M16" s="76"/>
      <c r="N16" s="71"/>
      <c r="O16" s="71"/>
      <c r="P16" s="69">
        <v>0</v>
      </c>
      <c r="Q16" s="66">
        <f t="shared" si="0"/>
        <v>0</v>
      </c>
      <c r="R16" s="86">
        <v>0</v>
      </c>
      <c r="S16" s="87">
        <f t="shared" si="1"/>
        <v>0</v>
      </c>
      <c r="T16" s="65"/>
      <c r="U16" s="65"/>
      <c r="V16" s="87">
        <v>0</v>
      </c>
      <c r="W16" s="87">
        <f t="shared" si="2"/>
        <v>0</v>
      </c>
      <c r="X16" s="67"/>
      <c r="Y16" s="67"/>
      <c r="Z16" s="88" t="e">
        <f t="shared" si="3"/>
        <v>#DIV/0!</v>
      </c>
      <c r="AA16" s="62"/>
      <c r="AB16" s="89"/>
      <c r="AC16" s="89"/>
      <c r="AD16" s="89"/>
      <c r="AE16" s="89"/>
      <c r="AF16" s="89"/>
    </row>
    <row r="17" spans="1:32" s="64" customFormat="1" ht="54.75" hidden="1" customHeight="1">
      <c r="A17" s="63"/>
      <c r="B17" s="70"/>
      <c r="C17" s="90"/>
      <c r="D17" s="91"/>
      <c r="E17" s="91"/>
      <c r="F17" s="92"/>
      <c r="G17" s="66"/>
      <c r="H17" s="81"/>
      <c r="I17" s="63"/>
      <c r="J17" s="71"/>
      <c r="K17" s="84"/>
      <c r="L17" s="85"/>
      <c r="M17" s="76"/>
      <c r="N17" s="71"/>
      <c r="O17" s="71"/>
      <c r="P17" s="69">
        <v>0</v>
      </c>
      <c r="Q17" s="66">
        <f t="shared" si="0"/>
        <v>0</v>
      </c>
      <c r="R17" s="86">
        <v>0</v>
      </c>
      <c r="S17" s="87">
        <f t="shared" si="1"/>
        <v>0</v>
      </c>
      <c r="T17" s="65"/>
      <c r="U17" s="65"/>
      <c r="V17" s="87">
        <v>0</v>
      </c>
      <c r="W17" s="87">
        <f t="shared" si="2"/>
        <v>0</v>
      </c>
      <c r="X17" s="67"/>
      <c r="Y17" s="67"/>
      <c r="Z17" s="88" t="e">
        <f t="shared" si="3"/>
        <v>#DIV/0!</v>
      </c>
      <c r="AA17" s="62"/>
      <c r="AB17" s="89"/>
      <c r="AC17" s="89"/>
      <c r="AD17" s="89"/>
      <c r="AE17" s="89"/>
      <c r="AF17" s="89"/>
    </row>
    <row r="18" spans="1:32" s="64" customFormat="1" ht="54.75" hidden="1" customHeight="1">
      <c r="A18" s="63"/>
      <c r="B18" s="70"/>
      <c r="C18" s="90"/>
      <c r="D18" s="91"/>
      <c r="E18" s="91"/>
      <c r="F18" s="92"/>
      <c r="G18" s="66"/>
      <c r="H18" s="81"/>
      <c r="I18" s="63"/>
      <c r="J18" s="71"/>
      <c r="K18" s="84"/>
      <c r="L18" s="85"/>
      <c r="M18" s="76"/>
      <c r="N18" s="71"/>
      <c r="O18" s="71"/>
      <c r="P18" s="69">
        <v>0</v>
      </c>
      <c r="Q18" s="66">
        <f t="shared" si="0"/>
        <v>0</v>
      </c>
      <c r="R18" s="86">
        <v>0</v>
      </c>
      <c r="S18" s="87">
        <f t="shared" si="1"/>
        <v>0</v>
      </c>
      <c r="T18" s="65"/>
      <c r="U18" s="65"/>
      <c r="V18" s="87">
        <v>0</v>
      </c>
      <c r="W18" s="87">
        <f t="shared" si="2"/>
        <v>0</v>
      </c>
      <c r="X18" s="67"/>
      <c r="Y18" s="67"/>
      <c r="Z18" s="88" t="e">
        <f t="shared" si="3"/>
        <v>#DIV/0!</v>
      </c>
      <c r="AA18" s="62"/>
      <c r="AB18" s="89"/>
      <c r="AC18" s="89"/>
      <c r="AD18" s="89"/>
      <c r="AE18" s="89"/>
      <c r="AF18" s="89"/>
    </row>
    <row r="19" spans="1:32" s="64" customFormat="1" ht="0.75" hidden="1" customHeight="1">
      <c r="A19" s="63"/>
      <c r="B19" s="70"/>
      <c r="C19" s="90"/>
      <c r="D19" s="91"/>
      <c r="E19" s="91"/>
      <c r="F19" s="92"/>
      <c r="G19" s="66"/>
      <c r="H19" s="81"/>
      <c r="I19" s="63"/>
      <c r="J19" s="71"/>
      <c r="K19" s="84"/>
      <c r="L19" s="85"/>
      <c r="M19" s="76"/>
      <c r="N19" s="71"/>
      <c r="O19" s="71"/>
      <c r="P19" s="69">
        <v>0</v>
      </c>
      <c r="Q19" s="66">
        <f t="shared" si="0"/>
        <v>0</v>
      </c>
      <c r="R19" s="86">
        <v>0</v>
      </c>
      <c r="S19" s="87">
        <f t="shared" si="1"/>
        <v>0</v>
      </c>
      <c r="T19" s="65"/>
      <c r="U19" s="65"/>
      <c r="V19" s="87">
        <v>0</v>
      </c>
      <c r="W19" s="87">
        <f t="shared" si="2"/>
        <v>0</v>
      </c>
      <c r="X19" s="67"/>
      <c r="Y19" s="67"/>
      <c r="Z19" s="88" t="e">
        <f t="shared" si="3"/>
        <v>#DIV/0!</v>
      </c>
      <c r="AA19" s="62"/>
      <c r="AB19" s="89"/>
      <c r="AC19" s="89"/>
      <c r="AD19" s="89"/>
      <c r="AE19" s="89"/>
      <c r="AF19" s="89"/>
    </row>
    <row r="20" spans="1:32" s="64" customFormat="1" ht="33" hidden="1" customHeight="1">
      <c r="A20" s="63"/>
      <c r="B20" s="70"/>
      <c r="C20" s="90"/>
      <c r="D20" s="91"/>
      <c r="E20" s="91"/>
      <c r="F20" s="92"/>
      <c r="G20" s="66"/>
      <c r="H20" s="81"/>
      <c r="I20" s="63"/>
      <c r="J20" s="71"/>
      <c r="K20" s="84"/>
      <c r="L20" s="85"/>
      <c r="M20" s="76"/>
      <c r="N20" s="71"/>
      <c r="O20" s="71"/>
      <c r="P20" s="69"/>
      <c r="Q20" s="66"/>
      <c r="R20" s="86"/>
      <c r="S20" s="87"/>
      <c r="T20" s="65"/>
      <c r="U20" s="65"/>
      <c r="V20" s="87"/>
      <c r="W20" s="87"/>
      <c r="X20" s="67"/>
      <c r="Y20" s="67"/>
      <c r="Z20" s="88"/>
      <c r="AA20" s="62"/>
      <c r="AB20" s="89"/>
      <c r="AC20" s="89"/>
      <c r="AD20" s="89"/>
      <c r="AE20" s="89"/>
      <c r="AF20" s="89"/>
    </row>
    <row r="21" spans="1:32" s="64" customFormat="1" ht="33" hidden="1" customHeight="1">
      <c r="A21" s="63"/>
      <c r="B21" s="70"/>
      <c r="C21" s="90"/>
      <c r="D21" s="91"/>
      <c r="E21" s="91"/>
      <c r="F21" s="92"/>
      <c r="G21" s="66"/>
      <c r="H21" s="81"/>
      <c r="I21" s="63"/>
      <c r="J21" s="71"/>
      <c r="K21" s="84"/>
      <c r="L21" s="85"/>
      <c r="M21" s="76"/>
      <c r="N21" s="71"/>
      <c r="O21" s="71"/>
      <c r="P21" s="69">
        <v>0</v>
      </c>
      <c r="Q21" s="66">
        <f t="shared" ref="Q21" si="5">P21-R21</f>
        <v>0</v>
      </c>
      <c r="R21" s="86">
        <v>0</v>
      </c>
      <c r="S21" s="87">
        <f t="shared" ref="S21" si="6">P21-R21</f>
        <v>0</v>
      </c>
      <c r="T21" s="65"/>
      <c r="U21" s="65"/>
      <c r="V21" s="87">
        <v>0</v>
      </c>
      <c r="W21" s="87">
        <f t="shared" ref="W21" si="7">+V21-P21</f>
        <v>0</v>
      </c>
      <c r="X21" s="67"/>
      <c r="Y21" s="67"/>
      <c r="Z21" s="88" t="e">
        <f t="shared" ref="Z21" si="8">(P21-V21)*100/P21/100</f>
        <v>#DIV/0!</v>
      </c>
      <c r="AA21" s="62"/>
      <c r="AB21" s="89"/>
      <c r="AC21" s="89"/>
      <c r="AD21" s="89"/>
      <c r="AE21" s="89"/>
      <c r="AF21" s="89"/>
    </row>
    <row r="22" spans="1:32" s="64" customFormat="1" ht="33" hidden="1" customHeight="1">
      <c r="A22" s="63"/>
      <c r="B22" s="70"/>
      <c r="C22" s="90"/>
      <c r="D22" s="91"/>
      <c r="E22" s="91"/>
      <c r="F22" s="92"/>
      <c r="G22" s="66"/>
      <c r="H22" s="81"/>
      <c r="I22" s="63"/>
      <c r="J22" s="71"/>
      <c r="K22" s="84"/>
      <c r="L22" s="85"/>
      <c r="M22" s="76"/>
      <c r="N22" s="71"/>
      <c r="O22" s="71"/>
      <c r="P22" s="69"/>
      <c r="Q22" s="66"/>
      <c r="R22" s="86"/>
      <c r="S22" s="87"/>
      <c r="T22" s="65"/>
      <c r="U22" s="65"/>
      <c r="V22" s="87"/>
      <c r="W22" s="87"/>
      <c r="X22" s="67"/>
      <c r="Y22" s="67"/>
      <c r="Z22" s="88"/>
      <c r="AA22" s="62"/>
      <c r="AB22" s="89"/>
      <c r="AC22" s="89"/>
      <c r="AD22" s="89"/>
      <c r="AE22" s="89"/>
      <c r="AF22" s="89"/>
    </row>
    <row r="23" spans="1:32" s="64" customFormat="1" ht="54.75" hidden="1" customHeight="1">
      <c r="A23" s="63"/>
      <c r="B23" s="70"/>
      <c r="C23" s="70"/>
      <c r="D23" s="70"/>
      <c r="E23" s="70"/>
      <c r="F23" s="93"/>
      <c r="G23" s="66"/>
      <c r="H23" s="74"/>
      <c r="I23" s="63"/>
      <c r="J23" s="62"/>
      <c r="K23" s="62"/>
      <c r="L23" s="69"/>
      <c r="M23" s="69"/>
      <c r="N23" s="69"/>
      <c r="O23" s="69"/>
      <c r="P23" s="69">
        <v>0</v>
      </c>
      <c r="Q23" s="66">
        <f t="shared" si="0"/>
        <v>0</v>
      </c>
      <c r="R23" s="86">
        <v>0</v>
      </c>
      <c r="S23" s="87">
        <f t="shared" si="1"/>
        <v>0</v>
      </c>
      <c r="T23" s="65"/>
      <c r="U23" s="65"/>
      <c r="V23" s="87">
        <v>0</v>
      </c>
      <c r="W23" s="87">
        <f t="shared" si="2"/>
        <v>0</v>
      </c>
      <c r="X23" s="67"/>
      <c r="Y23" s="67"/>
      <c r="Z23" s="88" t="e">
        <f t="shared" si="3"/>
        <v>#DIV/0!</v>
      </c>
      <c r="AA23" s="62"/>
      <c r="AB23" s="89"/>
      <c r="AC23" s="89"/>
      <c r="AD23" s="89"/>
      <c r="AE23" s="89"/>
      <c r="AF23" s="89"/>
    </row>
    <row r="24" spans="1:32" s="89" customFormat="1" ht="84.75" customHeight="1">
      <c r="A24" s="63"/>
      <c r="B24" s="70"/>
      <c r="C24" s="70"/>
      <c r="D24" s="70"/>
      <c r="E24" s="70"/>
      <c r="F24" s="93"/>
      <c r="G24" s="66"/>
      <c r="H24" s="74"/>
      <c r="I24" s="63"/>
      <c r="J24" s="62"/>
      <c r="K24" s="62"/>
      <c r="L24" s="69"/>
      <c r="M24" s="69"/>
      <c r="N24" s="69"/>
      <c r="O24" s="69"/>
      <c r="P24" s="104">
        <f t="shared" ref="P24:Z24" si="9">SUM(P5:P23)</f>
        <v>2061</v>
      </c>
      <c r="Q24" s="104">
        <f t="shared" si="9"/>
        <v>-59</v>
      </c>
      <c r="R24" s="104">
        <f t="shared" si="9"/>
        <v>2120</v>
      </c>
      <c r="S24" s="104">
        <f t="shared" si="9"/>
        <v>-59</v>
      </c>
      <c r="T24" s="104">
        <f t="shared" si="9"/>
        <v>21505</v>
      </c>
      <c r="U24" s="104">
        <f t="shared" si="9"/>
        <v>0</v>
      </c>
      <c r="V24" s="104">
        <f t="shared" si="9"/>
        <v>2062</v>
      </c>
      <c r="W24" s="104">
        <f t="shared" si="9"/>
        <v>1</v>
      </c>
      <c r="X24" s="104">
        <f t="shared" si="9"/>
        <v>85500</v>
      </c>
      <c r="Y24" s="104">
        <f t="shared" si="9"/>
        <v>0</v>
      </c>
      <c r="Z24" s="104" t="e">
        <f t="shared" si="9"/>
        <v>#DIV/0!</v>
      </c>
      <c r="AA24" s="62"/>
    </row>
    <row r="25" spans="1:32" s="89" customFormat="1" ht="49.5" customHeight="1">
      <c r="A25" s="314" t="s">
        <v>181</v>
      </c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6"/>
    </row>
    <row r="26" spans="1:32" s="64" customFormat="1" ht="54.75" customHeight="1">
      <c r="A26" s="77" t="s">
        <v>1</v>
      </c>
      <c r="B26" s="94" t="s">
        <v>140</v>
      </c>
      <c r="C26" s="94" t="s">
        <v>141</v>
      </c>
      <c r="D26" s="94" t="s">
        <v>142</v>
      </c>
      <c r="E26" s="94" t="s">
        <v>143</v>
      </c>
      <c r="F26" s="78" t="s">
        <v>115</v>
      </c>
      <c r="G26" s="77" t="s">
        <v>117</v>
      </c>
      <c r="H26" s="73" t="s">
        <v>48</v>
      </c>
      <c r="I26" s="77" t="s">
        <v>2</v>
      </c>
      <c r="J26" s="77" t="s">
        <v>3</v>
      </c>
      <c r="K26" s="77" t="s">
        <v>4</v>
      </c>
      <c r="L26" s="95" t="s">
        <v>5</v>
      </c>
      <c r="M26" s="68" t="s">
        <v>6</v>
      </c>
      <c r="N26" s="77" t="s">
        <v>7</v>
      </c>
      <c r="O26" s="68" t="s">
        <v>8</v>
      </c>
      <c r="P26" s="68" t="s">
        <v>9</v>
      </c>
      <c r="Q26" s="68" t="s">
        <v>10</v>
      </c>
      <c r="R26" s="68" t="s">
        <v>11</v>
      </c>
      <c r="S26" s="68" t="s">
        <v>12</v>
      </c>
      <c r="T26" s="68" t="s">
        <v>119</v>
      </c>
      <c r="U26" s="68" t="s">
        <v>13</v>
      </c>
      <c r="V26" s="68" t="s">
        <v>14</v>
      </c>
      <c r="W26" s="68" t="s">
        <v>15</v>
      </c>
      <c r="X26" s="77" t="s">
        <v>119</v>
      </c>
      <c r="Y26" s="68" t="s">
        <v>118</v>
      </c>
      <c r="Z26" s="96" t="s">
        <v>16</v>
      </c>
      <c r="AA26" s="62" t="s">
        <v>17</v>
      </c>
      <c r="AB26" s="89"/>
      <c r="AC26" s="89"/>
      <c r="AD26" s="89"/>
      <c r="AE26" s="89"/>
      <c r="AF26" s="89"/>
    </row>
    <row r="27" spans="1:32" s="64" customFormat="1" ht="81.75" customHeight="1">
      <c r="A27" s="63"/>
      <c r="B27" s="70">
        <v>46152</v>
      </c>
      <c r="C27" s="82">
        <v>46165</v>
      </c>
      <c r="D27" s="83">
        <v>46178</v>
      </c>
      <c r="E27" s="83">
        <v>46184</v>
      </c>
      <c r="F27" s="71" t="s">
        <v>38</v>
      </c>
      <c r="G27" s="66" t="s">
        <v>62</v>
      </c>
      <c r="H27" s="71" t="s">
        <v>39</v>
      </c>
      <c r="I27" s="63"/>
      <c r="J27" s="71" t="s">
        <v>18</v>
      </c>
      <c r="K27" s="102" t="s">
        <v>295</v>
      </c>
      <c r="L27" s="76">
        <v>240</v>
      </c>
      <c r="M27" s="76" t="s">
        <v>35</v>
      </c>
      <c r="N27" s="100" t="s">
        <v>57</v>
      </c>
      <c r="O27" s="71" t="s">
        <v>61</v>
      </c>
      <c r="P27" s="76">
        <v>271</v>
      </c>
      <c r="Q27" s="66">
        <f t="shared" ref="Q27:Q77" si="10">P27-R27</f>
        <v>-11</v>
      </c>
      <c r="R27" s="86">
        <f>282</f>
        <v>282</v>
      </c>
      <c r="S27" s="87">
        <f t="shared" ref="S27:S77" si="11">P27-R27</f>
        <v>-11</v>
      </c>
      <c r="T27" s="65">
        <v>4040</v>
      </c>
      <c r="U27" s="65" t="s">
        <v>352</v>
      </c>
      <c r="V27" s="87">
        <f>253</f>
        <v>253</v>
      </c>
      <c r="W27" s="101">
        <f t="shared" ref="W27:W77" si="12">+V27-P27</f>
        <v>-18</v>
      </c>
      <c r="X27" s="67">
        <v>41349</v>
      </c>
      <c r="Y27" s="67" t="s">
        <v>431</v>
      </c>
      <c r="Z27" s="105">
        <f t="shared" ref="Z27:Z78" si="13">(P27-V27)*100/P27/100</f>
        <v>6.6420664206642069E-2</v>
      </c>
      <c r="AA27" s="62" t="s">
        <v>347</v>
      </c>
      <c r="AB27" s="89"/>
      <c r="AC27" s="89"/>
      <c r="AD27" s="89"/>
      <c r="AE27" s="89"/>
      <c r="AF27" s="89"/>
    </row>
    <row r="28" spans="1:32" s="64" customFormat="1" ht="86.25" customHeight="1">
      <c r="A28" s="63"/>
      <c r="B28" s="70">
        <v>46152</v>
      </c>
      <c r="C28" s="82">
        <v>46165</v>
      </c>
      <c r="D28" s="83">
        <v>46178</v>
      </c>
      <c r="E28" s="83">
        <v>46184</v>
      </c>
      <c r="F28" s="71" t="s">
        <v>38</v>
      </c>
      <c r="G28" s="66" t="s">
        <v>62</v>
      </c>
      <c r="H28" s="71" t="s">
        <v>39</v>
      </c>
      <c r="I28" s="63"/>
      <c r="J28" s="71" t="s">
        <v>18</v>
      </c>
      <c r="K28" s="102" t="s">
        <v>295</v>
      </c>
      <c r="L28" s="76">
        <v>240</v>
      </c>
      <c r="M28" s="76" t="s">
        <v>35</v>
      </c>
      <c r="N28" s="100" t="s">
        <v>165</v>
      </c>
      <c r="O28" s="71" t="s">
        <v>61</v>
      </c>
      <c r="P28" s="76">
        <v>271</v>
      </c>
      <c r="Q28" s="66">
        <f t="shared" si="10"/>
        <v>-298</v>
      </c>
      <c r="R28" s="86">
        <f>285+284</f>
        <v>569</v>
      </c>
      <c r="S28" s="87">
        <f t="shared" si="11"/>
        <v>-298</v>
      </c>
      <c r="T28" s="65" t="s">
        <v>592</v>
      </c>
      <c r="U28" s="65" t="s">
        <v>593</v>
      </c>
      <c r="V28" s="87">
        <f>283</f>
        <v>283</v>
      </c>
      <c r="W28" s="87">
        <f t="shared" si="12"/>
        <v>12</v>
      </c>
      <c r="X28" s="67">
        <v>1585</v>
      </c>
      <c r="Y28" s="67" t="s">
        <v>599</v>
      </c>
      <c r="Z28" s="88">
        <f t="shared" si="13"/>
        <v>-4.4280442804428048E-2</v>
      </c>
      <c r="AA28" s="62" t="s">
        <v>622</v>
      </c>
      <c r="AB28" s="89"/>
      <c r="AC28" s="89"/>
      <c r="AD28" s="89"/>
      <c r="AE28" s="89"/>
      <c r="AF28" s="89"/>
    </row>
    <row r="29" spans="1:32" s="64" customFormat="1" ht="144.75" customHeight="1">
      <c r="A29" s="63"/>
      <c r="B29" s="70">
        <v>46157</v>
      </c>
      <c r="C29" s="82">
        <v>46181</v>
      </c>
      <c r="D29" s="83">
        <v>46181</v>
      </c>
      <c r="E29" s="83">
        <v>46189</v>
      </c>
      <c r="F29" s="66" t="s">
        <v>23</v>
      </c>
      <c r="G29" s="66" t="s">
        <v>116</v>
      </c>
      <c r="H29" s="71" t="s">
        <v>24</v>
      </c>
      <c r="I29" s="63"/>
      <c r="J29" s="71" t="s">
        <v>18</v>
      </c>
      <c r="K29" s="102">
        <v>47525</v>
      </c>
      <c r="L29" s="76">
        <v>240</v>
      </c>
      <c r="M29" s="76" t="s">
        <v>42</v>
      </c>
      <c r="N29" s="100" t="s">
        <v>296</v>
      </c>
      <c r="O29" s="71" t="s">
        <v>41</v>
      </c>
      <c r="P29" s="76">
        <v>324</v>
      </c>
      <c r="Q29" s="66">
        <f t="shared" si="10"/>
        <v>2</v>
      </c>
      <c r="R29" s="86">
        <f>322</f>
        <v>322</v>
      </c>
      <c r="S29" s="87">
        <f t="shared" si="11"/>
        <v>2</v>
      </c>
      <c r="T29" s="65">
        <v>4793</v>
      </c>
      <c r="U29" s="65" t="s">
        <v>465</v>
      </c>
      <c r="V29" s="87">
        <f>304</f>
        <v>304</v>
      </c>
      <c r="W29" s="101">
        <f t="shared" si="12"/>
        <v>-20</v>
      </c>
      <c r="X29" s="67">
        <v>221759</v>
      </c>
      <c r="Y29" s="67" t="s">
        <v>627</v>
      </c>
      <c r="Z29" s="105">
        <f t="shared" si="13"/>
        <v>6.1728395061728392E-2</v>
      </c>
      <c r="AA29" s="62" t="s">
        <v>557</v>
      </c>
      <c r="AB29" s="89"/>
      <c r="AC29" s="89"/>
      <c r="AD29" s="89"/>
      <c r="AE29" s="89"/>
      <c r="AF29" s="89"/>
    </row>
    <row r="30" spans="1:32" s="64" customFormat="1" ht="285" customHeight="1">
      <c r="A30" s="63"/>
      <c r="B30" s="70">
        <v>46157</v>
      </c>
      <c r="C30" s="82">
        <v>46181</v>
      </c>
      <c r="D30" s="83">
        <v>46181</v>
      </c>
      <c r="E30" s="83">
        <v>46189</v>
      </c>
      <c r="F30" s="66" t="s">
        <v>235</v>
      </c>
      <c r="G30" s="66" t="s">
        <v>116</v>
      </c>
      <c r="H30" s="71" t="s">
        <v>24</v>
      </c>
      <c r="I30" s="63"/>
      <c r="J30" s="71" t="s">
        <v>18</v>
      </c>
      <c r="K30" s="102">
        <v>47525</v>
      </c>
      <c r="L30" s="76">
        <v>240</v>
      </c>
      <c r="M30" s="76" t="s">
        <v>42</v>
      </c>
      <c r="N30" s="100" t="s">
        <v>297</v>
      </c>
      <c r="O30" s="71" t="s">
        <v>41</v>
      </c>
      <c r="P30" s="76">
        <v>401</v>
      </c>
      <c r="Q30" s="66">
        <f t="shared" si="10"/>
        <v>-4</v>
      </c>
      <c r="R30" s="86">
        <f>405</f>
        <v>405</v>
      </c>
      <c r="S30" s="87">
        <f t="shared" si="11"/>
        <v>-4</v>
      </c>
      <c r="T30" s="65">
        <v>4793</v>
      </c>
      <c r="U30" s="65" t="s">
        <v>465</v>
      </c>
      <c r="V30" s="87">
        <f>400</f>
        <v>400</v>
      </c>
      <c r="W30" s="87">
        <f t="shared" si="12"/>
        <v>-1</v>
      </c>
      <c r="X30" s="67">
        <v>221732</v>
      </c>
      <c r="Y30" s="67" t="s">
        <v>613</v>
      </c>
      <c r="Z30" s="88">
        <f t="shared" si="13"/>
        <v>2.4937655860349127E-3</v>
      </c>
      <c r="AA30" s="62" t="s">
        <v>558</v>
      </c>
      <c r="AB30" s="89"/>
      <c r="AC30" s="89"/>
      <c r="AD30" s="89"/>
      <c r="AE30" s="89"/>
      <c r="AF30" s="89"/>
    </row>
    <row r="31" spans="1:32" s="64" customFormat="1" ht="129" customHeight="1">
      <c r="A31" s="63"/>
      <c r="B31" s="70">
        <v>46158</v>
      </c>
      <c r="C31" s="82">
        <v>46179</v>
      </c>
      <c r="D31" s="83">
        <v>46179</v>
      </c>
      <c r="E31" s="83">
        <v>46185</v>
      </c>
      <c r="F31" s="66" t="s">
        <v>23</v>
      </c>
      <c r="G31" s="66" t="s">
        <v>116</v>
      </c>
      <c r="H31" s="71" t="s">
        <v>24</v>
      </c>
      <c r="I31" s="63"/>
      <c r="J31" s="71" t="s">
        <v>18</v>
      </c>
      <c r="K31" s="102">
        <v>47524</v>
      </c>
      <c r="L31" s="76">
        <v>240</v>
      </c>
      <c r="M31" s="76" t="s">
        <v>42</v>
      </c>
      <c r="N31" s="100" t="s">
        <v>296</v>
      </c>
      <c r="O31" s="71" t="s">
        <v>41</v>
      </c>
      <c r="P31" s="76">
        <v>254</v>
      </c>
      <c r="Q31" s="66">
        <f t="shared" si="10"/>
        <v>2</v>
      </c>
      <c r="R31" s="86">
        <f>252</f>
        <v>252</v>
      </c>
      <c r="S31" s="87">
        <f t="shared" si="11"/>
        <v>2</v>
      </c>
      <c r="T31" s="65">
        <v>4793</v>
      </c>
      <c r="U31" s="65" t="s">
        <v>465</v>
      </c>
      <c r="V31" s="87">
        <f>250</f>
        <v>250</v>
      </c>
      <c r="W31" s="87">
        <f t="shared" si="12"/>
        <v>-4</v>
      </c>
      <c r="X31" s="67">
        <v>221732</v>
      </c>
      <c r="Y31" s="67" t="s">
        <v>613</v>
      </c>
      <c r="Z31" s="88">
        <f t="shared" si="13"/>
        <v>1.5748031496062992E-2</v>
      </c>
      <c r="AA31" s="62" t="s">
        <v>559</v>
      </c>
      <c r="AB31" s="89"/>
      <c r="AC31" s="89"/>
      <c r="AD31" s="89"/>
      <c r="AE31" s="89"/>
      <c r="AF31" s="89"/>
    </row>
    <row r="32" spans="1:32" s="64" customFormat="1" ht="114.75" customHeight="1">
      <c r="A32" s="63"/>
      <c r="B32" s="70">
        <v>46158</v>
      </c>
      <c r="C32" s="82">
        <v>46179</v>
      </c>
      <c r="D32" s="83">
        <v>46179</v>
      </c>
      <c r="E32" s="83">
        <v>46185</v>
      </c>
      <c r="F32" s="71" t="s">
        <v>235</v>
      </c>
      <c r="G32" s="66" t="s">
        <v>116</v>
      </c>
      <c r="H32" s="71" t="s">
        <v>24</v>
      </c>
      <c r="I32" s="63"/>
      <c r="J32" s="71" t="s">
        <v>18</v>
      </c>
      <c r="K32" s="102">
        <v>47524</v>
      </c>
      <c r="L32" s="76">
        <v>240</v>
      </c>
      <c r="M32" s="76" t="s">
        <v>42</v>
      </c>
      <c r="N32" s="100" t="s">
        <v>297</v>
      </c>
      <c r="O32" s="71" t="s">
        <v>41</v>
      </c>
      <c r="P32" s="76">
        <v>254</v>
      </c>
      <c r="Q32" s="66">
        <f t="shared" si="10"/>
        <v>5</v>
      </c>
      <c r="R32" s="86">
        <f>249</f>
        <v>249</v>
      </c>
      <c r="S32" s="101">
        <f t="shared" si="11"/>
        <v>5</v>
      </c>
      <c r="T32" s="65">
        <v>69</v>
      </c>
      <c r="U32" s="65" t="s">
        <v>569</v>
      </c>
      <c r="V32" s="87">
        <f>247</f>
        <v>247</v>
      </c>
      <c r="W32" s="87">
        <f t="shared" si="12"/>
        <v>-7</v>
      </c>
      <c r="X32" s="67">
        <v>221732</v>
      </c>
      <c r="Y32" s="67" t="s">
        <v>613</v>
      </c>
      <c r="Z32" s="88">
        <f t="shared" si="13"/>
        <v>2.7559055118110236E-2</v>
      </c>
      <c r="AA32" s="62" t="s">
        <v>570</v>
      </c>
      <c r="AB32" s="89"/>
      <c r="AC32" s="89"/>
      <c r="AD32" s="89"/>
      <c r="AE32" s="89"/>
      <c r="AF32" s="89"/>
    </row>
    <row r="33" spans="1:32" s="64" customFormat="1" ht="185.25" customHeight="1">
      <c r="A33" s="63"/>
      <c r="B33" s="70">
        <v>46157</v>
      </c>
      <c r="C33" s="82">
        <v>46183</v>
      </c>
      <c r="D33" s="83">
        <v>46179</v>
      </c>
      <c r="E33" s="83">
        <v>46185</v>
      </c>
      <c r="F33" s="71" t="s">
        <v>235</v>
      </c>
      <c r="G33" s="66" t="s">
        <v>116</v>
      </c>
      <c r="H33" s="71" t="s">
        <v>24</v>
      </c>
      <c r="I33" s="63"/>
      <c r="J33" s="71" t="s">
        <v>18</v>
      </c>
      <c r="K33" s="102">
        <v>47532</v>
      </c>
      <c r="L33" s="76">
        <v>240</v>
      </c>
      <c r="M33" s="76" t="s">
        <v>42</v>
      </c>
      <c r="N33" s="100" t="s">
        <v>104</v>
      </c>
      <c r="O33" s="71" t="s">
        <v>41</v>
      </c>
      <c r="P33" s="76">
        <v>137</v>
      </c>
      <c r="Q33" s="66">
        <f t="shared" si="10"/>
        <v>-1</v>
      </c>
      <c r="R33" s="86">
        <f>105+17+16</f>
        <v>138</v>
      </c>
      <c r="S33" s="87">
        <f t="shared" si="11"/>
        <v>-1</v>
      </c>
      <c r="T33" s="65" t="s">
        <v>590</v>
      </c>
      <c r="U33" s="65" t="s">
        <v>591</v>
      </c>
      <c r="V33" s="87">
        <f>94+15+16+9</f>
        <v>134</v>
      </c>
      <c r="W33" s="87">
        <f t="shared" si="12"/>
        <v>-3</v>
      </c>
      <c r="X33" s="67" t="s">
        <v>690</v>
      </c>
      <c r="Y33" s="67" t="s">
        <v>691</v>
      </c>
      <c r="Z33" s="88">
        <f t="shared" si="13"/>
        <v>2.1897810218978103E-2</v>
      </c>
      <c r="AA33" s="62" t="s">
        <v>692</v>
      </c>
      <c r="AB33" s="89"/>
      <c r="AC33" s="89"/>
      <c r="AD33" s="89"/>
      <c r="AE33" s="89"/>
      <c r="AF33" s="89"/>
    </row>
    <row r="34" spans="1:32" s="64" customFormat="1" ht="207" customHeight="1">
      <c r="A34" s="63"/>
      <c r="B34" s="70">
        <v>46157</v>
      </c>
      <c r="C34" s="82">
        <v>46183</v>
      </c>
      <c r="D34" s="83">
        <v>46179</v>
      </c>
      <c r="E34" s="83">
        <v>46185</v>
      </c>
      <c r="F34" s="71" t="s">
        <v>235</v>
      </c>
      <c r="G34" s="66" t="s">
        <v>116</v>
      </c>
      <c r="H34" s="71" t="s">
        <v>24</v>
      </c>
      <c r="I34" s="63"/>
      <c r="J34" s="71" t="s">
        <v>18</v>
      </c>
      <c r="K34" s="102">
        <v>47532</v>
      </c>
      <c r="L34" s="76">
        <v>240</v>
      </c>
      <c r="M34" s="76" t="s">
        <v>42</v>
      </c>
      <c r="N34" s="100" t="s">
        <v>297</v>
      </c>
      <c r="O34" s="71" t="s">
        <v>41</v>
      </c>
      <c r="P34" s="76">
        <v>145</v>
      </c>
      <c r="Q34" s="66">
        <f t="shared" si="10"/>
        <v>-10</v>
      </c>
      <c r="R34" s="86">
        <f>134-6+6+21</f>
        <v>155</v>
      </c>
      <c r="S34" s="101">
        <f t="shared" si="11"/>
        <v>-10</v>
      </c>
      <c r="T34" s="65" t="s">
        <v>683</v>
      </c>
      <c r="U34" s="65" t="s">
        <v>684</v>
      </c>
      <c r="V34" s="87">
        <f>18+117</f>
        <v>135</v>
      </c>
      <c r="W34" s="101">
        <f t="shared" si="12"/>
        <v>-10</v>
      </c>
      <c r="X34" s="67">
        <v>222015</v>
      </c>
      <c r="Y34" s="67" t="s">
        <v>682</v>
      </c>
      <c r="Z34" s="153">
        <f t="shared" si="13"/>
        <v>6.8965517241379309E-2</v>
      </c>
      <c r="AA34" s="62" t="s">
        <v>685</v>
      </c>
      <c r="AB34" s="89"/>
      <c r="AC34" s="89"/>
      <c r="AD34" s="89"/>
      <c r="AE34" s="89"/>
      <c r="AF34" s="89"/>
    </row>
    <row r="35" spans="1:32" s="64" customFormat="1" ht="143.25" customHeight="1">
      <c r="A35" s="63"/>
      <c r="B35" s="70">
        <v>46157</v>
      </c>
      <c r="C35" s="82">
        <v>46178</v>
      </c>
      <c r="D35" s="83">
        <v>46179</v>
      </c>
      <c r="E35" s="83">
        <v>46185</v>
      </c>
      <c r="F35" s="97" t="s">
        <v>23</v>
      </c>
      <c r="G35" s="66" t="s">
        <v>62</v>
      </c>
      <c r="H35" s="71" t="s">
        <v>128</v>
      </c>
      <c r="I35" s="63"/>
      <c r="J35" s="71" t="s">
        <v>18</v>
      </c>
      <c r="K35" s="102">
        <v>47660</v>
      </c>
      <c r="L35" s="76">
        <v>280</v>
      </c>
      <c r="M35" s="76" t="s">
        <v>56</v>
      </c>
      <c r="N35" s="100" t="s">
        <v>298</v>
      </c>
      <c r="O35" s="71" t="s">
        <v>299</v>
      </c>
      <c r="P35" s="76">
        <v>242</v>
      </c>
      <c r="Q35" s="66">
        <f t="shared" si="10"/>
        <v>-24</v>
      </c>
      <c r="R35" s="86">
        <f>19+247</f>
        <v>266</v>
      </c>
      <c r="S35" s="87">
        <f t="shared" si="11"/>
        <v>-24</v>
      </c>
      <c r="T35" s="65" t="s">
        <v>423</v>
      </c>
      <c r="U35" s="65" t="s">
        <v>424</v>
      </c>
      <c r="V35" s="87">
        <f>243</f>
        <v>243</v>
      </c>
      <c r="W35" s="87">
        <f t="shared" si="12"/>
        <v>1</v>
      </c>
      <c r="X35" s="67">
        <v>41458</v>
      </c>
      <c r="Y35" s="67" t="s">
        <v>464</v>
      </c>
      <c r="Z35" s="88">
        <f t="shared" si="13"/>
        <v>-4.1322314049586778E-3</v>
      </c>
      <c r="AA35" s="62" t="s">
        <v>408</v>
      </c>
      <c r="AB35" s="89"/>
      <c r="AC35" s="89"/>
      <c r="AD35" s="89"/>
      <c r="AE35" s="89"/>
      <c r="AF35" s="89"/>
    </row>
    <row r="36" spans="1:32" s="64" customFormat="1" ht="95.25" customHeight="1">
      <c r="A36" s="63"/>
      <c r="B36" s="70">
        <v>46157</v>
      </c>
      <c r="C36" s="82">
        <v>46178</v>
      </c>
      <c r="D36" s="83">
        <v>46179</v>
      </c>
      <c r="E36" s="83">
        <v>46185</v>
      </c>
      <c r="F36" s="71" t="s">
        <v>38</v>
      </c>
      <c r="G36" s="66" t="s">
        <v>62</v>
      </c>
      <c r="H36" s="71" t="s">
        <v>128</v>
      </c>
      <c r="I36" s="63"/>
      <c r="J36" s="71" t="s">
        <v>18</v>
      </c>
      <c r="K36" s="102">
        <v>47660</v>
      </c>
      <c r="L36" s="76">
        <v>280</v>
      </c>
      <c r="M36" s="76" t="s">
        <v>56</v>
      </c>
      <c r="N36" s="100" t="s">
        <v>300</v>
      </c>
      <c r="O36" s="71" t="s">
        <v>299</v>
      </c>
      <c r="P36" s="76">
        <v>330</v>
      </c>
      <c r="Q36" s="66">
        <f t="shared" si="10"/>
        <v>-20</v>
      </c>
      <c r="R36" s="86">
        <f>332+18</f>
        <v>350</v>
      </c>
      <c r="S36" s="87">
        <f t="shared" si="11"/>
        <v>-20</v>
      </c>
      <c r="T36" s="65" t="s">
        <v>546</v>
      </c>
      <c r="U36" s="65" t="s">
        <v>547</v>
      </c>
      <c r="V36" s="87">
        <f>145+149+27+19</f>
        <v>340</v>
      </c>
      <c r="W36" s="87">
        <f t="shared" si="12"/>
        <v>10</v>
      </c>
      <c r="X36" s="67" t="s">
        <v>548</v>
      </c>
      <c r="Y36" s="67" t="s">
        <v>549</v>
      </c>
      <c r="Z36" s="88">
        <f t="shared" si="13"/>
        <v>-3.0303030303030304E-2</v>
      </c>
      <c r="AA36" s="62" t="s">
        <v>545</v>
      </c>
      <c r="AB36" s="89"/>
      <c r="AC36" s="89"/>
      <c r="AD36" s="89"/>
      <c r="AE36" s="89"/>
      <c r="AF36" s="89"/>
    </row>
    <row r="37" spans="1:32" s="64" customFormat="1" ht="141.75" customHeight="1">
      <c r="A37" s="63"/>
      <c r="B37" s="70">
        <v>46159</v>
      </c>
      <c r="C37" s="82">
        <v>46181</v>
      </c>
      <c r="D37" s="83">
        <v>46182</v>
      </c>
      <c r="E37" s="83">
        <v>46188</v>
      </c>
      <c r="F37" s="71" t="s">
        <v>235</v>
      </c>
      <c r="G37" s="66" t="s">
        <v>105</v>
      </c>
      <c r="H37" s="71" t="s">
        <v>29</v>
      </c>
      <c r="I37" s="63"/>
      <c r="J37" s="71" t="s">
        <v>18</v>
      </c>
      <c r="K37" s="102">
        <v>47595</v>
      </c>
      <c r="L37" s="76">
        <v>180</v>
      </c>
      <c r="M37" s="76" t="s">
        <v>35</v>
      </c>
      <c r="N37" s="100" t="s">
        <v>304</v>
      </c>
      <c r="O37" s="71" t="s">
        <v>52</v>
      </c>
      <c r="P37" s="76">
        <v>174</v>
      </c>
      <c r="Q37" s="66">
        <f t="shared" si="10"/>
        <v>-13</v>
      </c>
      <c r="R37" s="86">
        <f>187</f>
        <v>187</v>
      </c>
      <c r="S37" s="87">
        <f t="shared" si="11"/>
        <v>-13</v>
      </c>
      <c r="T37" s="65">
        <v>4747</v>
      </c>
      <c r="U37" s="65" t="s">
        <v>464</v>
      </c>
      <c r="V37" s="87">
        <f>174</f>
        <v>174</v>
      </c>
      <c r="W37" s="87">
        <f t="shared" si="12"/>
        <v>0</v>
      </c>
      <c r="X37" s="67">
        <v>1604</v>
      </c>
      <c r="Y37" s="67" t="s">
        <v>466</v>
      </c>
      <c r="Z37" s="88">
        <f t="shared" si="13"/>
        <v>0</v>
      </c>
      <c r="AA37" s="62" t="s">
        <v>512</v>
      </c>
      <c r="AB37" s="89"/>
      <c r="AC37" s="89"/>
      <c r="AD37" s="89"/>
      <c r="AE37" s="89"/>
      <c r="AF37" s="89"/>
    </row>
    <row r="38" spans="1:32" s="64" customFormat="1" ht="90.75" customHeight="1">
      <c r="A38" s="63"/>
      <c r="B38" s="70">
        <v>46162</v>
      </c>
      <c r="C38" s="82">
        <v>46181</v>
      </c>
      <c r="D38" s="83">
        <v>46183</v>
      </c>
      <c r="E38" s="83">
        <v>46189</v>
      </c>
      <c r="F38" s="71" t="s">
        <v>235</v>
      </c>
      <c r="G38" s="66" t="s">
        <v>105</v>
      </c>
      <c r="H38" s="71" t="s">
        <v>29</v>
      </c>
      <c r="I38" s="63"/>
      <c r="J38" s="71" t="s">
        <v>18</v>
      </c>
      <c r="K38" s="102">
        <v>47596</v>
      </c>
      <c r="L38" s="76">
        <v>180</v>
      </c>
      <c r="M38" s="76" t="s">
        <v>35</v>
      </c>
      <c r="N38" s="100" t="s">
        <v>304</v>
      </c>
      <c r="O38" s="71" t="s">
        <v>52</v>
      </c>
      <c r="P38" s="76">
        <v>157</v>
      </c>
      <c r="Q38" s="66">
        <f t="shared" si="10"/>
        <v>-4</v>
      </c>
      <c r="R38" s="86">
        <f>161</f>
        <v>161</v>
      </c>
      <c r="S38" s="87">
        <f t="shared" si="11"/>
        <v>-4</v>
      </c>
      <c r="T38" s="65">
        <v>4747</v>
      </c>
      <c r="U38" s="65" t="s">
        <v>464</v>
      </c>
      <c r="V38" s="87">
        <f>160</f>
        <v>160</v>
      </c>
      <c r="W38" s="87">
        <f t="shared" si="12"/>
        <v>3</v>
      </c>
      <c r="X38" s="67">
        <v>1604</v>
      </c>
      <c r="Y38" s="67" t="s">
        <v>466</v>
      </c>
      <c r="Z38" s="88">
        <f t="shared" si="13"/>
        <v>-1.9108280254777069E-2</v>
      </c>
      <c r="AA38" s="62" t="s">
        <v>514</v>
      </c>
      <c r="AB38" s="89"/>
      <c r="AC38" s="89"/>
      <c r="AD38" s="89"/>
      <c r="AE38" s="89"/>
      <c r="AF38" s="89"/>
    </row>
    <row r="39" spans="1:32" s="64" customFormat="1" ht="140.25" customHeight="1">
      <c r="A39" s="63"/>
      <c r="B39" s="70">
        <v>46162</v>
      </c>
      <c r="C39" s="82">
        <v>46150</v>
      </c>
      <c r="D39" s="83">
        <v>46183</v>
      </c>
      <c r="E39" s="83">
        <v>46188</v>
      </c>
      <c r="F39" s="71" t="s">
        <v>235</v>
      </c>
      <c r="G39" s="66" t="s">
        <v>105</v>
      </c>
      <c r="H39" s="71" t="s">
        <v>29</v>
      </c>
      <c r="I39" s="63"/>
      <c r="J39" s="71" t="s">
        <v>18</v>
      </c>
      <c r="K39" s="102">
        <v>47597</v>
      </c>
      <c r="L39" s="76">
        <v>180</v>
      </c>
      <c r="M39" s="76" t="s">
        <v>35</v>
      </c>
      <c r="N39" s="100" t="s">
        <v>304</v>
      </c>
      <c r="O39" s="71" t="s">
        <v>52</v>
      </c>
      <c r="P39" s="76">
        <v>131</v>
      </c>
      <c r="Q39" s="66">
        <f t="shared" si="10"/>
        <v>-14</v>
      </c>
      <c r="R39" s="86">
        <f>145</f>
        <v>145</v>
      </c>
      <c r="S39" s="87">
        <f t="shared" si="11"/>
        <v>-14</v>
      </c>
      <c r="T39" s="65">
        <v>4747</v>
      </c>
      <c r="U39" s="65" t="s">
        <v>464</v>
      </c>
      <c r="V39" s="87">
        <f>131</f>
        <v>131</v>
      </c>
      <c r="W39" s="87">
        <f t="shared" si="12"/>
        <v>0</v>
      </c>
      <c r="X39" s="67">
        <v>1604</v>
      </c>
      <c r="Y39" s="67" t="s">
        <v>466</v>
      </c>
      <c r="Z39" s="88">
        <f t="shared" si="13"/>
        <v>0</v>
      </c>
      <c r="AA39" s="62" t="s">
        <v>513</v>
      </c>
      <c r="AB39" s="89"/>
      <c r="AC39" s="89"/>
      <c r="AD39" s="89"/>
      <c r="AE39" s="89"/>
      <c r="AF39" s="89"/>
    </row>
    <row r="40" spans="1:32" s="64" customFormat="1" ht="208.5" customHeight="1">
      <c r="A40" s="63"/>
      <c r="B40" s="99">
        <v>46157</v>
      </c>
      <c r="C40" s="82">
        <v>46183</v>
      </c>
      <c r="D40" s="83">
        <v>46185</v>
      </c>
      <c r="E40" s="83">
        <v>46191</v>
      </c>
      <c r="F40" s="71" t="s">
        <v>44</v>
      </c>
      <c r="G40" s="66" t="s">
        <v>105</v>
      </c>
      <c r="H40" s="71" t="s">
        <v>51</v>
      </c>
      <c r="I40" s="63"/>
      <c r="J40" s="71" t="s">
        <v>18</v>
      </c>
      <c r="K40" s="102">
        <v>47589</v>
      </c>
      <c r="L40" s="76">
        <v>240</v>
      </c>
      <c r="M40" s="76" t="s">
        <v>35</v>
      </c>
      <c r="N40" s="100" t="s">
        <v>303</v>
      </c>
      <c r="O40" s="71" t="s">
        <v>61</v>
      </c>
      <c r="P40" s="76">
        <v>82</v>
      </c>
      <c r="Q40" s="66">
        <f t="shared" si="10"/>
        <v>-2</v>
      </c>
      <c r="R40" s="86">
        <f>84</f>
        <v>84</v>
      </c>
      <c r="S40" s="87">
        <f t="shared" si="11"/>
        <v>-2</v>
      </c>
      <c r="T40" s="65">
        <v>54</v>
      </c>
      <c r="U40" s="65" t="s">
        <v>465</v>
      </c>
      <c r="V40" s="87">
        <f>81</f>
        <v>81</v>
      </c>
      <c r="W40" s="87">
        <f t="shared" si="12"/>
        <v>-1</v>
      </c>
      <c r="X40" s="67">
        <v>1622</v>
      </c>
      <c r="Y40" s="67" t="s">
        <v>627</v>
      </c>
      <c r="Z40" s="88">
        <f t="shared" si="13"/>
        <v>1.2195121951219513E-2</v>
      </c>
      <c r="AA40" s="62" t="s">
        <v>572</v>
      </c>
      <c r="AB40" s="89"/>
      <c r="AC40" s="89"/>
      <c r="AD40" s="89"/>
      <c r="AE40" s="89"/>
      <c r="AF40" s="89"/>
    </row>
    <row r="41" spans="1:32" s="64" customFormat="1" ht="76.5" customHeight="1">
      <c r="A41" s="63"/>
      <c r="B41" s="99">
        <v>46157</v>
      </c>
      <c r="C41" s="82">
        <v>46183</v>
      </c>
      <c r="D41" s="83">
        <v>46185</v>
      </c>
      <c r="E41" s="83">
        <v>46191</v>
      </c>
      <c r="F41" s="71" t="s">
        <v>235</v>
      </c>
      <c r="G41" s="66" t="s">
        <v>105</v>
      </c>
      <c r="H41" s="71" t="s">
        <v>51</v>
      </c>
      <c r="I41" s="63"/>
      <c r="J41" s="71" t="s">
        <v>18</v>
      </c>
      <c r="K41" s="102">
        <v>47589</v>
      </c>
      <c r="L41" s="76">
        <v>240</v>
      </c>
      <c r="M41" s="76" t="s">
        <v>35</v>
      </c>
      <c r="N41" s="100" t="s">
        <v>104</v>
      </c>
      <c r="O41" s="71" t="s">
        <v>61</v>
      </c>
      <c r="P41" s="76">
        <v>82</v>
      </c>
      <c r="Q41" s="66">
        <f t="shared" si="10"/>
        <v>-1</v>
      </c>
      <c r="R41" s="86">
        <f>83</f>
        <v>83</v>
      </c>
      <c r="S41" s="87">
        <f t="shared" si="11"/>
        <v>-1</v>
      </c>
      <c r="T41" s="65">
        <v>4737</v>
      </c>
      <c r="U41" s="65" t="s">
        <v>462</v>
      </c>
      <c r="V41" s="87">
        <f>80</f>
        <v>80</v>
      </c>
      <c r="W41" s="87">
        <f t="shared" si="12"/>
        <v>-2</v>
      </c>
      <c r="X41" s="67">
        <v>1629</v>
      </c>
      <c r="Y41" s="67" t="s">
        <v>651</v>
      </c>
      <c r="Z41" s="88">
        <f t="shared" si="13"/>
        <v>2.4390243902439025E-2</v>
      </c>
      <c r="AA41" s="62" t="s">
        <v>528</v>
      </c>
      <c r="AB41" s="89"/>
      <c r="AC41" s="89"/>
      <c r="AD41" s="89"/>
      <c r="AE41" s="89"/>
      <c r="AF41" s="89"/>
    </row>
    <row r="42" spans="1:32" s="64" customFormat="1" ht="144.75" customHeight="1">
      <c r="A42" s="63"/>
      <c r="B42" s="99">
        <v>46160</v>
      </c>
      <c r="C42" s="82">
        <v>46183</v>
      </c>
      <c r="D42" s="83">
        <v>46183</v>
      </c>
      <c r="E42" s="83">
        <v>46189</v>
      </c>
      <c r="F42" s="71" t="s">
        <v>235</v>
      </c>
      <c r="G42" s="66" t="s">
        <v>105</v>
      </c>
      <c r="H42" s="71" t="s">
        <v>51</v>
      </c>
      <c r="I42" s="63"/>
      <c r="J42" s="71" t="s">
        <v>18</v>
      </c>
      <c r="K42" s="102">
        <v>47590</v>
      </c>
      <c r="L42" s="76">
        <v>240</v>
      </c>
      <c r="M42" s="76" t="s">
        <v>35</v>
      </c>
      <c r="N42" s="100" t="s">
        <v>104</v>
      </c>
      <c r="O42" s="71" t="s">
        <v>61</v>
      </c>
      <c r="P42" s="76">
        <v>71</v>
      </c>
      <c r="Q42" s="66">
        <f t="shared" si="10"/>
        <v>-4</v>
      </c>
      <c r="R42" s="86">
        <f>75</f>
        <v>75</v>
      </c>
      <c r="S42" s="87">
        <f t="shared" si="11"/>
        <v>-4</v>
      </c>
      <c r="T42" s="65">
        <v>4737</v>
      </c>
      <c r="U42" s="65" t="s">
        <v>462</v>
      </c>
      <c r="V42" s="87">
        <f>71</f>
        <v>71</v>
      </c>
      <c r="W42" s="87">
        <f t="shared" si="12"/>
        <v>0</v>
      </c>
      <c r="X42" s="67">
        <v>1629</v>
      </c>
      <c r="Y42" s="67" t="s">
        <v>651</v>
      </c>
      <c r="Z42" s="88">
        <f t="shared" si="13"/>
        <v>0</v>
      </c>
      <c r="AA42" s="62" t="s">
        <v>582</v>
      </c>
      <c r="AB42" s="89"/>
      <c r="AC42" s="89"/>
      <c r="AD42" s="89"/>
      <c r="AE42" s="89"/>
      <c r="AF42" s="89"/>
    </row>
    <row r="43" spans="1:32" s="64" customFormat="1" ht="134.25" customHeight="1">
      <c r="A43" s="63"/>
      <c r="B43" s="99">
        <v>46158</v>
      </c>
      <c r="C43" s="82">
        <v>46184</v>
      </c>
      <c r="D43" s="83">
        <v>46186</v>
      </c>
      <c r="E43" s="83">
        <v>46193</v>
      </c>
      <c r="F43" s="71" t="s">
        <v>235</v>
      </c>
      <c r="G43" s="66" t="s">
        <v>105</v>
      </c>
      <c r="H43" s="71" t="s">
        <v>51</v>
      </c>
      <c r="I43" s="63"/>
      <c r="J43" s="71" t="s">
        <v>18</v>
      </c>
      <c r="K43" s="102">
        <v>47591</v>
      </c>
      <c r="L43" s="76">
        <v>240</v>
      </c>
      <c r="M43" s="76" t="s">
        <v>35</v>
      </c>
      <c r="N43" s="100" t="s">
        <v>104</v>
      </c>
      <c r="O43" s="71" t="s">
        <v>61</v>
      </c>
      <c r="P43" s="76">
        <v>87</v>
      </c>
      <c r="Q43" s="66">
        <f t="shared" si="10"/>
        <v>-2</v>
      </c>
      <c r="R43" s="86">
        <f>89</f>
        <v>89</v>
      </c>
      <c r="S43" s="87">
        <f t="shared" si="11"/>
        <v>-2</v>
      </c>
      <c r="T43" s="65">
        <v>4737</v>
      </c>
      <c r="U43" s="65" t="s">
        <v>462</v>
      </c>
      <c r="V43" s="87">
        <f>87</f>
        <v>87</v>
      </c>
      <c r="W43" s="87">
        <f t="shared" si="12"/>
        <v>0</v>
      </c>
      <c r="X43" s="67">
        <v>1629</v>
      </c>
      <c r="Y43" s="67" t="s">
        <v>651</v>
      </c>
      <c r="Z43" s="88">
        <f t="shared" si="13"/>
        <v>0</v>
      </c>
      <c r="AA43" s="62" t="s">
        <v>529</v>
      </c>
      <c r="AB43" s="89"/>
      <c r="AC43" s="89"/>
      <c r="AD43" s="89"/>
      <c r="AE43" s="89"/>
      <c r="AF43" s="89"/>
    </row>
    <row r="44" spans="1:32" s="64" customFormat="1" ht="54.75" customHeight="1">
      <c r="A44" s="63"/>
      <c r="B44" s="99">
        <v>46158</v>
      </c>
      <c r="C44" s="82">
        <v>46184</v>
      </c>
      <c r="D44" s="83">
        <v>46186</v>
      </c>
      <c r="E44" s="83">
        <v>46193</v>
      </c>
      <c r="F44" s="71" t="s">
        <v>235</v>
      </c>
      <c r="G44" s="66" t="s">
        <v>105</v>
      </c>
      <c r="H44" s="71" t="s">
        <v>51</v>
      </c>
      <c r="I44" s="63"/>
      <c r="J44" s="71" t="s">
        <v>18</v>
      </c>
      <c r="K44" s="102">
        <v>47591</v>
      </c>
      <c r="L44" s="76">
        <v>240</v>
      </c>
      <c r="M44" s="76" t="s">
        <v>35</v>
      </c>
      <c r="N44" s="100" t="s">
        <v>104</v>
      </c>
      <c r="O44" s="71" t="s">
        <v>61</v>
      </c>
      <c r="P44" s="76">
        <v>65</v>
      </c>
      <c r="Q44" s="66">
        <f t="shared" si="10"/>
        <v>-1</v>
      </c>
      <c r="R44" s="86">
        <f>66</f>
        <v>66</v>
      </c>
      <c r="S44" s="87">
        <f t="shared" si="11"/>
        <v>-1</v>
      </c>
      <c r="T44" s="65">
        <v>4737</v>
      </c>
      <c r="U44" s="65" t="s">
        <v>462</v>
      </c>
      <c r="V44" s="87">
        <f>65</f>
        <v>65</v>
      </c>
      <c r="W44" s="87">
        <f t="shared" si="12"/>
        <v>0</v>
      </c>
      <c r="X44" s="67">
        <v>1629</v>
      </c>
      <c r="Y44" s="67" t="s">
        <v>651</v>
      </c>
      <c r="Z44" s="88">
        <f t="shared" si="13"/>
        <v>0</v>
      </c>
      <c r="AA44" s="62" t="s">
        <v>530</v>
      </c>
      <c r="AB44" s="89"/>
      <c r="AC44" s="89"/>
      <c r="AD44" s="89"/>
      <c r="AE44" s="89"/>
      <c r="AF44" s="89"/>
    </row>
    <row r="45" spans="1:32" s="64" customFormat="1" ht="256.5" customHeight="1">
      <c r="A45" s="63"/>
      <c r="B45" s="99">
        <v>46157</v>
      </c>
      <c r="C45" s="82">
        <v>46183</v>
      </c>
      <c r="D45" s="83">
        <v>46184</v>
      </c>
      <c r="E45" s="83">
        <v>46191</v>
      </c>
      <c r="F45" s="71" t="s">
        <v>44</v>
      </c>
      <c r="G45" s="66" t="s">
        <v>105</v>
      </c>
      <c r="H45" s="71" t="s">
        <v>51</v>
      </c>
      <c r="I45" s="63"/>
      <c r="J45" s="71" t="s">
        <v>18</v>
      </c>
      <c r="K45" s="102">
        <v>47592</v>
      </c>
      <c r="L45" s="76">
        <v>240</v>
      </c>
      <c r="M45" s="76" t="s">
        <v>35</v>
      </c>
      <c r="N45" s="100" t="s">
        <v>305</v>
      </c>
      <c r="O45" s="71" t="s">
        <v>61</v>
      </c>
      <c r="P45" s="76">
        <v>100</v>
      </c>
      <c r="Q45" s="66">
        <f t="shared" si="10"/>
        <v>-5</v>
      </c>
      <c r="R45" s="86">
        <f>105</f>
        <v>105</v>
      </c>
      <c r="S45" s="87">
        <f t="shared" si="11"/>
        <v>-5</v>
      </c>
      <c r="T45" s="65">
        <v>64</v>
      </c>
      <c r="U45" s="65" t="s">
        <v>467</v>
      </c>
      <c r="V45" s="87">
        <f>103</f>
        <v>103</v>
      </c>
      <c r="W45" s="87">
        <f t="shared" si="12"/>
        <v>3</v>
      </c>
      <c r="X45" s="67">
        <v>1624</v>
      </c>
      <c r="Y45" s="67" t="s">
        <v>640</v>
      </c>
      <c r="Z45" s="88">
        <f t="shared" si="13"/>
        <v>-0.03</v>
      </c>
      <c r="AA45" s="62" t="s">
        <v>573</v>
      </c>
      <c r="AB45" s="89"/>
      <c r="AC45" s="89"/>
      <c r="AD45" s="89"/>
      <c r="AE45" s="89"/>
      <c r="AF45" s="89"/>
    </row>
    <row r="46" spans="1:32" s="64" customFormat="1" ht="105" customHeight="1">
      <c r="A46" s="63"/>
      <c r="B46" s="99">
        <v>46157</v>
      </c>
      <c r="C46" s="82">
        <v>46183</v>
      </c>
      <c r="D46" s="83">
        <v>46184</v>
      </c>
      <c r="E46" s="83">
        <v>46191</v>
      </c>
      <c r="F46" s="71" t="s">
        <v>235</v>
      </c>
      <c r="G46" s="66" t="s">
        <v>105</v>
      </c>
      <c r="H46" s="71" t="s">
        <v>51</v>
      </c>
      <c r="I46" s="63"/>
      <c r="J46" s="71" t="s">
        <v>18</v>
      </c>
      <c r="K46" s="102">
        <v>47592</v>
      </c>
      <c r="L46" s="76">
        <v>240</v>
      </c>
      <c r="M46" s="76" t="s">
        <v>35</v>
      </c>
      <c r="N46" s="100" t="s">
        <v>107</v>
      </c>
      <c r="O46" s="71" t="s">
        <v>61</v>
      </c>
      <c r="P46" s="76">
        <v>100</v>
      </c>
      <c r="Q46" s="66">
        <f t="shared" si="10"/>
        <v>0</v>
      </c>
      <c r="R46" s="86">
        <f>100</f>
        <v>100</v>
      </c>
      <c r="S46" s="87">
        <f t="shared" si="11"/>
        <v>0</v>
      </c>
      <c r="T46" s="65">
        <v>54</v>
      </c>
      <c r="U46" s="65" t="s">
        <v>465</v>
      </c>
      <c r="V46" s="87">
        <f>99</f>
        <v>99</v>
      </c>
      <c r="W46" s="87">
        <f t="shared" si="12"/>
        <v>-1</v>
      </c>
      <c r="X46" s="67">
        <v>1624</v>
      </c>
      <c r="Y46" s="67" t="s">
        <v>640</v>
      </c>
      <c r="Z46" s="88">
        <f t="shared" si="13"/>
        <v>0.01</v>
      </c>
      <c r="AA46" s="62" t="s">
        <v>574</v>
      </c>
      <c r="AB46" s="89"/>
      <c r="AC46" s="89"/>
      <c r="AD46" s="89"/>
      <c r="AE46" s="89"/>
      <c r="AF46" s="89"/>
    </row>
    <row r="47" spans="1:32" s="64" customFormat="1" ht="196.5" customHeight="1">
      <c r="A47" s="63"/>
      <c r="B47" s="99">
        <v>46158</v>
      </c>
      <c r="C47" s="82">
        <v>46183</v>
      </c>
      <c r="D47" s="83">
        <v>46183</v>
      </c>
      <c r="E47" s="83">
        <v>46191</v>
      </c>
      <c r="F47" s="71" t="s">
        <v>235</v>
      </c>
      <c r="G47" s="66" t="s">
        <v>105</v>
      </c>
      <c r="H47" s="71" t="s">
        <v>51</v>
      </c>
      <c r="I47" s="63"/>
      <c r="J47" s="71" t="s">
        <v>18</v>
      </c>
      <c r="K47" s="102">
        <v>47593</v>
      </c>
      <c r="L47" s="76">
        <v>240</v>
      </c>
      <c r="M47" s="76" t="s">
        <v>35</v>
      </c>
      <c r="N47" s="100" t="s">
        <v>107</v>
      </c>
      <c r="O47" s="71" t="s">
        <v>61</v>
      </c>
      <c r="P47" s="76">
        <v>57</v>
      </c>
      <c r="Q47" s="66">
        <f t="shared" si="10"/>
        <v>-1</v>
      </c>
      <c r="R47" s="86">
        <f>58</f>
        <v>58</v>
      </c>
      <c r="S47" s="87">
        <f t="shared" si="11"/>
        <v>-1</v>
      </c>
      <c r="T47" s="65">
        <v>54</v>
      </c>
      <c r="U47" s="65" t="s">
        <v>465</v>
      </c>
      <c r="V47" s="87">
        <f>52+3</f>
        <v>55</v>
      </c>
      <c r="W47" s="151">
        <f t="shared" si="12"/>
        <v>-2</v>
      </c>
      <c r="X47" s="121">
        <v>1624</v>
      </c>
      <c r="Y47" s="121" t="s">
        <v>640</v>
      </c>
      <c r="Z47" s="152">
        <f t="shared" si="13"/>
        <v>3.5087719298245612E-2</v>
      </c>
      <c r="AA47" s="62" t="s">
        <v>703</v>
      </c>
      <c r="AB47" s="89"/>
      <c r="AC47" s="89"/>
      <c r="AD47" s="89"/>
      <c r="AE47" s="89"/>
      <c r="AF47" s="89"/>
    </row>
    <row r="48" spans="1:32" s="64" customFormat="1" ht="102.75" customHeight="1">
      <c r="A48" s="63"/>
      <c r="B48" s="99">
        <v>46160</v>
      </c>
      <c r="C48" s="82">
        <v>46183</v>
      </c>
      <c r="D48" s="83">
        <v>46185</v>
      </c>
      <c r="E48" s="83">
        <v>46191</v>
      </c>
      <c r="F48" s="71" t="s">
        <v>235</v>
      </c>
      <c r="G48" s="66" t="s">
        <v>105</v>
      </c>
      <c r="H48" s="71" t="s">
        <v>51</v>
      </c>
      <c r="I48" s="63"/>
      <c r="J48" s="71" t="s">
        <v>18</v>
      </c>
      <c r="K48" s="102">
        <v>47594</v>
      </c>
      <c r="L48" s="76">
        <v>240</v>
      </c>
      <c r="M48" s="76" t="s">
        <v>35</v>
      </c>
      <c r="N48" s="100" t="s">
        <v>107</v>
      </c>
      <c r="O48" s="71" t="s">
        <v>61</v>
      </c>
      <c r="P48" s="76">
        <v>66</v>
      </c>
      <c r="Q48" s="66">
        <f t="shared" si="10"/>
        <v>-3</v>
      </c>
      <c r="R48" s="86">
        <f>69</f>
        <v>69</v>
      </c>
      <c r="S48" s="87">
        <f t="shared" si="11"/>
        <v>-3</v>
      </c>
      <c r="T48" s="65">
        <v>54</v>
      </c>
      <c r="U48" s="65" t="s">
        <v>465</v>
      </c>
      <c r="V48" s="87">
        <f>67</f>
        <v>67</v>
      </c>
      <c r="W48" s="87">
        <f t="shared" si="12"/>
        <v>1</v>
      </c>
      <c r="X48" s="67">
        <v>1705</v>
      </c>
      <c r="Y48" s="67" t="s">
        <v>693</v>
      </c>
      <c r="Z48" s="88">
        <f t="shared" si="13"/>
        <v>-1.5151515151515152E-2</v>
      </c>
      <c r="AA48" s="62" t="s">
        <v>704</v>
      </c>
      <c r="AB48" s="89"/>
      <c r="AC48" s="89"/>
      <c r="AD48" s="89"/>
      <c r="AE48" s="89"/>
      <c r="AF48" s="89"/>
    </row>
    <row r="49" spans="1:32" s="64" customFormat="1" ht="87.75" customHeight="1">
      <c r="A49" s="63"/>
      <c r="B49" s="99">
        <v>46160</v>
      </c>
      <c r="C49" s="82">
        <v>46183</v>
      </c>
      <c r="D49" s="83">
        <v>46185</v>
      </c>
      <c r="E49" s="83">
        <v>46191</v>
      </c>
      <c r="F49" s="71" t="s">
        <v>235</v>
      </c>
      <c r="G49" s="66" t="s">
        <v>105</v>
      </c>
      <c r="H49" s="71" t="s">
        <v>51</v>
      </c>
      <c r="I49" s="63"/>
      <c r="J49" s="71" t="s">
        <v>18</v>
      </c>
      <c r="K49" s="102">
        <v>47594</v>
      </c>
      <c r="L49" s="76">
        <v>240</v>
      </c>
      <c r="M49" s="76" t="s">
        <v>35</v>
      </c>
      <c r="N49" s="100" t="s">
        <v>107</v>
      </c>
      <c r="O49" s="71" t="s">
        <v>61</v>
      </c>
      <c r="P49" s="76">
        <v>53</v>
      </c>
      <c r="Q49" s="66">
        <f t="shared" si="10"/>
        <v>-2</v>
      </c>
      <c r="R49" s="86">
        <f>55</f>
        <v>55</v>
      </c>
      <c r="S49" s="87">
        <f t="shared" si="11"/>
        <v>-2</v>
      </c>
      <c r="T49" s="65">
        <v>54</v>
      </c>
      <c r="U49" s="65" t="s">
        <v>465</v>
      </c>
      <c r="V49" s="87">
        <f>54</f>
        <v>54</v>
      </c>
      <c r="W49" s="87">
        <f t="shared" si="12"/>
        <v>1</v>
      </c>
      <c r="X49" s="67">
        <v>1705</v>
      </c>
      <c r="Y49" s="67" t="s">
        <v>693</v>
      </c>
      <c r="Z49" s="88">
        <f t="shared" si="13"/>
        <v>-1.8867924528301886E-2</v>
      </c>
      <c r="AA49" s="62" t="s">
        <v>575</v>
      </c>
      <c r="AB49" s="89"/>
      <c r="AC49" s="89"/>
      <c r="AD49" s="89"/>
      <c r="AE49" s="89"/>
      <c r="AF49" s="89"/>
    </row>
    <row r="50" spans="1:32" s="64" customFormat="1" ht="103.5" customHeight="1">
      <c r="A50" s="63"/>
      <c r="B50" s="99">
        <v>46162</v>
      </c>
      <c r="C50" s="82">
        <v>46181</v>
      </c>
      <c r="D50" s="83">
        <v>46183</v>
      </c>
      <c r="E50" s="83">
        <v>46189</v>
      </c>
      <c r="F50" s="71" t="s">
        <v>23</v>
      </c>
      <c r="G50" s="66" t="s">
        <v>105</v>
      </c>
      <c r="H50" s="71" t="s">
        <v>51</v>
      </c>
      <c r="I50" s="63"/>
      <c r="J50" s="71" t="s">
        <v>18</v>
      </c>
      <c r="K50" s="102">
        <v>47550</v>
      </c>
      <c r="L50" s="76">
        <v>180</v>
      </c>
      <c r="M50" s="76" t="s">
        <v>35</v>
      </c>
      <c r="N50" s="100" t="s">
        <v>297</v>
      </c>
      <c r="O50" s="71" t="s">
        <v>306</v>
      </c>
      <c r="P50" s="76">
        <v>65</v>
      </c>
      <c r="Q50" s="66">
        <f t="shared" si="10"/>
        <v>-3</v>
      </c>
      <c r="R50" s="86">
        <f>68</f>
        <v>68</v>
      </c>
      <c r="S50" s="87">
        <f t="shared" si="11"/>
        <v>-3</v>
      </c>
      <c r="T50" s="65">
        <v>4769</v>
      </c>
      <c r="U50" s="65" t="s">
        <v>434</v>
      </c>
      <c r="V50" s="87">
        <f>72</f>
        <v>72</v>
      </c>
      <c r="W50" s="87">
        <f t="shared" si="12"/>
        <v>7</v>
      </c>
      <c r="X50" s="67">
        <v>1604</v>
      </c>
      <c r="Y50" s="67" t="s">
        <v>466</v>
      </c>
      <c r="Z50" s="88">
        <f t="shared" si="13"/>
        <v>-0.1076923076923077</v>
      </c>
      <c r="AA50" s="62" t="s">
        <v>495</v>
      </c>
      <c r="AB50" s="89"/>
      <c r="AC50" s="89"/>
      <c r="AD50" s="89"/>
      <c r="AE50" s="89"/>
      <c r="AF50" s="89"/>
    </row>
    <row r="51" spans="1:32" s="64" customFormat="1" ht="54.75" customHeight="1">
      <c r="A51" s="63"/>
      <c r="B51" s="99">
        <v>46162</v>
      </c>
      <c r="C51" s="82">
        <v>46182</v>
      </c>
      <c r="D51" s="83">
        <v>46185</v>
      </c>
      <c r="E51" s="83">
        <v>46190</v>
      </c>
      <c r="F51" s="71" t="s">
        <v>23</v>
      </c>
      <c r="G51" s="66" t="s">
        <v>105</v>
      </c>
      <c r="H51" s="71" t="s">
        <v>51</v>
      </c>
      <c r="I51" s="63"/>
      <c r="J51" s="71" t="s">
        <v>18</v>
      </c>
      <c r="K51" s="102">
        <v>47551</v>
      </c>
      <c r="L51" s="76">
        <v>180</v>
      </c>
      <c r="M51" s="76" t="s">
        <v>35</v>
      </c>
      <c r="N51" s="100" t="s">
        <v>297</v>
      </c>
      <c r="O51" s="71" t="s">
        <v>306</v>
      </c>
      <c r="P51" s="76">
        <v>162</v>
      </c>
      <c r="Q51" s="66">
        <f t="shared" si="10"/>
        <v>-4</v>
      </c>
      <c r="R51" s="86">
        <f>166</f>
        <v>166</v>
      </c>
      <c r="S51" s="87">
        <f t="shared" si="11"/>
        <v>-4</v>
      </c>
      <c r="T51" s="65">
        <v>4769</v>
      </c>
      <c r="U51" s="65" t="s">
        <v>434</v>
      </c>
      <c r="V51" s="87">
        <f>150+7</f>
        <v>157</v>
      </c>
      <c r="W51" s="87">
        <f t="shared" si="12"/>
        <v>-5</v>
      </c>
      <c r="X51" s="67">
        <v>16004</v>
      </c>
      <c r="Y51" s="67" t="s">
        <v>466</v>
      </c>
      <c r="Z51" s="88">
        <f t="shared" si="13"/>
        <v>3.0864197530864196E-2</v>
      </c>
      <c r="AA51" s="62" t="s">
        <v>542</v>
      </c>
      <c r="AB51" s="89"/>
      <c r="AC51" s="89"/>
      <c r="AD51" s="89"/>
      <c r="AE51" s="89"/>
      <c r="AF51" s="89"/>
    </row>
    <row r="52" spans="1:32" s="64" customFormat="1" ht="70.5" customHeight="1">
      <c r="A52" s="63"/>
      <c r="B52" s="99">
        <v>46162</v>
      </c>
      <c r="C52" s="82">
        <v>46181</v>
      </c>
      <c r="D52" s="83">
        <v>46183</v>
      </c>
      <c r="E52" s="83">
        <v>46188</v>
      </c>
      <c r="F52" s="71" t="s">
        <v>23</v>
      </c>
      <c r="G52" s="66" t="s">
        <v>105</v>
      </c>
      <c r="H52" s="71" t="s">
        <v>51</v>
      </c>
      <c r="I52" s="63"/>
      <c r="J52" s="71" t="s">
        <v>18</v>
      </c>
      <c r="K52" s="102">
        <v>47552</v>
      </c>
      <c r="L52" s="76">
        <v>180</v>
      </c>
      <c r="M52" s="76" t="s">
        <v>35</v>
      </c>
      <c r="N52" s="100" t="s">
        <v>304</v>
      </c>
      <c r="O52" s="71" t="s">
        <v>306</v>
      </c>
      <c r="P52" s="76">
        <v>46</v>
      </c>
      <c r="Q52" s="66">
        <f t="shared" si="10"/>
        <v>-2</v>
      </c>
      <c r="R52" s="86">
        <f>48</f>
        <v>48</v>
      </c>
      <c r="S52" s="87">
        <f t="shared" si="11"/>
        <v>-2</v>
      </c>
      <c r="T52" s="65">
        <v>4774</v>
      </c>
      <c r="U52" s="65" t="s">
        <v>434</v>
      </c>
      <c r="V52" s="87">
        <f>47</f>
        <v>47</v>
      </c>
      <c r="W52" s="87">
        <f t="shared" si="12"/>
        <v>1</v>
      </c>
      <c r="X52" s="67">
        <v>1604</v>
      </c>
      <c r="Y52" s="67" t="s">
        <v>466</v>
      </c>
      <c r="Z52" s="88">
        <f t="shared" si="13"/>
        <v>-2.1739130434782608E-2</v>
      </c>
      <c r="AA52" s="62" t="s">
        <v>420</v>
      </c>
      <c r="AB52" s="89"/>
      <c r="AC52" s="89"/>
      <c r="AD52" s="89"/>
      <c r="AE52" s="89"/>
      <c r="AF52" s="89"/>
    </row>
    <row r="53" spans="1:32" s="64" customFormat="1" ht="118.5" customHeight="1">
      <c r="A53" s="63"/>
      <c r="B53" s="70">
        <v>46162</v>
      </c>
      <c r="C53" s="82">
        <v>46182</v>
      </c>
      <c r="D53" s="83">
        <v>46183</v>
      </c>
      <c r="E53" s="83">
        <v>46188</v>
      </c>
      <c r="F53" s="71" t="s">
        <v>23</v>
      </c>
      <c r="G53" s="66" t="s">
        <v>105</v>
      </c>
      <c r="H53" s="71" t="s">
        <v>179</v>
      </c>
      <c r="I53" s="63"/>
      <c r="J53" s="71" t="s">
        <v>18</v>
      </c>
      <c r="K53" s="102">
        <v>47553</v>
      </c>
      <c r="L53" s="76">
        <v>180</v>
      </c>
      <c r="M53" s="76" t="s">
        <v>35</v>
      </c>
      <c r="N53" s="100" t="s">
        <v>304</v>
      </c>
      <c r="O53" s="71" t="s">
        <v>306</v>
      </c>
      <c r="P53" s="76">
        <v>116</v>
      </c>
      <c r="Q53" s="66">
        <f t="shared" si="10"/>
        <v>-5</v>
      </c>
      <c r="R53" s="86">
        <f>121</f>
        <v>121</v>
      </c>
      <c r="S53" s="87">
        <f t="shared" si="11"/>
        <v>-5</v>
      </c>
      <c r="T53" s="65">
        <v>4774</v>
      </c>
      <c r="U53" s="65" t="s">
        <v>434</v>
      </c>
      <c r="V53" s="87">
        <f>5+117</f>
        <v>122</v>
      </c>
      <c r="W53" s="87">
        <f t="shared" si="12"/>
        <v>6</v>
      </c>
      <c r="X53" s="67" t="s">
        <v>540</v>
      </c>
      <c r="Y53" s="67" t="s">
        <v>531</v>
      </c>
      <c r="Z53" s="88">
        <f t="shared" si="13"/>
        <v>-5.1724137931034482E-2</v>
      </c>
      <c r="AA53" s="62" t="s">
        <v>486</v>
      </c>
      <c r="AB53" s="89"/>
      <c r="AC53" s="89"/>
      <c r="AD53" s="89"/>
      <c r="AE53" s="89"/>
      <c r="AF53" s="89"/>
    </row>
    <row r="54" spans="1:32" s="64" customFormat="1" ht="102" customHeight="1">
      <c r="A54" s="63"/>
      <c r="B54" s="99">
        <v>46160</v>
      </c>
      <c r="C54" s="90">
        <v>46179</v>
      </c>
      <c r="D54" s="91">
        <v>46183</v>
      </c>
      <c r="E54" s="91">
        <v>46189</v>
      </c>
      <c r="F54" s="71" t="s">
        <v>23</v>
      </c>
      <c r="G54" s="66" t="s">
        <v>105</v>
      </c>
      <c r="H54" s="71" t="s">
        <v>69</v>
      </c>
      <c r="I54" s="63"/>
      <c r="J54" s="71" t="s">
        <v>162</v>
      </c>
      <c r="K54" s="103">
        <v>47486</v>
      </c>
      <c r="L54" s="76">
        <v>190</v>
      </c>
      <c r="M54" s="76" t="s">
        <v>56</v>
      </c>
      <c r="N54" s="100" t="s">
        <v>310</v>
      </c>
      <c r="O54" s="71" t="s">
        <v>68</v>
      </c>
      <c r="P54" s="76">
        <v>172</v>
      </c>
      <c r="Q54" s="66">
        <f t="shared" si="10"/>
        <v>0</v>
      </c>
      <c r="R54" s="86">
        <f>172-172+172</f>
        <v>172</v>
      </c>
      <c r="S54" s="87">
        <f t="shared" si="11"/>
        <v>0</v>
      </c>
      <c r="T54" s="65" t="s">
        <v>476</v>
      </c>
      <c r="U54" s="65" t="s">
        <v>359</v>
      </c>
      <c r="V54" s="87">
        <f>171</f>
        <v>171</v>
      </c>
      <c r="W54" s="87">
        <f t="shared" si="12"/>
        <v>-1</v>
      </c>
      <c r="X54" s="67">
        <v>1571</v>
      </c>
      <c r="Y54" s="67" t="s">
        <v>467</v>
      </c>
      <c r="Z54" s="88">
        <f t="shared" si="13"/>
        <v>5.8139534883720929E-3</v>
      </c>
      <c r="AA54" s="62" t="s">
        <v>477</v>
      </c>
      <c r="AB54" s="89"/>
      <c r="AC54" s="89"/>
      <c r="AD54" s="89"/>
      <c r="AE54" s="89"/>
      <c r="AF54" s="89"/>
    </row>
    <row r="55" spans="1:32" s="64" customFormat="1" ht="87" customHeight="1">
      <c r="A55" s="63"/>
      <c r="B55" s="99">
        <v>46160</v>
      </c>
      <c r="C55" s="90">
        <v>46179</v>
      </c>
      <c r="D55" s="91">
        <v>46182</v>
      </c>
      <c r="E55" s="91">
        <v>46188</v>
      </c>
      <c r="F55" s="71" t="s">
        <v>23</v>
      </c>
      <c r="G55" s="66" t="s">
        <v>105</v>
      </c>
      <c r="H55" s="71" t="s">
        <v>69</v>
      </c>
      <c r="I55" s="63"/>
      <c r="J55" s="71" t="s">
        <v>162</v>
      </c>
      <c r="K55" s="103">
        <v>47487</v>
      </c>
      <c r="L55" s="76">
        <v>190</v>
      </c>
      <c r="M55" s="76" t="s">
        <v>56</v>
      </c>
      <c r="N55" s="100" t="s">
        <v>310</v>
      </c>
      <c r="O55" s="71" t="s">
        <v>68</v>
      </c>
      <c r="P55" s="76">
        <v>330</v>
      </c>
      <c r="Q55" s="66">
        <f t="shared" si="10"/>
        <v>0</v>
      </c>
      <c r="R55" s="86">
        <f>330-330+330</f>
        <v>330</v>
      </c>
      <c r="S55" s="87">
        <f t="shared" si="11"/>
        <v>0</v>
      </c>
      <c r="T55" s="65" t="s">
        <v>476</v>
      </c>
      <c r="U55" s="65" t="s">
        <v>359</v>
      </c>
      <c r="V55" s="87">
        <f>5+320</f>
        <v>325</v>
      </c>
      <c r="W55" s="87">
        <f t="shared" si="12"/>
        <v>-5</v>
      </c>
      <c r="X55" s="67" t="s">
        <v>550</v>
      </c>
      <c r="Y55" s="67" t="s">
        <v>551</v>
      </c>
      <c r="Z55" s="88">
        <f t="shared" si="13"/>
        <v>1.5151515151515152E-2</v>
      </c>
      <c r="AA55" s="62" t="s">
        <v>478</v>
      </c>
      <c r="AB55" s="89"/>
      <c r="AC55" s="89"/>
      <c r="AD55" s="89"/>
      <c r="AE55" s="89"/>
      <c r="AF55" s="89"/>
    </row>
    <row r="56" spans="1:32" s="64" customFormat="1" ht="92.25" customHeight="1">
      <c r="A56" s="63"/>
      <c r="B56" s="99">
        <v>46160</v>
      </c>
      <c r="C56" s="90">
        <v>46183</v>
      </c>
      <c r="D56" s="91">
        <v>46185</v>
      </c>
      <c r="E56" s="91">
        <v>46192</v>
      </c>
      <c r="F56" s="71" t="s">
        <v>23</v>
      </c>
      <c r="G56" s="66" t="s">
        <v>105</v>
      </c>
      <c r="H56" s="71" t="s">
        <v>170</v>
      </c>
      <c r="I56" s="63"/>
      <c r="J56" s="71" t="s">
        <v>162</v>
      </c>
      <c r="K56" s="103" t="s">
        <v>311</v>
      </c>
      <c r="L56" s="76">
        <v>190</v>
      </c>
      <c r="M56" s="76" t="s">
        <v>26</v>
      </c>
      <c r="N56" s="100" t="s">
        <v>27</v>
      </c>
      <c r="O56" s="71" t="s">
        <v>71</v>
      </c>
      <c r="P56" s="76">
        <v>288</v>
      </c>
      <c r="Q56" s="66">
        <f t="shared" si="10"/>
        <v>-195</v>
      </c>
      <c r="R56" s="86">
        <f>300+183</f>
        <v>483</v>
      </c>
      <c r="S56" s="87">
        <f t="shared" si="11"/>
        <v>-195</v>
      </c>
      <c r="T56" s="65" t="s">
        <v>671</v>
      </c>
      <c r="U56" s="65" t="s">
        <v>672</v>
      </c>
      <c r="V56" s="87">
        <f>136+162</f>
        <v>298</v>
      </c>
      <c r="W56" s="87">
        <f t="shared" si="12"/>
        <v>10</v>
      </c>
      <c r="X56" s="67" t="s">
        <v>673</v>
      </c>
      <c r="Y56" s="67" t="s">
        <v>674</v>
      </c>
      <c r="Z56" s="88">
        <f t="shared" si="13"/>
        <v>-3.4722222222222224E-2</v>
      </c>
      <c r="AA56" s="62" t="s">
        <v>498</v>
      </c>
      <c r="AB56" s="89"/>
      <c r="AC56" s="89"/>
      <c r="AD56" s="89"/>
      <c r="AE56" s="89"/>
      <c r="AF56" s="89"/>
    </row>
    <row r="57" spans="1:32" s="64" customFormat="1" ht="54.75" customHeight="1">
      <c r="A57" s="63"/>
      <c r="B57" s="99">
        <v>46160</v>
      </c>
      <c r="C57" s="90">
        <v>46183</v>
      </c>
      <c r="D57" s="91">
        <v>46185</v>
      </c>
      <c r="E57" s="91">
        <v>46192</v>
      </c>
      <c r="F57" s="71" t="s">
        <v>23</v>
      </c>
      <c r="G57" s="66" t="s">
        <v>105</v>
      </c>
      <c r="H57" s="71" t="s">
        <v>170</v>
      </c>
      <c r="I57" s="63"/>
      <c r="J57" s="71" t="s">
        <v>162</v>
      </c>
      <c r="K57" s="103" t="s">
        <v>311</v>
      </c>
      <c r="L57" s="76">
        <v>190</v>
      </c>
      <c r="M57" s="76" t="s">
        <v>26</v>
      </c>
      <c r="N57" s="100" t="s">
        <v>312</v>
      </c>
      <c r="O57" s="71" t="s">
        <v>71</v>
      </c>
      <c r="P57" s="76">
        <v>288</v>
      </c>
      <c r="Q57" s="66">
        <f t="shared" si="10"/>
        <v>-12</v>
      </c>
      <c r="R57" s="86">
        <f>300</f>
        <v>300</v>
      </c>
      <c r="S57" s="87">
        <f t="shared" si="11"/>
        <v>-12</v>
      </c>
      <c r="T57" s="65">
        <v>67</v>
      </c>
      <c r="U57" s="65" t="s">
        <v>569</v>
      </c>
      <c r="V57" s="87">
        <f>295</f>
        <v>295</v>
      </c>
      <c r="W57" s="87">
        <f t="shared" si="12"/>
        <v>7</v>
      </c>
      <c r="X57" s="67">
        <v>1585</v>
      </c>
      <c r="Y57" s="67" t="s">
        <v>599</v>
      </c>
      <c r="Z57" s="88">
        <f t="shared" si="13"/>
        <v>-2.4305555555555552E-2</v>
      </c>
      <c r="AA57" s="62" t="s">
        <v>571</v>
      </c>
      <c r="AB57" s="89"/>
      <c r="AC57" s="89"/>
      <c r="AD57" s="89"/>
      <c r="AE57" s="89"/>
      <c r="AF57" s="89"/>
    </row>
    <row r="58" spans="1:32" s="64" customFormat="1" ht="54.75" customHeight="1">
      <c r="A58" s="63"/>
      <c r="B58" s="70">
        <v>46144</v>
      </c>
      <c r="C58" s="82">
        <v>46162</v>
      </c>
      <c r="D58" s="83">
        <v>46162</v>
      </c>
      <c r="E58" s="83">
        <v>46188</v>
      </c>
      <c r="F58" s="71" t="s">
        <v>23</v>
      </c>
      <c r="G58" s="66" t="s">
        <v>62</v>
      </c>
      <c r="H58" s="71" t="s">
        <v>31</v>
      </c>
      <c r="I58" s="63"/>
      <c r="J58" s="71" t="s">
        <v>34</v>
      </c>
      <c r="K58" s="139">
        <v>46273</v>
      </c>
      <c r="L58" s="76">
        <v>200</v>
      </c>
      <c r="M58" s="76" t="s">
        <v>56</v>
      </c>
      <c r="N58" s="100" t="s">
        <v>101</v>
      </c>
      <c r="O58" s="71" t="s">
        <v>313</v>
      </c>
      <c r="P58" s="71">
        <f>1498+73+35</f>
        <v>1606</v>
      </c>
      <c r="Q58" s="66">
        <f t="shared" si="10"/>
        <v>36</v>
      </c>
      <c r="R58" s="86">
        <f>1062+528-528+508</f>
        <v>1570</v>
      </c>
      <c r="S58" s="101">
        <f t="shared" si="11"/>
        <v>36</v>
      </c>
      <c r="T58" s="65" t="s">
        <v>429</v>
      </c>
      <c r="U58" s="65" t="s">
        <v>430</v>
      </c>
      <c r="V58" s="87">
        <f>5.5+992+46+506</f>
        <v>1549.5</v>
      </c>
      <c r="W58" s="87">
        <f t="shared" si="12"/>
        <v>-56.5</v>
      </c>
      <c r="X58" s="67" t="s">
        <v>521</v>
      </c>
      <c r="Y58" s="67" t="s">
        <v>522</v>
      </c>
      <c r="Z58" s="105">
        <f t="shared" si="13"/>
        <v>3.518057285180573E-2</v>
      </c>
      <c r="AA58" s="62" t="s">
        <v>502</v>
      </c>
      <c r="AB58" s="89"/>
      <c r="AC58" s="89"/>
      <c r="AD58" s="89"/>
      <c r="AE58" s="89"/>
      <c r="AF58" s="89"/>
    </row>
    <row r="59" spans="1:32" s="64" customFormat="1" ht="54.75" customHeight="1">
      <c r="A59" s="63"/>
      <c r="B59" s="70">
        <v>46144</v>
      </c>
      <c r="C59" s="82">
        <v>46162</v>
      </c>
      <c r="D59" s="83">
        <v>46162</v>
      </c>
      <c r="E59" s="83">
        <v>46188</v>
      </c>
      <c r="F59" s="71" t="s">
        <v>23</v>
      </c>
      <c r="G59" s="66" t="s">
        <v>62</v>
      </c>
      <c r="H59" s="71" t="s">
        <v>31</v>
      </c>
      <c r="I59" s="63"/>
      <c r="J59" s="71" t="s">
        <v>34</v>
      </c>
      <c r="K59" s="139">
        <v>46273</v>
      </c>
      <c r="L59" s="76">
        <v>200</v>
      </c>
      <c r="M59" s="76" t="s">
        <v>56</v>
      </c>
      <c r="N59" s="100" t="s">
        <v>114</v>
      </c>
      <c r="O59" s="71" t="s">
        <v>313</v>
      </c>
      <c r="P59" s="71">
        <f>1498+73+35</f>
        <v>1606</v>
      </c>
      <c r="Q59" s="66">
        <f t="shared" si="10"/>
        <v>22</v>
      </c>
      <c r="R59" s="86">
        <f>1046+538</f>
        <v>1584</v>
      </c>
      <c r="S59" s="101">
        <f t="shared" si="11"/>
        <v>22</v>
      </c>
      <c r="T59" s="65">
        <v>4026</v>
      </c>
      <c r="U59" s="65" t="s">
        <v>333</v>
      </c>
      <c r="V59" s="87">
        <f>527+1007</f>
        <v>1534</v>
      </c>
      <c r="W59" s="101">
        <f t="shared" si="12"/>
        <v>-72</v>
      </c>
      <c r="X59" s="67" t="s">
        <v>523</v>
      </c>
      <c r="Y59" s="67" t="s">
        <v>524</v>
      </c>
      <c r="Z59" s="105">
        <f t="shared" si="13"/>
        <v>4.4831880448318803E-2</v>
      </c>
      <c r="AA59" s="62" t="s">
        <v>385</v>
      </c>
      <c r="AB59" s="89"/>
      <c r="AC59" s="89"/>
      <c r="AD59" s="89"/>
      <c r="AE59" s="89"/>
      <c r="AF59" s="89"/>
    </row>
    <row r="60" spans="1:32" s="64" customFormat="1" ht="79.5" customHeight="1">
      <c r="A60" s="63"/>
      <c r="B60" s="70">
        <v>46151</v>
      </c>
      <c r="C60" s="82">
        <v>46179</v>
      </c>
      <c r="D60" s="83">
        <v>46179</v>
      </c>
      <c r="E60" s="83">
        <v>46193</v>
      </c>
      <c r="F60" s="71" t="s">
        <v>23</v>
      </c>
      <c r="G60" s="66" t="s">
        <v>105</v>
      </c>
      <c r="H60" s="71" t="s">
        <v>32</v>
      </c>
      <c r="I60" s="63"/>
      <c r="J60" s="71" t="s">
        <v>34</v>
      </c>
      <c r="K60" s="139">
        <v>47468</v>
      </c>
      <c r="L60" s="76">
        <v>180</v>
      </c>
      <c r="M60" s="76" t="s">
        <v>42</v>
      </c>
      <c r="N60" s="100" t="s">
        <v>309</v>
      </c>
      <c r="O60" s="71" t="s">
        <v>20</v>
      </c>
      <c r="P60" s="76">
        <v>14</v>
      </c>
      <c r="Q60" s="66">
        <f t="shared" si="10"/>
        <v>-7</v>
      </c>
      <c r="R60" s="86">
        <f>21</f>
        <v>21</v>
      </c>
      <c r="S60" s="87">
        <f t="shared" si="11"/>
        <v>-7</v>
      </c>
      <c r="T60" s="65">
        <v>4769</v>
      </c>
      <c r="U60" s="65" t="s">
        <v>434</v>
      </c>
      <c r="V60" s="87">
        <f>15</f>
        <v>15</v>
      </c>
      <c r="W60" s="87">
        <f t="shared" si="12"/>
        <v>1</v>
      </c>
      <c r="X60" s="67">
        <v>1614</v>
      </c>
      <c r="Y60" s="67" t="s">
        <v>596</v>
      </c>
      <c r="Z60" s="88">
        <f t="shared" si="13"/>
        <v>-7.1428571428571438E-2</v>
      </c>
      <c r="AA60" s="62" t="s">
        <v>384</v>
      </c>
      <c r="AB60" s="89"/>
      <c r="AC60" s="89"/>
      <c r="AD60" s="89"/>
      <c r="AE60" s="89"/>
      <c r="AF60" s="89"/>
    </row>
    <row r="61" spans="1:32" s="64" customFormat="1" ht="93.75" customHeight="1">
      <c r="A61" s="63"/>
      <c r="B61" s="70">
        <v>46151</v>
      </c>
      <c r="C61" s="82">
        <v>46179</v>
      </c>
      <c r="D61" s="83">
        <v>46179</v>
      </c>
      <c r="E61" s="83">
        <v>46193</v>
      </c>
      <c r="F61" s="71" t="s">
        <v>23</v>
      </c>
      <c r="G61" s="66" t="s">
        <v>105</v>
      </c>
      <c r="H61" s="71" t="s">
        <v>32</v>
      </c>
      <c r="I61" s="63"/>
      <c r="J61" s="71" t="s">
        <v>34</v>
      </c>
      <c r="K61" s="139">
        <v>47468</v>
      </c>
      <c r="L61" s="76">
        <v>180</v>
      </c>
      <c r="M61" s="76" t="s">
        <v>42</v>
      </c>
      <c r="N61" s="100" t="s">
        <v>309</v>
      </c>
      <c r="O61" s="71" t="s">
        <v>20</v>
      </c>
      <c r="P61" s="76">
        <v>1617</v>
      </c>
      <c r="Q61" s="66">
        <f t="shared" ref="Q61:Q76" si="14">P61-R61</f>
        <v>-8</v>
      </c>
      <c r="R61" s="86">
        <f>760+755+110</f>
        <v>1625</v>
      </c>
      <c r="S61" s="87">
        <f t="shared" ref="S61:S76" si="15">P61-R61</f>
        <v>-8</v>
      </c>
      <c r="T61" s="65" t="s">
        <v>435</v>
      </c>
      <c r="U61" s="65" t="s">
        <v>436</v>
      </c>
      <c r="V61" s="87">
        <f>41+665+727+65+115</f>
        <v>1613</v>
      </c>
      <c r="W61" s="87">
        <f t="shared" ref="W61:W76" si="16">+V61-P61</f>
        <v>-4</v>
      </c>
      <c r="X61" s="67" t="s">
        <v>597</v>
      </c>
      <c r="Y61" s="67" t="s">
        <v>598</v>
      </c>
      <c r="Z61" s="88">
        <f t="shared" ref="Z61:Z76" si="17">(P61-V61)*100/P61/100</f>
        <v>2.4737167594310453E-3</v>
      </c>
      <c r="AA61" s="62" t="s">
        <v>485</v>
      </c>
      <c r="AB61" s="89"/>
      <c r="AC61" s="89"/>
      <c r="AD61" s="89"/>
      <c r="AE61" s="89"/>
      <c r="AF61" s="89"/>
    </row>
    <row r="62" spans="1:32" s="64" customFormat="1" ht="99.75" customHeight="1">
      <c r="A62" s="63"/>
      <c r="B62" s="70">
        <v>46156</v>
      </c>
      <c r="C62" s="82">
        <v>46181</v>
      </c>
      <c r="D62" s="83">
        <v>46182</v>
      </c>
      <c r="E62" s="83">
        <v>46193</v>
      </c>
      <c r="F62" s="71" t="s">
        <v>235</v>
      </c>
      <c r="G62" s="66" t="s">
        <v>105</v>
      </c>
      <c r="H62" s="71" t="s">
        <v>32</v>
      </c>
      <c r="I62" s="63"/>
      <c r="J62" s="71" t="s">
        <v>34</v>
      </c>
      <c r="K62" s="139">
        <v>47442</v>
      </c>
      <c r="L62" s="76">
        <v>180</v>
      </c>
      <c r="M62" s="76" t="s">
        <v>47</v>
      </c>
      <c r="N62" s="100" t="s">
        <v>314</v>
      </c>
      <c r="O62" s="71" t="s">
        <v>20</v>
      </c>
      <c r="P62" s="76">
        <v>2821</v>
      </c>
      <c r="Q62" s="66">
        <f t="shared" si="14"/>
        <v>45</v>
      </c>
      <c r="R62" s="86">
        <f>5+459-434+419+1163+1164</f>
        <v>2776</v>
      </c>
      <c r="S62" s="101">
        <f t="shared" si="15"/>
        <v>45</v>
      </c>
      <c r="T62" s="65" t="s">
        <v>679</v>
      </c>
      <c r="U62" s="65" t="s">
        <v>680</v>
      </c>
      <c r="V62" s="87">
        <f>4+27+1160+419+1175</f>
        <v>2785</v>
      </c>
      <c r="W62" s="87">
        <f t="shared" si="16"/>
        <v>-36</v>
      </c>
      <c r="X62" s="67" t="s">
        <v>688</v>
      </c>
      <c r="Y62" s="67" t="s">
        <v>689</v>
      </c>
      <c r="Z62" s="88">
        <f t="shared" si="17"/>
        <v>1.2761432116270826E-2</v>
      </c>
      <c r="AA62" s="62" t="s">
        <v>957</v>
      </c>
      <c r="AB62" s="89"/>
      <c r="AC62" s="89"/>
      <c r="AD62" s="89"/>
      <c r="AE62" s="89"/>
      <c r="AF62" s="89"/>
    </row>
    <row r="63" spans="1:32" s="64" customFormat="1" ht="54.75" customHeight="1">
      <c r="A63" s="63"/>
      <c r="B63" s="70">
        <v>46156</v>
      </c>
      <c r="C63" s="82">
        <v>46181</v>
      </c>
      <c r="D63" s="83">
        <v>46183</v>
      </c>
      <c r="E63" s="83">
        <v>46193</v>
      </c>
      <c r="F63" s="71" t="s">
        <v>23</v>
      </c>
      <c r="G63" s="66" t="s">
        <v>105</v>
      </c>
      <c r="H63" s="71" t="s">
        <v>32</v>
      </c>
      <c r="I63" s="63"/>
      <c r="J63" s="71" t="s">
        <v>34</v>
      </c>
      <c r="K63" s="139">
        <v>47470</v>
      </c>
      <c r="L63" s="76">
        <v>260</v>
      </c>
      <c r="M63" s="76" t="s">
        <v>42</v>
      </c>
      <c r="N63" s="100" t="s">
        <v>202</v>
      </c>
      <c r="O63" s="71" t="s">
        <v>61</v>
      </c>
      <c r="P63" s="76">
        <v>96</v>
      </c>
      <c r="Q63" s="66">
        <f t="shared" si="14"/>
        <v>-30</v>
      </c>
      <c r="R63" s="86">
        <f>26+100</f>
        <v>126</v>
      </c>
      <c r="S63" s="87">
        <f t="shared" si="15"/>
        <v>-30</v>
      </c>
      <c r="T63" s="65" t="s">
        <v>421</v>
      </c>
      <c r="U63" s="65" t="s">
        <v>415</v>
      </c>
      <c r="V63" s="87">
        <f>95</f>
        <v>95</v>
      </c>
      <c r="W63" s="87">
        <f t="shared" si="16"/>
        <v>-1</v>
      </c>
      <c r="X63" s="67">
        <v>1679</v>
      </c>
      <c r="Y63" s="67" t="s">
        <v>766</v>
      </c>
      <c r="Z63" s="88">
        <f t="shared" si="17"/>
        <v>1.0416666666666668E-2</v>
      </c>
      <c r="AA63" s="62" t="s">
        <v>744</v>
      </c>
      <c r="AB63" s="89"/>
      <c r="AC63" s="89"/>
      <c r="AD63" s="89"/>
      <c r="AE63" s="89"/>
      <c r="AF63" s="89"/>
    </row>
    <row r="64" spans="1:32" s="64" customFormat="1" ht="79.5" customHeight="1">
      <c r="A64" s="63"/>
      <c r="B64" s="70">
        <v>46156</v>
      </c>
      <c r="C64" s="82">
        <v>46181</v>
      </c>
      <c r="D64" s="83">
        <v>46183</v>
      </c>
      <c r="E64" s="83">
        <v>46193</v>
      </c>
      <c r="F64" s="71" t="s">
        <v>23</v>
      </c>
      <c r="G64" s="66" t="s">
        <v>105</v>
      </c>
      <c r="H64" s="71" t="s">
        <v>32</v>
      </c>
      <c r="I64" s="63"/>
      <c r="J64" s="71" t="s">
        <v>34</v>
      </c>
      <c r="K64" s="139">
        <v>47470</v>
      </c>
      <c r="L64" s="76">
        <v>160</v>
      </c>
      <c r="M64" s="76" t="s">
        <v>42</v>
      </c>
      <c r="N64" s="100" t="s">
        <v>202</v>
      </c>
      <c r="O64" s="71" t="s">
        <v>52</v>
      </c>
      <c r="P64" s="76">
        <v>19</v>
      </c>
      <c r="Q64" s="66">
        <f t="shared" si="14"/>
        <v>-7</v>
      </c>
      <c r="R64" s="86">
        <f>26</f>
        <v>26</v>
      </c>
      <c r="S64" s="87">
        <f t="shared" si="15"/>
        <v>-7</v>
      </c>
      <c r="T64" s="65">
        <v>4766</v>
      </c>
      <c r="U64" s="65" t="s">
        <v>415</v>
      </c>
      <c r="V64" s="87">
        <f>5+23</f>
        <v>28</v>
      </c>
      <c r="W64" s="87">
        <f t="shared" si="16"/>
        <v>9</v>
      </c>
      <c r="X64" s="67" t="s">
        <v>767</v>
      </c>
      <c r="Y64" s="67" t="s">
        <v>768</v>
      </c>
      <c r="Z64" s="88">
        <f t="shared" si="17"/>
        <v>-0.47368421052631582</v>
      </c>
      <c r="AA64" s="62" t="s">
        <v>745</v>
      </c>
      <c r="AB64" s="89"/>
      <c r="AC64" s="89"/>
      <c r="AD64" s="89"/>
      <c r="AE64" s="89"/>
      <c r="AF64" s="89"/>
    </row>
    <row r="65" spans="1:32" s="64" customFormat="1" ht="147" customHeight="1">
      <c r="A65" s="63"/>
      <c r="B65" s="70">
        <v>46156</v>
      </c>
      <c r="C65" s="82">
        <v>46181</v>
      </c>
      <c r="D65" s="83">
        <v>46183</v>
      </c>
      <c r="E65" s="83">
        <v>46193</v>
      </c>
      <c r="F65" s="71" t="s">
        <v>23</v>
      </c>
      <c r="G65" s="66" t="s">
        <v>105</v>
      </c>
      <c r="H65" s="71" t="s">
        <v>32</v>
      </c>
      <c r="I65" s="63"/>
      <c r="J65" s="71" t="s">
        <v>34</v>
      </c>
      <c r="K65" s="139">
        <v>47470</v>
      </c>
      <c r="L65" s="76">
        <v>260</v>
      </c>
      <c r="M65" s="76" t="s">
        <v>42</v>
      </c>
      <c r="N65" s="100" t="s">
        <v>202</v>
      </c>
      <c r="O65" s="71" t="s">
        <v>61</v>
      </c>
      <c r="P65" s="76">
        <v>286</v>
      </c>
      <c r="Q65" s="66">
        <f t="shared" si="14"/>
        <v>-46</v>
      </c>
      <c r="R65" s="86">
        <f>45+263+24</f>
        <v>332</v>
      </c>
      <c r="S65" s="87">
        <f t="shared" si="15"/>
        <v>-46</v>
      </c>
      <c r="T65" s="65" t="s">
        <v>836</v>
      </c>
      <c r="U65" s="65" t="s">
        <v>415</v>
      </c>
      <c r="V65" s="87">
        <f>13+265+12+5</f>
        <v>295</v>
      </c>
      <c r="W65" s="87">
        <f t="shared" si="16"/>
        <v>9</v>
      </c>
      <c r="X65" s="67" t="s">
        <v>832</v>
      </c>
      <c r="Y65" s="67" t="s">
        <v>833</v>
      </c>
      <c r="Z65" s="88">
        <f t="shared" si="17"/>
        <v>-3.1468531468531465E-2</v>
      </c>
      <c r="AA65" s="62" t="s">
        <v>746</v>
      </c>
      <c r="AB65" s="89"/>
      <c r="AC65" s="89"/>
      <c r="AD65" s="89"/>
      <c r="AE65" s="89"/>
      <c r="AF65" s="89"/>
    </row>
    <row r="66" spans="1:32" s="64" customFormat="1" ht="117" customHeight="1">
      <c r="A66" s="63"/>
      <c r="B66" s="70">
        <v>46156</v>
      </c>
      <c r="C66" s="82">
        <v>46181</v>
      </c>
      <c r="D66" s="83">
        <v>46183</v>
      </c>
      <c r="E66" s="83">
        <v>46193</v>
      </c>
      <c r="F66" s="71" t="s">
        <v>23</v>
      </c>
      <c r="G66" s="66" t="s">
        <v>105</v>
      </c>
      <c r="H66" s="71" t="s">
        <v>32</v>
      </c>
      <c r="I66" s="63"/>
      <c r="J66" s="71" t="s">
        <v>34</v>
      </c>
      <c r="K66" s="139">
        <v>47469</v>
      </c>
      <c r="L66" s="76">
        <v>260</v>
      </c>
      <c r="M66" s="76" t="s">
        <v>42</v>
      </c>
      <c r="N66" s="100" t="s">
        <v>202</v>
      </c>
      <c r="O66" s="71" t="s">
        <v>61</v>
      </c>
      <c r="P66" s="76">
        <v>536</v>
      </c>
      <c r="Q66" s="66">
        <f t="shared" si="14"/>
        <v>-96</v>
      </c>
      <c r="R66" s="86">
        <f>32+532+68</f>
        <v>632</v>
      </c>
      <c r="S66" s="87">
        <f t="shared" si="15"/>
        <v>-96</v>
      </c>
      <c r="T66" s="65" t="s">
        <v>862</v>
      </c>
      <c r="U66" s="65" t="s">
        <v>863</v>
      </c>
      <c r="V66" s="87">
        <f>11+17+487+67</f>
        <v>582</v>
      </c>
      <c r="W66" s="87">
        <f t="shared" si="16"/>
        <v>46</v>
      </c>
      <c r="X66" s="67" t="s">
        <v>857</v>
      </c>
      <c r="Y66" s="67" t="s">
        <v>858</v>
      </c>
      <c r="Z66" s="88">
        <f t="shared" si="17"/>
        <v>-8.5820895522388058E-2</v>
      </c>
      <c r="AA66" s="62" t="s">
        <v>747</v>
      </c>
      <c r="AB66" s="89"/>
      <c r="AC66" s="89"/>
      <c r="AD66" s="89"/>
      <c r="AE66" s="89"/>
      <c r="AF66" s="89"/>
    </row>
    <row r="67" spans="1:32" s="64" customFormat="1" ht="109.5" customHeight="1">
      <c r="A67" s="63"/>
      <c r="B67" s="70">
        <v>46155</v>
      </c>
      <c r="C67" s="82">
        <v>46167</v>
      </c>
      <c r="D67" s="83">
        <v>46167</v>
      </c>
      <c r="E67" s="83">
        <v>46188</v>
      </c>
      <c r="F67" s="71" t="s">
        <v>44</v>
      </c>
      <c r="G67" s="66" t="s">
        <v>105</v>
      </c>
      <c r="H67" s="71" t="s">
        <v>32</v>
      </c>
      <c r="I67" s="63"/>
      <c r="J67" s="71" t="s">
        <v>34</v>
      </c>
      <c r="K67" s="139">
        <v>47503</v>
      </c>
      <c r="L67" s="76">
        <v>180</v>
      </c>
      <c r="M67" s="76" t="s">
        <v>47</v>
      </c>
      <c r="N67" s="100" t="s">
        <v>315</v>
      </c>
      <c r="O67" s="71" t="s">
        <v>20</v>
      </c>
      <c r="P67" s="76">
        <v>2445</v>
      </c>
      <c r="Q67" s="66">
        <f t="shared" si="14"/>
        <v>-9</v>
      </c>
      <c r="R67" s="86">
        <f>1013+26+418+997</f>
        <v>2454</v>
      </c>
      <c r="S67" s="87">
        <f t="shared" si="15"/>
        <v>-9</v>
      </c>
      <c r="T67" s="65" t="s">
        <v>632</v>
      </c>
      <c r="U67" s="65" t="s">
        <v>633</v>
      </c>
      <c r="V67" s="87">
        <f>1004+26+423+1001</f>
        <v>2454</v>
      </c>
      <c r="W67" s="87">
        <f t="shared" si="16"/>
        <v>9</v>
      </c>
      <c r="X67" s="67" t="s">
        <v>694</v>
      </c>
      <c r="Y67" s="67" t="s">
        <v>695</v>
      </c>
      <c r="Z67" s="88">
        <f t="shared" si="17"/>
        <v>-3.6809815950920245E-3</v>
      </c>
      <c r="AA67" s="62" t="s">
        <v>972</v>
      </c>
      <c r="AB67" s="89"/>
      <c r="AC67" s="89"/>
      <c r="AD67" s="89"/>
      <c r="AE67" s="89"/>
      <c r="AF67" s="89"/>
    </row>
    <row r="68" spans="1:32" s="64" customFormat="1" ht="102" customHeight="1">
      <c r="A68" s="63"/>
      <c r="B68" s="70">
        <v>46166</v>
      </c>
      <c r="C68" s="82">
        <v>46181</v>
      </c>
      <c r="D68" s="83">
        <v>46181</v>
      </c>
      <c r="E68" s="83">
        <v>46185</v>
      </c>
      <c r="F68" s="71" t="s">
        <v>23</v>
      </c>
      <c r="G68" s="66" t="s">
        <v>105</v>
      </c>
      <c r="H68" s="71" t="s">
        <v>175</v>
      </c>
      <c r="I68" s="63"/>
      <c r="J68" s="71" t="s">
        <v>34</v>
      </c>
      <c r="K68" s="139">
        <v>47326</v>
      </c>
      <c r="L68" s="76">
        <v>180</v>
      </c>
      <c r="M68" s="76" t="s">
        <v>47</v>
      </c>
      <c r="N68" s="100" t="s">
        <v>154</v>
      </c>
      <c r="O68" s="71" t="s">
        <v>20</v>
      </c>
      <c r="P68" s="76">
        <v>18</v>
      </c>
      <c r="Q68" s="66">
        <f t="shared" si="14"/>
        <v>18</v>
      </c>
      <c r="R68" s="86">
        <v>0</v>
      </c>
      <c r="S68" s="87">
        <f t="shared" si="15"/>
        <v>18</v>
      </c>
      <c r="T68" s="65"/>
      <c r="U68" s="65"/>
      <c r="V68" s="87">
        <v>0</v>
      </c>
      <c r="W68" s="87">
        <f t="shared" si="16"/>
        <v>-18</v>
      </c>
      <c r="X68" s="67"/>
      <c r="Y68" s="67"/>
      <c r="Z68" s="88">
        <f t="shared" si="17"/>
        <v>1</v>
      </c>
      <c r="AA68" s="62" t="s">
        <v>353</v>
      </c>
      <c r="AB68" s="89"/>
      <c r="AC68" s="89"/>
      <c r="AD68" s="89"/>
      <c r="AE68" s="89"/>
      <c r="AF68" s="89"/>
    </row>
    <row r="69" spans="1:32" s="64" customFormat="1" ht="106.5" customHeight="1">
      <c r="A69" s="63"/>
      <c r="B69" s="70">
        <v>46179</v>
      </c>
      <c r="C69" s="82">
        <v>46187</v>
      </c>
      <c r="D69" s="83">
        <v>46188</v>
      </c>
      <c r="E69" s="83">
        <v>46192</v>
      </c>
      <c r="F69" s="71" t="s">
        <v>23</v>
      </c>
      <c r="G69" s="66" t="s">
        <v>105</v>
      </c>
      <c r="H69" s="71" t="s">
        <v>179</v>
      </c>
      <c r="I69" s="63"/>
      <c r="J69" s="71" t="s">
        <v>18</v>
      </c>
      <c r="K69" s="102">
        <v>47560</v>
      </c>
      <c r="L69" s="76">
        <v>200</v>
      </c>
      <c r="M69" s="76" t="s">
        <v>45</v>
      </c>
      <c r="N69" s="100" t="s">
        <v>323</v>
      </c>
      <c r="O69" s="71" t="s">
        <v>28</v>
      </c>
      <c r="P69" s="76">
        <v>231</v>
      </c>
      <c r="Q69" s="66">
        <f t="shared" si="14"/>
        <v>-5</v>
      </c>
      <c r="R69" s="86">
        <f>236</f>
        <v>236</v>
      </c>
      <c r="S69" s="87">
        <f t="shared" si="15"/>
        <v>-5</v>
      </c>
      <c r="T69" s="65">
        <v>4711</v>
      </c>
      <c r="U69" s="65" t="s">
        <v>415</v>
      </c>
      <c r="V69" s="87">
        <f>230</f>
        <v>230</v>
      </c>
      <c r="W69" s="87">
        <f t="shared" si="16"/>
        <v>-1</v>
      </c>
      <c r="X69" s="67">
        <v>1571</v>
      </c>
      <c r="Y69" s="67" t="s">
        <v>467</v>
      </c>
      <c r="Z69" s="88">
        <f t="shared" si="17"/>
        <v>4.329004329004329E-3</v>
      </c>
      <c r="AA69" s="62" t="s">
        <v>503</v>
      </c>
      <c r="AB69" s="89"/>
      <c r="AC69" s="89"/>
      <c r="AD69" s="89"/>
      <c r="AE69" s="89"/>
      <c r="AF69" s="89"/>
    </row>
    <row r="70" spans="1:32" s="64" customFormat="1" ht="62.25" customHeight="1">
      <c r="A70" s="63"/>
      <c r="B70" s="70">
        <v>46179</v>
      </c>
      <c r="C70" s="82">
        <v>46187</v>
      </c>
      <c r="D70" s="83">
        <v>46188</v>
      </c>
      <c r="E70" s="83">
        <v>46192</v>
      </c>
      <c r="F70" s="71" t="s">
        <v>235</v>
      </c>
      <c r="G70" s="66" t="s">
        <v>105</v>
      </c>
      <c r="H70" s="71" t="s">
        <v>179</v>
      </c>
      <c r="I70" s="63"/>
      <c r="J70" s="71" t="s">
        <v>18</v>
      </c>
      <c r="K70" s="102">
        <v>47560</v>
      </c>
      <c r="L70" s="76">
        <v>200</v>
      </c>
      <c r="M70" s="76" t="s">
        <v>45</v>
      </c>
      <c r="N70" s="100" t="s">
        <v>107</v>
      </c>
      <c r="O70" s="71" t="s">
        <v>28</v>
      </c>
      <c r="P70" s="76">
        <v>81</v>
      </c>
      <c r="Q70" s="66">
        <f t="shared" si="14"/>
        <v>-5</v>
      </c>
      <c r="R70" s="86">
        <f>86</f>
        <v>86</v>
      </c>
      <c r="S70" s="87">
        <f t="shared" si="15"/>
        <v>-5</v>
      </c>
      <c r="T70" s="65">
        <v>68</v>
      </c>
      <c r="U70" s="65" t="s">
        <v>560</v>
      </c>
      <c r="V70" s="87">
        <f>83</f>
        <v>83</v>
      </c>
      <c r="W70" s="87">
        <f t="shared" si="16"/>
        <v>2</v>
      </c>
      <c r="X70" s="67">
        <v>1590</v>
      </c>
      <c r="Y70" s="67" t="s">
        <v>613</v>
      </c>
      <c r="Z70" s="88">
        <f t="shared" si="17"/>
        <v>-2.4691358024691357E-2</v>
      </c>
      <c r="AA70" s="62" t="s">
        <v>509</v>
      </c>
      <c r="AB70" s="89"/>
      <c r="AC70" s="89"/>
      <c r="AD70" s="89"/>
      <c r="AE70" s="89"/>
      <c r="AF70" s="89"/>
    </row>
    <row r="71" spans="1:32" s="64" customFormat="1" ht="109.5" customHeight="1">
      <c r="A71" s="63"/>
      <c r="B71" s="70">
        <v>46158</v>
      </c>
      <c r="C71" s="82">
        <v>46189</v>
      </c>
      <c r="D71" s="83">
        <v>46183</v>
      </c>
      <c r="E71" s="83">
        <v>46193</v>
      </c>
      <c r="F71" s="76" t="s">
        <v>121</v>
      </c>
      <c r="G71" s="66" t="s">
        <v>105</v>
      </c>
      <c r="H71" s="71" t="s">
        <v>138</v>
      </c>
      <c r="I71" s="63"/>
      <c r="J71" s="71" t="s">
        <v>34</v>
      </c>
      <c r="K71" s="139">
        <v>47502</v>
      </c>
      <c r="L71" s="76">
        <v>220</v>
      </c>
      <c r="M71" s="76" t="s">
        <v>19</v>
      </c>
      <c r="N71" s="100" t="s">
        <v>383</v>
      </c>
      <c r="O71" s="71" t="s">
        <v>110</v>
      </c>
      <c r="P71" s="76">
        <f>2180+120</f>
        <v>2300</v>
      </c>
      <c r="Q71" s="66">
        <f t="shared" si="14"/>
        <v>-8</v>
      </c>
      <c r="R71" s="86">
        <f>24+570+558+572+584</f>
        <v>2308</v>
      </c>
      <c r="S71" s="87">
        <f t="shared" si="15"/>
        <v>-8</v>
      </c>
      <c r="T71" s="65" t="s">
        <v>647</v>
      </c>
      <c r="U71" s="65" t="s">
        <v>648</v>
      </c>
      <c r="V71" s="87">
        <f>6+558+546+581+576-1062+530+516</f>
        <v>2251</v>
      </c>
      <c r="W71" s="87">
        <f t="shared" si="16"/>
        <v>-49</v>
      </c>
      <c r="X71" s="67" t="s">
        <v>748</v>
      </c>
      <c r="Y71" s="67" t="s">
        <v>749</v>
      </c>
      <c r="Z71" s="88">
        <f t="shared" si="17"/>
        <v>2.1304347826086957E-2</v>
      </c>
      <c r="AA71" s="62" t="s">
        <v>750</v>
      </c>
      <c r="AB71" s="89"/>
      <c r="AC71" s="89"/>
      <c r="AD71" s="89"/>
      <c r="AE71" s="89"/>
      <c r="AF71" s="89"/>
    </row>
    <row r="72" spans="1:32" s="64" customFormat="1" ht="54.75" customHeight="1">
      <c r="A72" s="63"/>
      <c r="B72" s="70">
        <v>46154</v>
      </c>
      <c r="C72" s="82">
        <v>46168</v>
      </c>
      <c r="D72" s="83">
        <v>46162</v>
      </c>
      <c r="E72" s="83">
        <v>46185</v>
      </c>
      <c r="F72" s="76" t="s">
        <v>23</v>
      </c>
      <c r="G72" s="66" t="s">
        <v>105</v>
      </c>
      <c r="H72" s="71" t="s">
        <v>64</v>
      </c>
      <c r="I72" s="63"/>
      <c r="J72" s="52" t="s">
        <v>34</v>
      </c>
      <c r="K72" s="57">
        <v>47386</v>
      </c>
      <c r="L72" s="17">
        <v>300</v>
      </c>
      <c r="M72" s="17" t="s">
        <v>122</v>
      </c>
      <c r="N72" s="59" t="s">
        <v>364</v>
      </c>
      <c r="O72" s="52" t="s">
        <v>365</v>
      </c>
      <c r="P72" s="76">
        <f>628-18</f>
        <v>610</v>
      </c>
      <c r="Q72" s="66">
        <f t="shared" si="14"/>
        <v>-38</v>
      </c>
      <c r="R72" s="86">
        <f>21+610+4+13</f>
        <v>648</v>
      </c>
      <c r="S72" s="87">
        <f t="shared" si="15"/>
        <v>-38</v>
      </c>
      <c r="T72" s="65" t="s">
        <v>649</v>
      </c>
      <c r="U72" s="65" t="s">
        <v>650</v>
      </c>
      <c r="V72" s="87">
        <f>532+59+4+7</f>
        <v>602</v>
      </c>
      <c r="W72" s="87">
        <f t="shared" si="16"/>
        <v>-8</v>
      </c>
      <c r="X72" s="67" t="s">
        <v>728</v>
      </c>
      <c r="Y72" s="67" t="s">
        <v>729</v>
      </c>
      <c r="Z72" s="88">
        <f t="shared" si="17"/>
        <v>1.3114754098360654E-2</v>
      </c>
      <c r="AA72" s="62" t="s">
        <v>536</v>
      </c>
      <c r="AB72" s="89"/>
      <c r="AC72" s="89"/>
      <c r="AD72" s="89"/>
      <c r="AE72" s="89"/>
      <c r="AF72" s="89"/>
    </row>
    <row r="73" spans="1:32" s="64" customFormat="1" ht="64.5" customHeight="1">
      <c r="A73" s="63"/>
      <c r="B73" s="70">
        <v>46154</v>
      </c>
      <c r="C73" s="82">
        <v>46168</v>
      </c>
      <c r="D73" s="83">
        <v>46162</v>
      </c>
      <c r="E73" s="83">
        <v>46185</v>
      </c>
      <c r="F73" s="76" t="s">
        <v>23</v>
      </c>
      <c r="G73" s="66" t="s">
        <v>105</v>
      </c>
      <c r="H73" s="71" t="s">
        <v>64</v>
      </c>
      <c r="I73" s="63"/>
      <c r="J73" s="52" t="s">
        <v>34</v>
      </c>
      <c r="K73" s="57">
        <v>47386</v>
      </c>
      <c r="L73" s="17">
        <v>300</v>
      </c>
      <c r="M73" s="17" t="s">
        <v>122</v>
      </c>
      <c r="N73" s="59" t="s">
        <v>366</v>
      </c>
      <c r="O73" s="52" t="s">
        <v>365</v>
      </c>
      <c r="P73" s="76">
        <f>1316-38</f>
        <v>1278</v>
      </c>
      <c r="Q73" s="66">
        <f t="shared" si="14"/>
        <v>-58</v>
      </c>
      <c r="R73" s="86">
        <f>21+698+606+11</f>
        <v>1336</v>
      </c>
      <c r="S73" s="87">
        <f t="shared" si="15"/>
        <v>-58</v>
      </c>
      <c r="T73" s="65" t="s">
        <v>686</v>
      </c>
      <c r="U73" s="65" t="s">
        <v>687</v>
      </c>
      <c r="V73" s="87">
        <f>25+676+9+495+44+6</f>
        <v>1255</v>
      </c>
      <c r="W73" s="87">
        <f t="shared" si="16"/>
        <v>-23</v>
      </c>
      <c r="X73" s="67" t="s">
        <v>730</v>
      </c>
      <c r="Y73" s="67" t="s">
        <v>731</v>
      </c>
      <c r="Z73" s="88">
        <f t="shared" si="17"/>
        <v>1.7996870109546165E-2</v>
      </c>
      <c r="AA73" s="62" t="s">
        <v>470</v>
      </c>
      <c r="AB73" s="89"/>
      <c r="AC73" s="89"/>
      <c r="AD73" s="89"/>
      <c r="AE73" s="89"/>
      <c r="AF73" s="89"/>
    </row>
    <row r="74" spans="1:32" s="16" customFormat="1" ht="99.75" customHeight="1">
      <c r="A74" s="15"/>
      <c r="B74" s="70">
        <v>46186</v>
      </c>
      <c r="C74" s="82">
        <v>46189</v>
      </c>
      <c r="D74" s="83">
        <v>46148</v>
      </c>
      <c r="E74" s="83">
        <v>46192</v>
      </c>
      <c r="F74" s="71" t="s">
        <v>235</v>
      </c>
      <c r="G74" s="66" t="s">
        <v>144</v>
      </c>
      <c r="H74" s="66" t="s">
        <v>32</v>
      </c>
      <c r="I74" s="15"/>
      <c r="J74" s="56" t="s">
        <v>34</v>
      </c>
      <c r="K74" s="139">
        <v>47379</v>
      </c>
      <c r="L74" s="55">
        <v>200</v>
      </c>
      <c r="M74" s="55" t="s">
        <v>60</v>
      </c>
      <c r="N74" s="59" t="s">
        <v>100</v>
      </c>
      <c r="O74" s="56" t="s">
        <v>66</v>
      </c>
      <c r="P74" s="76">
        <f>1554+41</f>
        <v>1595</v>
      </c>
      <c r="Q74" s="66">
        <f t="shared" si="14"/>
        <v>51</v>
      </c>
      <c r="R74" s="86">
        <f>754+764+26</f>
        <v>1544</v>
      </c>
      <c r="S74" s="101">
        <f t="shared" si="15"/>
        <v>51</v>
      </c>
      <c r="T74" s="65" t="s">
        <v>489</v>
      </c>
      <c r="U74" s="65" t="s">
        <v>490</v>
      </c>
      <c r="V74" s="87">
        <f>358+696+384+41+24</f>
        <v>1503</v>
      </c>
      <c r="W74" s="101">
        <f t="shared" si="16"/>
        <v>-92</v>
      </c>
      <c r="X74" s="67" t="s">
        <v>578</v>
      </c>
      <c r="Y74" s="67" t="s">
        <v>579</v>
      </c>
      <c r="Z74" s="105">
        <f t="shared" si="17"/>
        <v>5.7680250783699059E-2</v>
      </c>
      <c r="AA74" s="62" t="s">
        <v>439</v>
      </c>
      <c r="AB74" s="35"/>
      <c r="AC74" s="35"/>
      <c r="AD74" s="35"/>
      <c r="AE74" s="35"/>
      <c r="AF74" s="35"/>
    </row>
    <row r="75" spans="1:32" s="16" customFormat="1" ht="60" customHeight="1">
      <c r="A75" s="15"/>
      <c r="B75" s="70">
        <v>46186</v>
      </c>
      <c r="C75" s="82">
        <v>46189</v>
      </c>
      <c r="D75" s="83">
        <v>46148</v>
      </c>
      <c r="E75" s="83">
        <v>46192</v>
      </c>
      <c r="F75" s="71" t="s">
        <v>235</v>
      </c>
      <c r="G75" s="66" t="s">
        <v>144</v>
      </c>
      <c r="H75" s="66" t="s">
        <v>32</v>
      </c>
      <c r="I75" s="15"/>
      <c r="J75" s="56" t="s">
        <v>34</v>
      </c>
      <c r="K75" s="139">
        <v>47381</v>
      </c>
      <c r="L75" s="55">
        <v>200</v>
      </c>
      <c r="M75" s="55" t="s">
        <v>60</v>
      </c>
      <c r="N75" s="59" t="s">
        <v>475</v>
      </c>
      <c r="O75" s="56" t="s">
        <v>66</v>
      </c>
      <c r="P75" s="85">
        <v>1124</v>
      </c>
      <c r="Q75" s="66">
        <f t="shared" si="14"/>
        <v>-8</v>
      </c>
      <c r="R75" s="86">
        <f>1080+52</f>
        <v>1132</v>
      </c>
      <c r="S75" s="87">
        <f t="shared" si="15"/>
        <v>-8</v>
      </c>
      <c r="T75" s="65" t="s">
        <v>473</v>
      </c>
      <c r="U75" s="65" t="s">
        <v>474</v>
      </c>
      <c r="V75" s="87">
        <f>1041+35+49</f>
        <v>1125</v>
      </c>
      <c r="W75" s="87">
        <f t="shared" si="16"/>
        <v>1</v>
      </c>
      <c r="X75" s="67" t="s">
        <v>576</v>
      </c>
      <c r="Y75" s="67" t="s">
        <v>577</v>
      </c>
      <c r="Z75" s="88">
        <f t="shared" si="17"/>
        <v>-8.8967971530249117E-4</v>
      </c>
      <c r="AA75" s="62" t="s">
        <v>499</v>
      </c>
      <c r="AB75" s="35"/>
      <c r="AC75" s="35"/>
      <c r="AD75" s="35"/>
      <c r="AE75" s="35"/>
      <c r="AF75" s="35"/>
    </row>
    <row r="76" spans="1:32" s="64" customFormat="1" ht="54.75" hidden="1" customHeight="1">
      <c r="A76" s="63"/>
      <c r="B76" s="70"/>
      <c r="C76" s="82"/>
      <c r="D76" s="83"/>
      <c r="E76" s="83"/>
      <c r="F76" s="106"/>
      <c r="G76" s="66"/>
      <c r="H76" s="81"/>
      <c r="I76" s="63"/>
      <c r="J76" s="52"/>
      <c r="K76" s="57"/>
      <c r="L76" s="17"/>
      <c r="M76" s="17"/>
      <c r="N76" s="52"/>
      <c r="O76" s="52"/>
      <c r="P76" s="69">
        <v>0</v>
      </c>
      <c r="Q76" s="66">
        <f t="shared" si="14"/>
        <v>0</v>
      </c>
      <c r="R76" s="86">
        <v>0</v>
      </c>
      <c r="S76" s="87">
        <f t="shared" si="15"/>
        <v>0</v>
      </c>
      <c r="T76" s="65"/>
      <c r="U76" s="65"/>
      <c r="V76" s="87">
        <v>0</v>
      </c>
      <c r="W76" s="87">
        <f t="shared" si="16"/>
        <v>0</v>
      </c>
      <c r="X76" s="67"/>
      <c r="Y76" s="67"/>
      <c r="Z76" s="88" t="e">
        <f t="shared" si="17"/>
        <v>#DIV/0!</v>
      </c>
      <c r="AA76" s="62"/>
      <c r="AB76" s="89"/>
      <c r="AC76" s="89"/>
      <c r="AD76" s="89"/>
      <c r="AE76" s="89"/>
      <c r="AF76" s="89"/>
    </row>
    <row r="77" spans="1:32" s="64" customFormat="1" ht="63" customHeight="1">
      <c r="A77" s="63"/>
      <c r="B77" s="20">
        <v>46163</v>
      </c>
      <c r="C77" s="18">
        <v>46179</v>
      </c>
      <c r="D77" s="53">
        <v>46188</v>
      </c>
      <c r="E77" s="53">
        <v>46193</v>
      </c>
      <c r="F77" s="17" t="s">
        <v>23</v>
      </c>
      <c r="G77" s="66" t="s">
        <v>105</v>
      </c>
      <c r="H77" s="52" t="s">
        <v>24</v>
      </c>
      <c r="I77" s="63"/>
      <c r="J77" s="52" t="s">
        <v>18</v>
      </c>
      <c r="K77" s="140">
        <v>47526</v>
      </c>
      <c r="L77" s="17">
        <v>200</v>
      </c>
      <c r="M77" s="17" t="s">
        <v>122</v>
      </c>
      <c r="N77" s="59" t="s">
        <v>483</v>
      </c>
      <c r="O77" s="17" t="s">
        <v>123</v>
      </c>
      <c r="P77" s="17">
        <v>237</v>
      </c>
      <c r="Q77" s="66">
        <f t="shared" si="10"/>
        <v>-6</v>
      </c>
      <c r="R77" s="86">
        <f>243</f>
        <v>243</v>
      </c>
      <c r="S77" s="87">
        <f t="shared" si="11"/>
        <v>-6</v>
      </c>
      <c r="T77" s="65">
        <v>64</v>
      </c>
      <c r="U77" s="65" t="s">
        <v>467</v>
      </c>
      <c r="V77" s="87">
        <f>238</f>
        <v>238</v>
      </c>
      <c r="W77" s="87">
        <f t="shared" si="12"/>
        <v>1</v>
      </c>
      <c r="X77" s="67">
        <v>1590</v>
      </c>
      <c r="Y77" s="67" t="s">
        <v>613</v>
      </c>
      <c r="Z77" s="88">
        <f t="shared" si="13"/>
        <v>-4.2194092827004225E-3</v>
      </c>
      <c r="AA77" s="62" t="s">
        <v>555</v>
      </c>
      <c r="AB77" s="89"/>
      <c r="AC77" s="89"/>
      <c r="AD77" s="89"/>
      <c r="AE77" s="89"/>
      <c r="AF77" s="89"/>
    </row>
    <row r="78" spans="1:32" s="89" customFormat="1" ht="54.75" customHeight="1">
      <c r="A78" s="63"/>
      <c r="B78" s="70"/>
      <c r="C78" s="70"/>
      <c r="D78" s="70"/>
      <c r="E78" s="70"/>
      <c r="F78" s="93"/>
      <c r="G78" s="66"/>
      <c r="H78" s="74"/>
      <c r="I78" s="63"/>
      <c r="J78" s="62"/>
      <c r="K78" s="62"/>
      <c r="L78" s="69"/>
      <c r="M78" s="69"/>
      <c r="N78" s="69"/>
      <c r="O78" s="69"/>
      <c r="P78" s="104">
        <f t="shared" ref="P78:Y78" si="18">SUM(P27:P77)</f>
        <v>23841</v>
      </c>
      <c r="Q78" s="104">
        <f t="shared" si="18"/>
        <v>-791</v>
      </c>
      <c r="R78" s="104">
        <f t="shared" si="18"/>
        <v>24632</v>
      </c>
      <c r="S78" s="104">
        <f t="shared" si="18"/>
        <v>-791</v>
      </c>
      <c r="T78" s="104">
        <f t="shared" si="18"/>
        <v>89568</v>
      </c>
      <c r="U78" s="104">
        <f t="shared" si="18"/>
        <v>0</v>
      </c>
      <c r="V78" s="104">
        <f t="shared" si="18"/>
        <v>23540.5</v>
      </c>
      <c r="W78" s="104">
        <f t="shared" si="18"/>
        <v>-300.5</v>
      </c>
      <c r="X78" s="104">
        <f t="shared" si="18"/>
        <v>1245006</v>
      </c>
      <c r="Y78" s="104">
        <f t="shared" si="18"/>
        <v>0</v>
      </c>
      <c r="Z78" s="88">
        <f t="shared" si="13"/>
        <v>1.260433706639822E-2</v>
      </c>
      <c r="AA78" s="62"/>
    </row>
    <row r="79" spans="1:32" s="89" customFormat="1" ht="54.75" customHeight="1">
      <c r="A79" s="317" t="s">
        <v>180</v>
      </c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9"/>
    </row>
    <row r="80" spans="1:32" s="64" customFormat="1" ht="54.75" customHeight="1">
      <c r="A80" s="77" t="s">
        <v>1</v>
      </c>
      <c r="B80" s="94" t="s">
        <v>140</v>
      </c>
      <c r="C80" s="94" t="s">
        <v>141</v>
      </c>
      <c r="D80" s="94" t="s">
        <v>142</v>
      </c>
      <c r="E80" s="94" t="s">
        <v>143</v>
      </c>
      <c r="F80" s="78" t="s">
        <v>115</v>
      </c>
      <c r="G80" s="77" t="s">
        <v>117</v>
      </c>
      <c r="H80" s="73" t="s">
        <v>48</v>
      </c>
      <c r="I80" s="77" t="s">
        <v>2</v>
      </c>
      <c r="J80" s="77" t="s">
        <v>3</v>
      </c>
      <c r="K80" s="77" t="s">
        <v>4</v>
      </c>
      <c r="L80" s="95" t="s">
        <v>5</v>
      </c>
      <c r="M80" s="68" t="s">
        <v>6</v>
      </c>
      <c r="N80" s="77" t="s">
        <v>7</v>
      </c>
      <c r="O80" s="68" t="s">
        <v>8</v>
      </c>
      <c r="P80" s="68" t="s">
        <v>9</v>
      </c>
      <c r="Q80" s="68" t="s">
        <v>10</v>
      </c>
      <c r="R80" s="68" t="s">
        <v>11</v>
      </c>
      <c r="S80" s="68" t="s">
        <v>12</v>
      </c>
      <c r="T80" s="68" t="s">
        <v>119</v>
      </c>
      <c r="U80" s="68" t="s">
        <v>13</v>
      </c>
      <c r="V80" s="68" t="s">
        <v>14</v>
      </c>
      <c r="W80" s="68" t="s">
        <v>15</v>
      </c>
      <c r="X80" s="77" t="s">
        <v>119</v>
      </c>
      <c r="Y80" s="68" t="s">
        <v>118</v>
      </c>
      <c r="Z80" s="96" t="s">
        <v>16</v>
      </c>
      <c r="AA80" s="62" t="s">
        <v>17</v>
      </c>
      <c r="AB80" s="89"/>
      <c r="AC80" s="89"/>
      <c r="AD80" s="89"/>
      <c r="AE80" s="89"/>
      <c r="AF80" s="89"/>
    </row>
    <row r="81" spans="1:32" s="64" customFormat="1" ht="277.5" customHeight="1">
      <c r="A81" s="63"/>
      <c r="B81" s="70">
        <v>46162</v>
      </c>
      <c r="C81" s="82">
        <v>46188</v>
      </c>
      <c r="D81" s="83">
        <v>46189</v>
      </c>
      <c r="E81" s="83">
        <v>46195</v>
      </c>
      <c r="F81" s="71" t="s">
        <v>23</v>
      </c>
      <c r="G81" s="66" t="s">
        <v>105</v>
      </c>
      <c r="H81" s="71" t="s">
        <v>127</v>
      </c>
      <c r="I81" s="63"/>
      <c r="J81" s="71" t="s">
        <v>18</v>
      </c>
      <c r="K81" s="102">
        <v>47672</v>
      </c>
      <c r="L81" s="76">
        <v>280</v>
      </c>
      <c r="M81" s="76" t="s">
        <v>56</v>
      </c>
      <c r="N81" s="100" t="s">
        <v>303</v>
      </c>
      <c r="O81" s="71" t="s">
        <v>167</v>
      </c>
      <c r="P81" s="76">
        <v>480</v>
      </c>
      <c r="Q81" s="66">
        <f t="shared" ref="Q81:Q117" si="19">P81-R81</f>
        <v>-3</v>
      </c>
      <c r="R81" s="86">
        <f>483</f>
        <v>483</v>
      </c>
      <c r="S81" s="87">
        <f t="shared" ref="S81:S117" si="20">P81-R81</f>
        <v>-3</v>
      </c>
      <c r="T81" s="65">
        <v>4741</v>
      </c>
      <c r="U81" s="65" t="s">
        <v>463</v>
      </c>
      <c r="V81" s="87">
        <f>475</f>
        <v>475</v>
      </c>
      <c r="W81" s="87">
        <f t="shared" ref="W81:W116" si="21">+V81-P81</f>
        <v>-5</v>
      </c>
      <c r="X81" s="67">
        <v>1658</v>
      </c>
      <c r="Y81" s="67"/>
      <c r="Z81" s="88" t="s">
        <v>725</v>
      </c>
      <c r="AA81" s="62" t="s">
        <v>626</v>
      </c>
      <c r="AB81" s="89"/>
      <c r="AC81" s="89"/>
      <c r="AD81" s="89"/>
      <c r="AE81" s="89"/>
      <c r="AF81" s="89"/>
    </row>
    <row r="82" spans="1:32" s="64" customFormat="1" ht="119.25" customHeight="1">
      <c r="A82" s="63"/>
      <c r="B82" s="70">
        <v>46156</v>
      </c>
      <c r="C82" s="82">
        <v>46184</v>
      </c>
      <c r="D82" s="83">
        <v>46182</v>
      </c>
      <c r="E82" s="83">
        <v>46195</v>
      </c>
      <c r="F82" s="71" t="s">
        <v>23</v>
      </c>
      <c r="G82" s="66" t="s">
        <v>105</v>
      </c>
      <c r="H82" s="71" t="s">
        <v>32</v>
      </c>
      <c r="I82" s="63"/>
      <c r="J82" s="71" t="s">
        <v>34</v>
      </c>
      <c r="K82" s="139">
        <v>47441</v>
      </c>
      <c r="L82" s="76">
        <v>180</v>
      </c>
      <c r="M82" s="76" t="s">
        <v>35</v>
      </c>
      <c r="N82" s="100" t="s">
        <v>309</v>
      </c>
      <c r="O82" s="71" t="s">
        <v>20</v>
      </c>
      <c r="P82" s="76">
        <f>1196+27</f>
        <v>1223</v>
      </c>
      <c r="Q82" s="66">
        <f t="shared" si="19"/>
        <v>-6</v>
      </c>
      <c r="R82" s="86">
        <f>583+646</f>
        <v>1229</v>
      </c>
      <c r="S82" s="87">
        <f t="shared" si="20"/>
        <v>-6</v>
      </c>
      <c r="T82" s="65" t="s">
        <v>416</v>
      </c>
      <c r="U82" s="65" t="s">
        <v>417</v>
      </c>
      <c r="V82" s="87">
        <f>556+626</f>
        <v>1182</v>
      </c>
      <c r="W82" s="87">
        <f t="shared" si="21"/>
        <v>-41</v>
      </c>
      <c r="X82" s="67">
        <v>1571</v>
      </c>
      <c r="Y82" s="67" t="s">
        <v>467</v>
      </c>
      <c r="Z82" s="88">
        <f t="shared" ref="Z82:Z117" si="22">(P82-V82)*100/P82/100</f>
        <v>3.3524121013900246E-2</v>
      </c>
      <c r="AA82" s="62" t="s">
        <v>418</v>
      </c>
      <c r="AB82" s="89"/>
      <c r="AC82" s="89"/>
      <c r="AD82" s="89"/>
      <c r="AE82" s="89"/>
      <c r="AF82" s="89"/>
    </row>
    <row r="83" spans="1:32" s="64" customFormat="1" ht="173.25" customHeight="1">
      <c r="A83" s="63"/>
      <c r="B83" s="70">
        <v>46157</v>
      </c>
      <c r="C83" s="82">
        <v>46181</v>
      </c>
      <c r="D83" s="83">
        <v>46183</v>
      </c>
      <c r="E83" s="83">
        <v>46195</v>
      </c>
      <c r="F83" s="71" t="s">
        <v>23</v>
      </c>
      <c r="G83" s="66" t="s">
        <v>105</v>
      </c>
      <c r="H83" s="71" t="s">
        <v>138</v>
      </c>
      <c r="I83" s="63"/>
      <c r="J83" s="71" t="s">
        <v>34</v>
      </c>
      <c r="K83" s="139">
        <v>47501</v>
      </c>
      <c r="L83" s="76">
        <v>200</v>
      </c>
      <c r="M83" s="76" t="s">
        <v>316</v>
      </c>
      <c r="N83" s="59" t="s">
        <v>371</v>
      </c>
      <c r="O83" s="71" t="s">
        <v>66</v>
      </c>
      <c r="P83" s="76">
        <f>480+50</f>
        <v>530</v>
      </c>
      <c r="Q83" s="66">
        <f t="shared" si="19"/>
        <v>-59</v>
      </c>
      <c r="R83" s="86">
        <f>30+22+510-22+49</f>
        <v>589</v>
      </c>
      <c r="S83" s="101">
        <f t="shared" si="20"/>
        <v>-59</v>
      </c>
      <c r="T83" s="65" t="s">
        <v>822</v>
      </c>
      <c r="U83" s="65" t="s">
        <v>823</v>
      </c>
      <c r="V83" s="87">
        <f>506+47</f>
        <v>553</v>
      </c>
      <c r="W83" s="87">
        <f t="shared" si="21"/>
        <v>23</v>
      </c>
      <c r="X83" s="67" t="s">
        <v>848</v>
      </c>
      <c r="Y83" s="67" t="s">
        <v>849</v>
      </c>
      <c r="Z83" s="88">
        <f t="shared" si="22"/>
        <v>-4.3396226415094344E-2</v>
      </c>
      <c r="AA83" s="62" t="s">
        <v>950</v>
      </c>
      <c r="AB83" s="89"/>
      <c r="AC83" s="89"/>
      <c r="AD83" s="89"/>
      <c r="AE83" s="89"/>
      <c r="AF83" s="89"/>
    </row>
    <row r="84" spans="1:32" s="64" customFormat="1" ht="129" customHeight="1">
      <c r="A84" s="63"/>
      <c r="B84" s="70">
        <v>46158</v>
      </c>
      <c r="C84" s="82">
        <v>46188</v>
      </c>
      <c r="D84" s="83">
        <v>46183</v>
      </c>
      <c r="E84" s="83">
        <v>46200</v>
      </c>
      <c r="F84" s="111" t="s">
        <v>23</v>
      </c>
      <c r="G84" s="66" t="s">
        <v>105</v>
      </c>
      <c r="H84" s="71" t="s">
        <v>138</v>
      </c>
      <c r="I84" s="63"/>
      <c r="J84" s="71" t="s">
        <v>34</v>
      </c>
      <c r="K84" s="139">
        <v>47500</v>
      </c>
      <c r="L84" s="76">
        <v>220</v>
      </c>
      <c r="M84" s="76" t="s">
        <v>42</v>
      </c>
      <c r="N84" s="100" t="s">
        <v>317</v>
      </c>
      <c r="O84" s="71" t="s">
        <v>110</v>
      </c>
      <c r="P84" s="76">
        <f>3720+180-200</f>
        <v>3700</v>
      </c>
      <c r="Q84" s="66">
        <f t="shared" si="19"/>
        <v>-2</v>
      </c>
      <c r="R84" s="86">
        <f>909+918+935+901-870+458+384+67</f>
        <v>3702</v>
      </c>
      <c r="S84" s="87">
        <f t="shared" si="20"/>
        <v>-2</v>
      </c>
      <c r="T84" s="65" t="s">
        <v>860</v>
      </c>
      <c r="U84" s="65" t="s">
        <v>861</v>
      </c>
      <c r="V84" s="87">
        <f>15+10+873+624-876+558+223+336+890+451+392+81+64+83-23+22</f>
        <v>3723</v>
      </c>
      <c r="W84" s="87">
        <f t="shared" si="21"/>
        <v>23</v>
      </c>
      <c r="X84" s="67" t="s">
        <v>907</v>
      </c>
      <c r="Y84" s="67" t="s">
        <v>908</v>
      </c>
      <c r="Z84" s="88">
        <f t="shared" si="22"/>
        <v>-6.216216216216216E-3</v>
      </c>
      <c r="AA84" s="62" t="s">
        <v>909</v>
      </c>
      <c r="AB84" s="89"/>
      <c r="AC84" s="89"/>
      <c r="AD84" s="89"/>
      <c r="AE84" s="89"/>
      <c r="AF84" s="89"/>
    </row>
    <row r="85" spans="1:32" s="64" customFormat="1" ht="111.75" customHeight="1">
      <c r="A85" s="63"/>
      <c r="B85" s="70">
        <v>46123</v>
      </c>
      <c r="C85" s="82">
        <v>46160</v>
      </c>
      <c r="D85" s="83">
        <v>46135</v>
      </c>
      <c r="E85" s="83">
        <v>46195</v>
      </c>
      <c r="F85" s="66" t="s">
        <v>23</v>
      </c>
      <c r="G85" s="66" t="s">
        <v>105</v>
      </c>
      <c r="H85" s="71" t="s">
        <v>32</v>
      </c>
      <c r="I85" s="63"/>
      <c r="J85" s="71" t="s">
        <v>34</v>
      </c>
      <c r="K85" s="139">
        <v>47325</v>
      </c>
      <c r="L85" s="76">
        <v>180</v>
      </c>
      <c r="M85" s="76" t="s">
        <v>21</v>
      </c>
      <c r="N85" s="100" t="s">
        <v>154</v>
      </c>
      <c r="O85" s="71" t="s">
        <v>20</v>
      </c>
      <c r="P85" s="85">
        <v>3066</v>
      </c>
      <c r="Q85" s="66">
        <f t="shared" si="19"/>
        <v>-436</v>
      </c>
      <c r="R85" s="86">
        <f>1069+1010+30+936+134-48+371</f>
        <v>3502</v>
      </c>
      <c r="S85" s="87">
        <f t="shared" si="20"/>
        <v>-436</v>
      </c>
      <c r="T85" s="65" t="s">
        <v>534</v>
      </c>
      <c r="U85" s="65" t="s">
        <v>535</v>
      </c>
      <c r="V85" s="87">
        <f>17+961+28+82+56+968+860+360</f>
        <v>3332</v>
      </c>
      <c r="W85" s="87">
        <f t="shared" si="21"/>
        <v>266</v>
      </c>
      <c r="X85" s="67" t="s">
        <v>566</v>
      </c>
      <c r="Y85" s="67" t="s">
        <v>567</v>
      </c>
      <c r="Z85" s="88">
        <f t="shared" si="22"/>
        <v>-8.6757990867579904E-2</v>
      </c>
      <c r="AA85" s="62" t="s">
        <v>568</v>
      </c>
      <c r="AB85" s="89"/>
      <c r="AC85" s="89"/>
      <c r="AD85" s="89"/>
      <c r="AE85" s="89"/>
      <c r="AF85" s="89"/>
    </row>
    <row r="86" spans="1:32" s="64" customFormat="1" ht="54.75" customHeight="1">
      <c r="A86" s="63"/>
      <c r="B86" s="70">
        <v>46183</v>
      </c>
      <c r="C86" s="82">
        <v>46195</v>
      </c>
      <c r="D86" s="83">
        <v>46198</v>
      </c>
      <c r="E86" s="83">
        <v>46203</v>
      </c>
      <c r="F86" s="71" t="s">
        <v>44</v>
      </c>
      <c r="G86" s="66" t="s">
        <v>105</v>
      </c>
      <c r="H86" s="71" t="s">
        <v>24</v>
      </c>
      <c r="I86" s="63"/>
      <c r="J86" s="71" t="s">
        <v>18</v>
      </c>
      <c r="K86" s="102">
        <v>47538</v>
      </c>
      <c r="L86" s="76">
        <v>240</v>
      </c>
      <c r="M86" s="76" t="s">
        <v>42</v>
      </c>
      <c r="N86" s="100" t="s">
        <v>318</v>
      </c>
      <c r="O86" s="71" t="s">
        <v>41</v>
      </c>
      <c r="P86" s="76">
        <v>157</v>
      </c>
      <c r="Q86" s="66">
        <f t="shared" si="19"/>
        <v>-8</v>
      </c>
      <c r="R86" s="86">
        <f>165</f>
        <v>165</v>
      </c>
      <c r="S86" s="87">
        <f t="shared" si="20"/>
        <v>-8</v>
      </c>
      <c r="T86" s="65">
        <v>110</v>
      </c>
      <c r="U86" s="65" t="s">
        <v>599</v>
      </c>
      <c r="V86" s="87">
        <f>170</f>
        <v>170</v>
      </c>
      <c r="W86" s="87">
        <f t="shared" si="21"/>
        <v>13</v>
      </c>
      <c r="X86" s="67">
        <v>1624</v>
      </c>
      <c r="Y86" s="67" t="s">
        <v>640</v>
      </c>
      <c r="Z86" s="88">
        <f t="shared" si="22"/>
        <v>-8.2802547770700646E-2</v>
      </c>
      <c r="AA86" s="62" t="s">
        <v>491</v>
      </c>
      <c r="AB86" s="89"/>
      <c r="AC86" s="89"/>
      <c r="AD86" s="89"/>
      <c r="AE86" s="89"/>
      <c r="AF86" s="89"/>
    </row>
    <row r="87" spans="1:32" s="64" customFormat="1" ht="54.75" customHeight="1">
      <c r="A87" s="63"/>
      <c r="B87" s="70">
        <v>46183</v>
      </c>
      <c r="C87" s="82">
        <v>46196</v>
      </c>
      <c r="D87" s="83">
        <v>46198</v>
      </c>
      <c r="E87" s="83">
        <v>46203</v>
      </c>
      <c r="F87" s="71" t="s">
        <v>44</v>
      </c>
      <c r="G87" s="66" t="s">
        <v>105</v>
      </c>
      <c r="H87" s="71" t="s">
        <v>24</v>
      </c>
      <c r="I87" s="63"/>
      <c r="J87" s="71" t="s">
        <v>18</v>
      </c>
      <c r="K87" s="102">
        <v>47539</v>
      </c>
      <c r="L87" s="76">
        <v>240</v>
      </c>
      <c r="M87" s="76" t="s">
        <v>42</v>
      </c>
      <c r="N87" s="100" t="s">
        <v>318</v>
      </c>
      <c r="O87" s="71" t="s">
        <v>41</v>
      </c>
      <c r="P87" s="76">
        <v>214</v>
      </c>
      <c r="Q87" s="66">
        <f t="shared" si="19"/>
        <v>-12</v>
      </c>
      <c r="R87" s="86">
        <f>226</f>
        <v>226</v>
      </c>
      <c r="S87" s="87">
        <f t="shared" si="20"/>
        <v>-12</v>
      </c>
      <c r="T87" s="65">
        <v>110</v>
      </c>
      <c r="U87" s="65" t="s">
        <v>599</v>
      </c>
      <c r="V87" s="87">
        <f>226</f>
        <v>226</v>
      </c>
      <c r="W87" s="87">
        <f t="shared" si="21"/>
        <v>12</v>
      </c>
      <c r="X87" s="67">
        <v>1624</v>
      </c>
      <c r="Y87" s="67" t="s">
        <v>640</v>
      </c>
      <c r="Z87" s="88">
        <f t="shared" si="22"/>
        <v>-5.6074766355140186E-2</v>
      </c>
      <c r="AA87" s="62" t="s">
        <v>492</v>
      </c>
      <c r="AB87" s="89"/>
      <c r="AC87" s="89"/>
      <c r="AD87" s="89"/>
      <c r="AE87" s="89"/>
      <c r="AF87" s="89"/>
    </row>
    <row r="88" spans="1:32" s="64" customFormat="1" ht="74.25" customHeight="1">
      <c r="A88" s="63"/>
      <c r="B88" s="70">
        <v>46179</v>
      </c>
      <c r="C88" s="82">
        <v>46193</v>
      </c>
      <c r="D88" s="83">
        <v>46195</v>
      </c>
      <c r="E88" s="83">
        <v>46200</v>
      </c>
      <c r="F88" s="71" t="s">
        <v>23</v>
      </c>
      <c r="G88" s="66" t="s">
        <v>116</v>
      </c>
      <c r="H88" s="71" t="s">
        <v>24</v>
      </c>
      <c r="I88" s="63"/>
      <c r="J88" s="71" t="s">
        <v>18</v>
      </c>
      <c r="K88" s="102">
        <v>47540</v>
      </c>
      <c r="L88" s="76">
        <v>240</v>
      </c>
      <c r="M88" s="76" t="s">
        <v>56</v>
      </c>
      <c r="N88" s="100" t="s">
        <v>319</v>
      </c>
      <c r="O88" s="71" t="s">
        <v>171</v>
      </c>
      <c r="P88" s="76">
        <v>152</v>
      </c>
      <c r="Q88" s="66">
        <f t="shared" si="19"/>
        <v>-19</v>
      </c>
      <c r="R88" s="86">
        <f>156+15</f>
        <v>171</v>
      </c>
      <c r="S88" s="87">
        <f t="shared" si="20"/>
        <v>-19</v>
      </c>
      <c r="T88" s="65" t="s">
        <v>753</v>
      </c>
      <c r="U88" s="65" t="s">
        <v>754</v>
      </c>
      <c r="V88" s="87">
        <f>153+13</f>
        <v>166</v>
      </c>
      <c r="W88" s="87">
        <f t="shared" si="21"/>
        <v>14</v>
      </c>
      <c r="X88" s="67" t="s">
        <v>771</v>
      </c>
      <c r="Y88" s="67" t="s">
        <v>769</v>
      </c>
      <c r="Z88" s="88">
        <f t="shared" si="22"/>
        <v>-9.2105263157894746E-2</v>
      </c>
      <c r="AA88" s="62" t="s">
        <v>770</v>
      </c>
      <c r="AB88" s="89"/>
      <c r="AC88" s="89"/>
      <c r="AD88" s="89"/>
      <c r="AE88" s="89"/>
      <c r="AF88" s="89"/>
    </row>
    <row r="89" spans="1:32" s="64" customFormat="1" ht="63" customHeight="1">
      <c r="A89" s="63"/>
      <c r="B89" s="70">
        <v>46182</v>
      </c>
      <c r="C89" s="82">
        <v>46191</v>
      </c>
      <c r="D89" s="83">
        <v>46193</v>
      </c>
      <c r="E89" s="83">
        <v>46198</v>
      </c>
      <c r="F89" s="71" t="s">
        <v>23</v>
      </c>
      <c r="G89" s="66" t="s">
        <v>105</v>
      </c>
      <c r="H89" s="71" t="s">
        <v>24</v>
      </c>
      <c r="I89" s="63"/>
      <c r="J89" s="71" t="s">
        <v>18</v>
      </c>
      <c r="K89" s="102">
        <v>47527</v>
      </c>
      <c r="L89" s="76">
        <v>200</v>
      </c>
      <c r="M89" s="76" t="s">
        <v>122</v>
      </c>
      <c r="N89" s="100" t="s">
        <v>320</v>
      </c>
      <c r="O89" s="71" t="s">
        <v>123</v>
      </c>
      <c r="P89" s="76">
        <v>181</v>
      </c>
      <c r="Q89" s="66">
        <f t="shared" si="19"/>
        <v>-6</v>
      </c>
      <c r="R89" s="86">
        <f>187</f>
        <v>187</v>
      </c>
      <c r="S89" s="87">
        <f t="shared" si="20"/>
        <v>-6</v>
      </c>
      <c r="T89" s="65">
        <v>64</v>
      </c>
      <c r="U89" s="65" t="s">
        <v>467</v>
      </c>
      <c r="V89" s="87">
        <f>190</f>
        <v>190</v>
      </c>
      <c r="W89" s="87">
        <f t="shared" si="21"/>
        <v>9</v>
      </c>
      <c r="X89" s="67">
        <v>1590</v>
      </c>
      <c r="Y89" s="67" t="s">
        <v>613</v>
      </c>
      <c r="Z89" s="88">
        <f t="shared" si="22"/>
        <v>-4.9723756906077353E-2</v>
      </c>
      <c r="AA89" s="62" t="s">
        <v>555</v>
      </c>
      <c r="AB89" s="89"/>
      <c r="AC89" s="89"/>
      <c r="AD89" s="89"/>
      <c r="AE89" s="89"/>
      <c r="AF89" s="89"/>
    </row>
    <row r="90" spans="1:32" s="64" customFormat="1" ht="123" customHeight="1">
      <c r="A90" s="63"/>
      <c r="B90" s="70">
        <v>46181</v>
      </c>
      <c r="C90" s="82">
        <v>46193</v>
      </c>
      <c r="D90" s="83">
        <v>46196</v>
      </c>
      <c r="E90" s="83">
        <v>46201</v>
      </c>
      <c r="F90" s="71" t="s">
        <v>235</v>
      </c>
      <c r="G90" s="66" t="s">
        <v>105</v>
      </c>
      <c r="H90" s="71" t="s">
        <v>29</v>
      </c>
      <c r="I90" s="63"/>
      <c r="J90" s="71" t="s">
        <v>18</v>
      </c>
      <c r="K90" s="102">
        <v>47603</v>
      </c>
      <c r="L90" s="76">
        <v>200</v>
      </c>
      <c r="M90" s="76" t="s">
        <v>45</v>
      </c>
      <c r="N90" s="100" t="s">
        <v>107</v>
      </c>
      <c r="O90" s="71" t="s">
        <v>28</v>
      </c>
      <c r="P90" s="76">
        <v>126</v>
      </c>
      <c r="Q90" s="66">
        <f t="shared" si="19"/>
        <v>-6</v>
      </c>
      <c r="R90" s="86">
        <f>132</f>
        <v>132</v>
      </c>
      <c r="S90" s="87">
        <f t="shared" si="20"/>
        <v>-6</v>
      </c>
      <c r="T90" s="65">
        <v>112</v>
      </c>
      <c r="U90" s="65" t="s">
        <v>599</v>
      </c>
      <c r="V90" s="87">
        <f>126</f>
        <v>126</v>
      </c>
      <c r="W90" s="87">
        <f t="shared" si="21"/>
        <v>0</v>
      </c>
      <c r="X90" s="67">
        <v>1705</v>
      </c>
      <c r="Y90" s="67" t="s">
        <v>693</v>
      </c>
      <c r="Z90" s="88">
        <f t="shared" si="22"/>
        <v>0</v>
      </c>
      <c r="AA90" s="62" t="s">
        <v>624</v>
      </c>
      <c r="AB90" s="89"/>
      <c r="AC90" s="89"/>
      <c r="AD90" s="89"/>
      <c r="AE90" s="89"/>
      <c r="AF90" s="89"/>
    </row>
    <row r="91" spans="1:32" s="64" customFormat="1" ht="96.75" customHeight="1">
      <c r="A91" s="63"/>
      <c r="B91" s="70">
        <v>46181</v>
      </c>
      <c r="C91" s="82">
        <v>46193</v>
      </c>
      <c r="D91" s="83">
        <v>46196</v>
      </c>
      <c r="E91" s="83">
        <v>46201</v>
      </c>
      <c r="F91" s="71" t="s">
        <v>23</v>
      </c>
      <c r="G91" s="66" t="s">
        <v>105</v>
      </c>
      <c r="H91" s="71" t="s">
        <v>29</v>
      </c>
      <c r="I91" s="63"/>
      <c r="J91" s="71" t="s">
        <v>18</v>
      </c>
      <c r="K91" s="102">
        <v>47603</v>
      </c>
      <c r="L91" s="76">
        <v>200</v>
      </c>
      <c r="M91" s="76" t="s">
        <v>45</v>
      </c>
      <c r="N91" s="100" t="s">
        <v>126</v>
      </c>
      <c r="O91" s="71" t="s">
        <v>28</v>
      </c>
      <c r="P91" s="76">
        <v>252</v>
      </c>
      <c r="Q91" s="66">
        <f t="shared" si="19"/>
        <v>-2</v>
      </c>
      <c r="R91" s="86">
        <f>254</f>
        <v>254</v>
      </c>
      <c r="S91" s="87">
        <f t="shared" si="20"/>
        <v>-2</v>
      </c>
      <c r="T91" s="65">
        <v>4711</v>
      </c>
      <c r="U91" s="65" t="s">
        <v>415</v>
      </c>
      <c r="V91" s="87">
        <f>5+248</f>
        <v>253</v>
      </c>
      <c r="W91" s="87">
        <f t="shared" si="21"/>
        <v>1</v>
      </c>
      <c r="X91" s="67" t="s">
        <v>562</v>
      </c>
      <c r="Y91" s="67" t="s">
        <v>561</v>
      </c>
      <c r="Z91" s="88">
        <f t="shared" si="22"/>
        <v>-3.968253968253968E-3</v>
      </c>
      <c r="AA91" s="62" t="s">
        <v>541</v>
      </c>
      <c r="AB91" s="89"/>
      <c r="AC91" s="89"/>
      <c r="AD91" s="89"/>
      <c r="AE91" s="89"/>
      <c r="AF91" s="89"/>
    </row>
    <row r="92" spans="1:32" s="64" customFormat="1" ht="84" customHeight="1">
      <c r="A92" s="63"/>
      <c r="B92" s="70">
        <v>46181</v>
      </c>
      <c r="C92" s="82">
        <v>46192</v>
      </c>
      <c r="D92" s="83">
        <v>46195</v>
      </c>
      <c r="E92" s="83">
        <v>46200</v>
      </c>
      <c r="F92" s="71" t="s">
        <v>235</v>
      </c>
      <c r="G92" s="66" t="s">
        <v>105</v>
      </c>
      <c r="H92" s="71" t="s">
        <v>29</v>
      </c>
      <c r="I92" s="63"/>
      <c r="J92" s="71" t="s">
        <v>18</v>
      </c>
      <c r="K92" s="102">
        <v>47604</v>
      </c>
      <c r="L92" s="76">
        <v>200</v>
      </c>
      <c r="M92" s="76" t="s">
        <v>45</v>
      </c>
      <c r="N92" s="100" t="s">
        <v>107</v>
      </c>
      <c r="O92" s="71" t="s">
        <v>28</v>
      </c>
      <c r="P92" s="76">
        <v>159</v>
      </c>
      <c r="Q92" s="66">
        <f t="shared" si="19"/>
        <v>-3</v>
      </c>
      <c r="R92" s="86">
        <f>162</f>
        <v>162</v>
      </c>
      <c r="S92" s="87">
        <f t="shared" si="20"/>
        <v>-3</v>
      </c>
      <c r="T92" s="65">
        <v>54</v>
      </c>
      <c r="U92" s="65" t="s">
        <v>465</v>
      </c>
      <c r="V92" s="87">
        <f>150</f>
        <v>150</v>
      </c>
      <c r="W92" s="87">
        <f t="shared" si="21"/>
        <v>-9</v>
      </c>
      <c r="X92" s="67">
        <v>1590</v>
      </c>
      <c r="Y92" s="67" t="s">
        <v>613</v>
      </c>
      <c r="Z92" s="88">
        <f t="shared" si="22"/>
        <v>5.6603773584905655E-2</v>
      </c>
      <c r="AA92" s="62" t="s">
        <v>510</v>
      </c>
      <c r="AB92" s="89"/>
      <c r="AC92" s="89"/>
      <c r="AD92" s="89"/>
      <c r="AE92" s="89"/>
      <c r="AF92" s="89"/>
    </row>
    <row r="93" spans="1:32" s="64" customFormat="1" ht="84" customHeight="1">
      <c r="A93" s="63"/>
      <c r="B93" s="70">
        <v>46181</v>
      </c>
      <c r="C93" s="82">
        <v>46192</v>
      </c>
      <c r="D93" s="83">
        <v>46195</v>
      </c>
      <c r="E93" s="83">
        <v>46200</v>
      </c>
      <c r="F93" s="71" t="s">
        <v>23</v>
      </c>
      <c r="G93" s="66" t="s">
        <v>105</v>
      </c>
      <c r="H93" s="71" t="s">
        <v>29</v>
      </c>
      <c r="I93" s="63"/>
      <c r="J93" s="71" t="s">
        <v>18</v>
      </c>
      <c r="K93" s="102">
        <v>47604</v>
      </c>
      <c r="L93" s="76">
        <v>200</v>
      </c>
      <c r="M93" s="76" t="s">
        <v>45</v>
      </c>
      <c r="N93" s="100" t="s">
        <v>126</v>
      </c>
      <c r="O93" s="71" t="s">
        <v>28</v>
      </c>
      <c r="P93" s="76">
        <v>159</v>
      </c>
      <c r="Q93" s="66">
        <f t="shared" si="19"/>
        <v>-2</v>
      </c>
      <c r="R93" s="86">
        <f>161</f>
        <v>161</v>
      </c>
      <c r="S93" s="87">
        <f t="shared" si="20"/>
        <v>-2</v>
      </c>
      <c r="T93" s="65">
        <v>4711</v>
      </c>
      <c r="U93" s="65" t="s">
        <v>415</v>
      </c>
      <c r="V93" s="87">
        <f>157</f>
        <v>157</v>
      </c>
      <c r="W93" s="87">
        <f t="shared" si="21"/>
        <v>-2</v>
      </c>
      <c r="X93" s="67">
        <v>1607</v>
      </c>
      <c r="Y93" s="67" t="s">
        <v>560</v>
      </c>
      <c r="Z93" s="88">
        <f t="shared" si="22"/>
        <v>1.2578616352201257E-2</v>
      </c>
      <c r="AA93" s="62" t="s">
        <v>506</v>
      </c>
      <c r="AB93" s="89"/>
      <c r="AC93" s="89"/>
      <c r="AD93" s="89"/>
      <c r="AE93" s="89"/>
      <c r="AF93" s="89"/>
    </row>
    <row r="94" spans="1:32" s="64" customFormat="1" ht="91.5" customHeight="1">
      <c r="A94" s="63"/>
      <c r="B94" s="70">
        <v>46182</v>
      </c>
      <c r="C94" s="82">
        <v>46191</v>
      </c>
      <c r="D94" s="83">
        <v>46195</v>
      </c>
      <c r="E94" s="83">
        <v>46200</v>
      </c>
      <c r="F94" s="71" t="s">
        <v>235</v>
      </c>
      <c r="G94" s="66" t="s">
        <v>105</v>
      </c>
      <c r="H94" s="71" t="s">
        <v>29</v>
      </c>
      <c r="I94" s="63"/>
      <c r="J94" s="71" t="s">
        <v>18</v>
      </c>
      <c r="K94" s="102">
        <v>47605</v>
      </c>
      <c r="L94" s="76">
        <v>200</v>
      </c>
      <c r="M94" s="76" t="s">
        <v>45</v>
      </c>
      <c r="N94" s="100" t="s">
        <v>107</v>
      </c>
      <c r="O94" s="71" t="s">
        <v>28</v>
      </c>
      <c r="P94" s="76">
        <v>109</v>
      </c>
      <c r="Q94" s="66">
        <f t="shared" si="19"/>
        <v>-3</v>
      </c>
      <c r="R94" s="86">
        <f>112</f>
        <v>112</v>
      </c>
      <c r="S94" s="87">
        <f t="shared" si="20"/>
        <v>-3</v>
      </c>
      <c r="T94" s="65">
        <v>54</v>
      </c>
      <c r="U94" s="65" t="s">
        <v>465</v>
      </c>
      <c r="V94" s="87">
        <f>110</f>
        <v>110</v>
      </c>
      <c r="W94" s="87">
        <f t="shared" si="21"/>
        <v>1</v>
      </c>
      <c r="X94" s="67">
        <v>1590</v>
      </c>
      <c r="Y94" s="67" t="s">
        <v>613</v>
      </c>
      <c r="Z94" s="88">
        <f t="shared" si="22"/>
        <v>-9.1743119266055051E-3</v>
      </c>
      <c r="AA94" s="62" t="s">
        <v>511</v>
      </c>
      <c r="AB94" s="89"/>
      <c r="AC94" s="89"/>
      <c r="AD94" s="89"/>
      <c r="AE94" s="89"/>
      <c r="AF94" s="89"/>
    </row>
    <row r="95" spans="1:32" s="64" customFormat="1" ht="54.75" customHeight="1">
      <c r="A95" s="63"/>
      <c r="B95" s="70">
        <v>46182</v>
      </c>
      <c r="C95" s="82">
        <v>46191</v>
      </c>
      <c r="D95" s="83">
        <v>46195</v>
      </c>
      <c r="E95" s="83">
        <v>46200</v>
      </c>
      <c r="F95" s="71" t="s">
        <v>23</v>
      </c>
      <c r="G95" s="66" t="s">
        <v>105</v>
      </c>
      <c r="H95" s="71" t="s">
        <v>29</v>
      </c>
      <c r="I95" s="63"/>
      <c r="J95" s="71" t="s">
        <v>18</v>
      </c>
      <c r="K95" s="102">
        <v>47605</v>
      </c>
      <c r="L95" s="76">
        <v>200</v>
      </c>
      <c r="M95" s="76" t="s">
        <v>45</v>
      </c>
      <c r="N95" s="100" t="s">
        <v>126</v>
      </c>
      <c r="O95" s="71" t="s">
        <v>28</v>
      </c>
      <c r="P95" s="76">
        <v>236</v>
      </c>
      <c r="Q95" s="66">
        <f t="shared" si="19"/>
        <v>-2</v>
      </c>
      <c r="R95" s="86">
        <f>238</f>
        <v>238</v>
      </c>
      <c r="S95" s="87">
        <f t="shared" si="20"/>
        <v>-2</v>
      </c>
      <c r="T95" s="65">
        <v>4711</v>
      </c>
      <c r="U95" s="65" t="s">
        <v>415</v>
      </c>
      <c r="V95" s="87">
        <f>233</f>
        <v>233</v>
      </c>
      <c r="W95" s="87">
        <f t="shared" si="21"/>
        <v>-3</v>
      </c>
      <c r="X95" s="67">
        <v>1607</v>
      </c>
      <c r="Y95" s="67" t="s">
        <v>560</v>
      </c>
      <c r="Z95" s="88">
        <f t="shared" si="22"/>
        <v>1.271186440677966E-2</v>
      </c>
      <c r="AA95" s="62" t="s">
        <v>506</v>
      </c>
      <c r="AB95" s="89"/>
      <c r="AC95" s="89"/>
      <c r="AD95" s="89"/>
      <c r="AE95" s="89"/>
      <c r="AF95" s="89"/>
    </row>
    <row r="96" spans="1:32" s="64" customFormat="1" ht="123" customHeight="1">
      <c r="A96" s="63"/>
      <c r="B96" s="70">
        <v>46181</v>
      </c>
      <c r="C96" s="82">
        <v>46193</v>
      </c>
      <c r="D96" s="83">
        <v>46196</v>
      </c>
      <c r="E96" s="83">
        <v>46202</v>
      </c>
      <c r="F96" s="66" t="s">
        <v>25</v>
      </c>
      <c r="G96" s="66" t="s">
        <v>105</v>
      </c>
      <c r="H96" s="71" t="s">
        <v>29</v>
      </c>
      <c r="I96" s="63"/>
      <c r="J96" s="71" t="s">
        <v>18</v>
      </c>
      <c r="K96" s="102">
        <v>47606</v>
      </c>
      <c r="L96" s="76">
        <v>280</v>
      </c>
      <c r="M96" s="76" t="s">
        <v>56</v>
      </c>
      <c r="N96" s="100" t="s">
        <v>321</v>
      </c>
      <c r="O96" s="71" t="s">
        <v>322</v>
      </c>
      <c r="P96" s="76">
        <v>228</v>
      </c>
      <c r="Q96" s="66">
        <f t="shared" si="19"/>
        <v>-7</v>
      </c>
      <c r="R96" s="86">
        <f>235</f>
        <v>235</v>
      </c>
      <c r="S96" s="87">
        <f t="shared" si="20"/>
        <v>-7</v>
      </c>
      <c r="T96" s="65">
        <v>121</v>
      </c>
      <c r="U96" s="65" t="s">
        <v>640</v>
      </c>
      <c r="V96" s="87">
        <f>244</f>
        <v>244</v>
      </c>
      <c r="W96" s="87">
        <f t="shared" si="21"/>
        <v>16</v>
      </c>
      <c r="X96" s="67">
        <v>1634</v>
      </c>
      <c r="Y96" s="67" t="s">
        <v>675</v>
      </c>
      <c r="Z96" s="88">
        <f t="shared" si="22"/>
        <v>-7.0175438596491224E-2</v>
      </c>
      <c r="AA96" s="62" t="s">
        <v>630</v>
      </c>
      <c r="AB96" s="89"/>
      <c r="AC96" s="89"/>
      <c r="AD96" s="89"/>
      <c r="AE96" s="89"/>
      <c r="AF96" s="89"/>
    </row>
    <row r="97" spans="1:32" s="64" customFormat="1" ht="140.25" customHeight="1">
      <c r="A97" s="63"/>
      <c r="B97" s="70">
        <v>46181</v>
      </c>
      <c r="C97" s="82">
        <v>46193</v>
      </c>
      <c r="D97" s="83">
        <v>46196</v>
      </c>
      <c r="E97" s="83">
        <v>46202</v>
      </c>
      <c r="F97" s="66" t="s">
        <v>25</v>
      </c>
      <c r="G97" s="66" t="s">
        <v>105</v>
      </c>
      <c r="H97" s="71" t="s">
        <v>29</v>
      </c>
      <c r="I97" s="63"/>
      <c r="J97" s="71" t="s">
        <v>18</v>
      </c>
      <c r="K97" s="102">
        <v>47607</v>
      </c>
      <c r="L97" s="76">
        <v>280</v>
      </c>
      <c r="M97" s="76" t="s">
        <v>56</v>
      </c>
      <c r="N97" s="100" t="s">
        <v>321</v>
      </c>
      <c r="O97" s="71" t="s">
        <v>322</v>
      </c>
      <c r="P97" s="76">
        <v>784</v>
      </c>
      <c r="Q97" s="66">
        <f t="shared" si="19"/>
        <v>1</v>
      </c>
      <c r="R97" s="86">
        <f>783</f>
        <v>783</v>
      </c>
      <c r="S97" s="87">
        <f t="shared" si="20"/>
        <v>1</v>
      </c>
      <c r="T97" s="65">
        <v>121</v>
      </c>
      <c r="U97" s="65" t="s">
        <v>640</v>
      </c>
      <c r="V97" s="87">
        <v>798</v>
      </c>
      <c r="W97" s="87">
        <f t="shared" si="21"/>
        <v>14</v>
      </c>
      <c r="X97" s="67">
        <v>1634</v>
      </c>
      <c r="Y97" s="67" t="s">
        <v>675</v>
      </c>
      <c r="Z97" s="88">
        <f t="shared" si="22"/>
        <v>-1.785714285714286E-2</v>
      </c>
      <c r="AA97" s="62" t="s">
        <v>973</v>
      </c>
      <c r="AB97" s="89"/>
      <c r="AC97" s="89"/>
      <c r="AD97" s="89"/>
      <c r="AE97" s="89"/>
      <c r="AF97" s="89"/>
    </row>
    <row r="98" spans="1:32" s="64" customFormat="1" ht="77.25" customHeight="1">
      <c r="A98" s="63"/>
      <c r="B98" s="70">
        <v>46181</v>
      </c>
      <c r="C98" s="82">
        <v>46190</v>
      </c>
      <c r="D98" s="83">
        <v>46193</v>
      </c>
      <c r="E98" s="83">
        <v>46198</v>
      </c>
      <c r="F98" s="71" t="s">
        <v>235</v>
      </c>
      <c r="G98" s="66" t="s">
        <v>105</v>
      </c>
      <c r="H98" s="71" t="s">
        <v>179</v>
      </c>
      <c r="I98" s="63"/>
      <c r="J98" s="71" t="s">
        <v>18</v>
      </c>
      <c r="K98" s="102">
        <v>47561</v>
      </c>
      <c r="L98" s="76">
        <v>200</v>
      </c>
      <c r="M98" s="76" t="s">
        <v>45</v>
      </c>
      <c r="N98" s="100" t="s">
        <v>324</v>
      </c>
      <c r="O98" s="71" t="s">
        <v>28</v>
      </c>
      <c r="P98" s="76">
        <v>44</v>
      </c>
      <c r="Q98" s="66">
        <f t="shared" si="19"/>
        <v>3</v>
      </c>
      <c r="R98" s="86">
        <f>41</f>
        <v>41</v>
      </c>
      <c r="S98" s="101">
        <f t="shared" si="20"/>
        <v>3</v>
      </c>
      <c r="T98" s="65">
        <v>64</v>
      </c>
      <c r="U98" s="65" t="s">
        <v>467</v>
      </c>
      <c r="V98" s="87">
        <f>44</f>
        <v>44</v>
      </c>
      <c r="W98" s="87">
        <f t="shared" si="21"/>
        <v>0</v>
      </c>
      <c r="X98" s="67">
        <v>1590</v>
      </c>
      <c r="Y98" s="67" t="s">
        <v>613</v>
      </c>
      <c r="Z98" s="88">
        <f t="shared" si="22"/>
        <v>0</v>
      </c>
      <c r="AA98" s="62" t="s">
        <v>508</v>
      </c>
      <c r="AB98" s="89"/>
      <c r="AC98" s="89"/>
      <c r="AD98" s="89"/>
      <c r="AE98" s="89"/>
      <c r="AF98" s="89"/>
    </row>
    <row r="99" spans="1:32" s="64" customFormat="1" ht="102" customHeight="1">
      <c r="A99" s="63"/>
      <c r="B99" s="70">
        <v>46181</v>
      </c>
      <c r="C99" s="82">
        <v>46190</v>
      </c>
      <c r="D99" s="83">
        <v>46193</v>
      </c>
      <c r="E99" s="83">
        <v>46198</v>
      </c>
      <c r="F99" s="71" t="s">
        <v>23</v>
      </c>
      <c r="G99" s="66" t="s">
        <v>105</v>
      </c>
      <c r="H99" s="71" t="s">
        <v>179</v>
      </c>
      <c r="I99" s="63"/>
      <c r="J99" s="71" t="s">
        <v>18</v>
      </c>
      <c r="K99" s="102">
        <v>47561</v>
      </c>
      <c r="L99" s="76">
        <v>200</v>
      </c>
      <c r="M99" s="76" t="s">
        <v>45</v>
      </c>
      <c r="N99" s="100" t="s">
        <v>325</v>
      </c>
      <c r="O99" s="71" t="s">
        <v>28</v>
      </c>
      <c r="P99" s="76">
        <v>119</v>
      </c>
      <c r="Q99" s="66">
        <f t="shared" si="19"/>
        <v>-3</v>
      </c>
      <c r="R99" s="86">
        <f>122</f>
        <v>122</v>
      </c>
      <c r="S99" s="87">
        <f t="shared" si="20"/>
        <v>-3</v>
      </c>
      <c r="T99" s="65">
        <v>4711</v>
      </c>
      <c r="U99" s="65" t="s">
        <v>415</v>
      </c>
      <c r="V99" s="87">
        <f>124</f>
        <v>124</v>
      </c>
      <c r="W99" s="87">
        <f t="shared" si="21"/>
        <v>5</v>
      </c>
      <c r="X99" s="67">
        <v>1607</v>
      </c>
      <c r="Y99" s="67" t="s">
        <v>560</v>
      </c>
      <c r="Z99" s="88">
        <f t="shared" si="22"/>
        <v>-4.2016806722689079E-2</v>
      </c>
      <c r="AA99" s="62" t="s">
        <v>503</v>
      </c>
      <c r="AB99" s="89"/>
      <c r="AC99" s="89"/>
      <c r="AD99" s="89"/>
      <c r="AE99" s="89"/>
      <c r="AF99" s="89"/>
    </row>
    <row r="100" spans="1:32" s="64" customFormat="1" ht="133.5" customHeight="1">
      <c r="A100" s="63"/>
      <c r="B100" s="70">
        <v>46181</v>
      </c>
      <c r="C100" s="82">
        <v>46191</v>
      </c>
      <c r="D100" s="83">
        <v>46193</v>
      </c>
      <c r="E100" s="83">
        <v>46198</v>
      </c>
      <c r="F100" s="71" t="s">
        <v>23</v>
      </c>
      <c r="G100" s="66" t="s">
        <v>105</v>
      </c>
      <c r="H100" s="71" t="s">
        <v>179</v>
      </c>
      <c r="I100" s="63"/>
      <c r="J100" s="71" t="s">
        <v>18</v>
      </c>
      <c r="K100" s="102">
        <v>47567</v>
      </c>
      <c r="L100" s="76">
        <v>200</v>
      </c>
      <c r="M100" s="76" t="s">
        <v>45</v>
      </c>
      <c r="N100" s="100" t="s">
        <v>326</v>
      </c>
      <c r="O100" s="71" t="s">
        <v>28</v>
      </c>
      <c r="P100" s="76">
        <v>120</v>
      </c>
      <c r="Q100" s="66">
        <f t="shared" si="19"/>
        <v>-135</v>
      </c>
      <c r="R100" s="86">
        <f>125+130</f>
        <v>255</v>
      </c>
      <c r="S100" s="87">
        <f t="shared" si="20"/>
        <v>-135</v>
      </c>
      <c r="T100" s="65" t="s">
        <v>707</v>
      </c>
      <c r="U100" s="65" t="s">
        <v>708</v>
      </c>
      <c r="V100" s="87">
        <f>128</f>
        <v>128</v>
      </c>
      <c r="W100" s="87">
        <f t="shared" si="21"/>
        <v>8</v>
      </c>
      <c r="X100" s="67">
        <v>1657</v>
      </c>
      <c r="Y100" s="67" t="s">
        <v>725</v>
      </c>
      <c r="Z100" s="88">
        <f t="shared" si="22"/>
        <v>-6.6666666666666666E-2</v>
      </c>
      <c r="AA100" s="62" t="s">
        <v>706</v>
      </c>
      <c r="AB100" s="89"/>
      <c r="AC100" s="89"/>
      <c r="AD100" s="89"/>
      <c r="AE100" s="89"/>
      <c r="AF100" s="89"/>
    </row>
    <row r="101" spans="1:32" s="64" customFormat="1" ht="90" customHeight="1">
      <c r="A101" s="63"/>
      <c r="B101" s="70">
        <v>46181</v>
      </c>
      <c r="C101" s="82">
        <v>46191</v>
      </c>
      <c r="D101" s="83">
        <v>46193</v>
      </c>
      <c r="E101" s="83">
        <v>46198</v>
      </c>
      <c r="F101" s="71" t="s">
        <v>121</v>
      </c>
      <c r="G101" s="66" t="s">
        <v>105</v>
      </c>
      <c r="H101" s="71" t="s">
        <v>179</v>
      </c>
      <c r="I101" s="63"/>
      <c r="J101" s="71" t="s">
        <v>18</v>
      </c>
      <c r="K101" s="102">
        <v>47567</v>
      </c>
      <c r="L101" s="76">
        <v>200</v>
      </c>
      <c r="M101" s="76" t="s">
        <v>45</v>
      </c>
      <c r="N101" s="100" t="s">
        <v>327</v>
      </c>
      <c r="O101" s="71" t="s">
        <v>28</v>
      </c>
      <c r="P101" s="76">
        <v>293</v>
      </c>
      <c r="Q101" s="66">
        <f t="shared" si="19"/>
        <v>-4</v>
      </c>
      <c r="R101" s="86">
        <f>297</f>
        <v>297</v>
      </c>
      <c r="S101" s="87">
        <f t="shared" si="20"/>
        <v>-4</v>
      </c>
      <c r="T101" s="65">
        <v>4737</v>
      </c>
      <c r="U101" s="65" t="s">
        <v>462</v>
      </c>
      <c r="V101" s="87">
        <f>291</f>
        <v>291</v>
      </c>
      <c r="W101" s="87">
        <f t="shared" si="21"/>
        <v>-2</v>
      </c>
      <c r="X101" s="67">
        <v>1624</v>
      </c>
      <c r="Y101" s="67" t="s">
        <v>640</v>
      </c>
      <c r="Z101" s="88">
        <f t="shared" si="22"/>
        <v>6.825938566552902E-3</v>
      </c>
      <c r="AA101" s="62" t="s">
        <v>507</v>
      </c>
      <c r="AB101" s="89"/>
      <c r="AC101" s="89"/>
      <c r="AD101" s="89"/>
      <c r="AE101" s="89"/>
      <c r="AF101" s="89"/>
    </row>
    <row r="102" spans="1:32" s="64" customFormat="1" ht="102.75" customHeight="1">
      <c r="A102" s="63"/>
      <c r="B102" s="70">
        <v>46179</v>
      </c>
      <c r="C102" s="82">
        <v>46189</v>
      </c>
      <c r="D102" s="83">
        <v>46191</v>
      </c>
      <c r="E102" s="83">
        <v>46197</v>
      </c>
      <c r="F102" s="71" t="s">
        <v>121</v>
      </c>
      <c r="G102" s="66" t="s">
        <v>105</v>
      </c>
      <c r="H102" s="71" t="s">
        <v>179</v>
      </c>
      <c r="I102" s="63"/>
      <c r="J102" s="71" t="s">
        <v>18</v>
      </c>
      <c r="K102" s="102">
        <v>47568</v>
      </c>
      <c r="L102" s="76">
        <v>200</v>
      </c>
      <c r="M102" s="76" t="s">
        <v>45</v>
      </c>
      <c r="N102" s="100" t="s">
        <v>327</v>
      </c>
      <c r="O102" s="71" t="s">
        <v>28</v>
      </c>
      <c r="P102" s="76">
        <v>121</v>
      </c>
      <c r="Q102" s="66">
        <f t="shared" si="19"/>
        <v>-10</v>
      </c>
      <c r="R102" s="86">
        <f>131</f>
        <v>131</v>
      </c>
      <c r="S102" s="87">
        <f t="shared" si="20"/>
        <v>-10</v>
      </c>
      <c r="T102" s="65">
        <v>4737</v>
      </c>
      <c r="U102" s="65" t="s">
        <v>462</v>
      </c>
      <c r="V102" s="87">
        <f>133</f>
        <v>133</v>
      </c>
      <c r="W102" s="87">
        <f t="shared" si="21"/>
        <v>12</v>
      </c>
      <c r="X102" s="67">
        <v>1624</v>
      </c>
      <c r="Y102" s="67" t="s">
        <v>640</v>
      </c>
      <c r="Z102" s="88">
        <f t="shared" si="22"/>
        <v>-9.9173553719008267E-2</v>
      </c>
      <c r="AA102" s="62" t="s">
        <v>507</v>
      </c>
      <c r="AB102" s="89"/>
      <c r="AC102" s="89"/>
      <c r="AD102" s="89"/>
      <c r="AE102" s="89"/>
      <c r="AF102" s="89"/>
    </row>
    <row r="103" spans="1:32" s="64" customFormat="1" ht="154.5" customHeight="1">
      <c r="A103" s="63"/>
      <c r="B103" s="70">
        <v>46179</v>
      </c>
      <c r="C103" s="82">
        <v>46189</v>
      </c>
      <c r="D103" s="83">
        <v>46191</v>
      </c>
      <c r="E103" s="83">
        <v>46197</v>
      </c>
      <c r="F103" s="71" t="s">
        <v>44</v>
      </c>
      <c r="G103" s="66" t="s">
        <v>105</v>
      </c>
      <c r="H103" s="71" t="s">
        <v>179</v>
      </c>
      <c r="I103" s="63"/>
      <c r="J103" s="71" t="s">
        <v>18</v>
      </c>
      <c r="K103" s="102">
        <v>47569</v>
      </c>
      <c r="L103" s="76">
        <v>180</v>
      </c>
      <c r="M103" s="76" t="s">
        <v>35</v>
      </c>
      <c r="N103" s="100" t="s">
        <v>305</v>
      </c>
      <c r="O103" s="71" t="s">
        <v>52</v>
      </c>
      <c r="P103" s="76">
        <v>186</v>
      </c>
      <c r="Q103" s="66">
        <f t="shared" si="19"/>
        <v>-22</v>
      </c>
      <c r="R103" s="86">
        <f>186+22</f>
        <v>208</v>
      </c>
      <c r="S103" s="101">
        <f t="shared" si="20"/>
        <v>-22</v>
      </c>
      <c r="T103" s="65" t="s">
        <v>760</v>
      </c>
      <c r="U103" s="65" t="s">
        <v>761</v>
      </c>
      <c r="V103" s="87">
        <f>180+30</f>
        <v>210</v>
      </c>
      <c r="W103" s="87">
        <f t="shared" si="21"/>
        <v>24</v>
      </c>
      <c r="X103" s="67" t="s">
        <v>789</v>
      </c>
      <c r="Y103" s="67" t="s">
        <v>790</v>
      </c>
      <c r="Z103" s="88">
        <f t="shared" si="22"/>
        <v>-0.12903225806451613</v>
      </c>
      <c r="AA103" s="62" t="s">
        <v>791</v>
      </c>
      <c r="AB103" s="89"/>
      <c r="AC103" s="89"/>
      <c r="AD103" s="89"/>
      <c r="AE103" s="89"/>
      <c r="AF103" s="89"/>
    </row>
    <row r="104" spans="1:32" s="64" customFormat="1" ht="115.5" customHeight="1">
      <c r="A104" s="63"/>
      <c r="B104" s="70">
        <v>46183</v>
      </c>
      <c r="C104" s="82">
        <v>46195</v>
      </c>
      <c r="D104" s="83">
        <v>46197</v>
      </c>
      <c r="E104" s="83">
        <v>46203</v>
      </c>
      <c r="F104" s="71" t="s">
        <v>121</v>
      </c>
      <c r="G104" s="66" t="s">
        <v>105</v>
      </c>
      <c r="H104" s="71" t="s">
        <v>179</v>
      </c>
      <c r="I104" s="63"/>
      <c r="J104" s="71" t="s">
        <v>18</v>
      </c>
      <c r="K104" s="102">
        <v>47570</v>
      </c>
      <c r="L104" s="76">
        <v>180</v>
      </c>
      <c r="M104" s="76" t="s">
        <v>35</v>
      </c>
      <c r="N104" s="100" t="s">
        <v>59</v>
      </c>
      <c r="O104" s="71" t="s">
        <v>52</v>
      </c>
      <c r="P104" s="76">
        <v>203</v>
      </c>
      <c r="Q104" s="66">
        <f t="shared" si="19"/>
        <v>-22</v>
      </c>
      <c r="R104" s="86">
        <f>203+22</f>
        <v>225</v>
      </c>
      <c r="S104" s="87">
        <f t="shared" si="20"/>
        <v>-22</v>
      </c>
      <c r="T104" s="65" t="s">
        <v>781</v>
      </c>
      <c r="U104" s="65" t="s">
        <v>782</v>
      </c>
      <c r="V104" s="87">
        <f>190+21</f>
        <v>211</v>
      </c>
      <c r="W104" s="87">
        <f t="shared" si="21"/>
        <v>8</v>
      </c>
      <c r="X104" s="67" t="s">
        <v>792</v>
      </c>
      <c r="Y104" s="67" t="s">
        <v>793</v>
      </c>
      <c r="Z104" s="88">
        <f t="shared" si="22"/>
        <v>-3.9408866995073892E-2</v>
      </c>
      <c r="AA104" s="62" t="s">
        <v>794</v>
      </c>
      <c r="AB104" s="89"/>
      <c r="AC104" s="89"/>
      <c r="AD104" s="89"/>
      <c r="AE104" s="89"/>
      <c r="AF104" s="89"/>
    </row>
    <row r="105" spans="1:32" s="64" customFormat="1" ht="67.5" customHeight="1">
      <c r="A105" s="63"/>
      <c r="B105" s="70">
        <v>46181</v>
      </c>
      <c r="C105" s="82">
        <v>46193</v>
      </c>
      <c r="D105" s="83">
        <v>46196</v>
      </c>
      <c r="E105" s="83">
        <v>46203</v>
      </c>
      <c r="F105" s="71" t="s">
        <v>23</v>
      </c>
      <c r="G105" s="66" t="s">
        <v>105</v>
      </c>
      <c r="H105" s="71" t="s">
        <v>179</v>
      </c>
      <c r="I105" s="63"/>
      <c r="J105" s="71" t="s">
        <v>18</v>
      </c>
      <c r="K105" s="102">
        <v>47579</v>
      </c>
      <c r="L105" s="76">
        <v>200</v>
      </c>
      <c r="M105" s="76" t="s">
        <v>45</v>
      </c>
      <c r="N105" s="100" t="s">
        <v>326</v>
      </c>
      <c r="O105" s="71" t="s">
        <v>28</v>
      </c>
      <c r="P105" s="76">
        <v>193</v>
      </c>
      <c r="Q105" s="66">
        <f t="shared" si="19"/>
        <v>0</v>
      </c>
      <c r="R105" s="86">
        <f>193</f>
        <v>193</v>
      </c>
      <c r="S105" s="87">
        <f t="shared" si="20"/>
        <v>0</v>
      </c>
      <c r="T105" s="65">
        <v>4716</v>
      </c>
      <c r="U105" s="65" t="s">
        <v>415</v>
      </c>
      <c r="V105" s="87">
        <f>190</f>
        <v>190</v>
      </c>
      <c r="W105" s="87">
        <f t="shared" si="21"/>
        <v>-3</v>
      </c>
      <c r="X105" s="67">
        <v>1622</v>
      </c>
      <c r="Y105" s="67" t="s">
        <v>627</v>
      </c>
      <c r="Z105" s="88">
        <f t="shared" si="22"/>
        <v>1.5544041450777202E-2</v>
      </c>
      <c r="AA105" s="62" t="s">
        <v>504</v>
      </c>
      <c r="AB105" s="89"/>
      <c r="AC105" s="89"/>
      <c r="AD105" s="89"/>
      <c r="AE105" s="89"/>
      <c r="AF105" s="89"/>
    </row>
    <row r="106" spans="1:32" s="64" customFormat="1" ht="72.75" customHeight="1">
      <c r="A106" s="63"/>
      <c r="B106" s="70">
        <v>46181</v>
      </c>
      <c r="C106" s="82">
        <v>46193</v>
      </c>
      <c r="D106" s="83">
        <v>46196</v>
      </c>
      <c r="E106" s="83">
        <v>46203</v>
      </c>
      <c r="F106" s="71" t="s">
        <v>235</v>
      </c>
      <c r="G106" s="66" t="s">
        <v>105</v>
      </c>
      <c r="H106" s="71" t="s">
        <v>179</v>
      </c>
      <c r="I106" s="63"/>
      <c r="J106" s="71" t="s">
        <v>18</v>
      </c>
      <c r="K106" s="102">
        <v>47579</v>
      </c>
      <c r="L106" s="76">
        <v>200</v>
      </c>
      <c r="M106" s="76" t="s">
        <v>45</v>
      </c>
      <c r="N106" s="100" t="s">
        <v>107</v>
      </c>
      <c r="O106" s="71" t="s">
        <v>28</v>
      </c>
      <c r="P106" s="76">
        <v>331</v>
      </c>
      <c r="Q106" s="66">
        <f t="shared" si="19"/>
        <v>-2</v>
      </c>
      <c r="R106" s="86">
        <f>333</f>
        <v>333</v>
      </c>
      <c r="S106" s="87">
        <f t="shared" si="20"/>
        <v>-2</v>
      </c>
      <c r="T106" s="65">
        <v>54</v>
      </c>
      <c r="U106" s="65" t="s">
        <v>465</v>
      </c>
      <c r="V106" s="87">
        <f>326</f>
        <v>326</v>
      </c>
      <c r="W106" s="87">
        <f t="shared" si="21"/>
        <v>-5</v>
      </c>
      <c r="X106" s="67">
        <v>1622</v>
      </c>
      <c r="Y106" s="67" t="s">
        <v>627</v>
      </c>
      <c r="Z106" s="88">
        <f t="shared" si="22"/>
        <v>1.5105740181268883E-2</v>
      </c>
      <c r="AA106" s="62" t="s">
        <v>515</v>
      </c>
      <c r="AB106" s="89"/>
      <c r="AC106" s="89"/>
      <c r="AD106" s="89"/>
      <c r="AE106" s="89"/>
      <c r="AF106" s="89"/>
    </row>
    <row r="107" spans="1:32" s="64" customFormat="1" ht="54.75" customHeight="1">
      <c r="A107" s="63"/>
      <c r="B107" s="70">
        <v>46183</v>
      </c>
      <c r="C107" s="82">
        <v>46195</v>
      </c>
      <c r="D107" s="83">
        <v>46197</v>
      </c>
      <c r="E107" s="83">
        <v>46203</v>
      </c>
      <c r="F107" s="71" t="s">
        <v>23</v>
      </c>
      <c r="G107" s="66" t="s">
        <v>105</v>
      </c>
      <c r="H107" s="71" t="s">
        <v>179</v>
      </c>
      <c r="I107" s="63"/>
      <c r="J107" s="71" t="s">
        <v>18</v>
      </c>
      <c r="K107" s="102">
        <v>47580</v>
      </c>
      <c r="L107" s="76">
        <v>200</v>
      </c>
      <c r="M107" s="76" t="s">
        <v>45</v>
      </c>
      <c r="N107" s="100" t="s">
        <v>326</v>
      </c>
      <c r="O107" s="71" t="s">
        <v>28</v>
      </c>
      <c r="P107" s="76">
        <v>176</v>
      </c>
      <c r="Q107" s="66">
        <f t="shared" si="19"/>
        <v>0</v>
      </c>
      <c r="R107" s="86">
        <f>176</f>
        <v>176</v>
      </c>
      <c r="S107" s="87">
        <f t="shared" si="20"/>
        <v>0</v>
      </c>
      <c r="T107" s="65">
        <v>4716</v>
      </c>
      <c r="U107" s="65" t="s">
        <v>415</v>
      </c>
      <c r="V107" s="87">
        <f>171</f>
        <v>171</v>
      </c>
      <c r="W107" s="87">
        <f t="shared" si="21"/>
        <v>-5</v>
      </c>
      <c r="X107" s="67">
        <v>1622</v>
      </c>
      <c r="Y107" s="67" t="s">
        <v>627</v>
      </c>
      <c r="Z107" s="88">
        <f t="shared" si="22"/>
        <v>2.8409090909090908E-2</v>
      </c>
      <c r="AA107" s="62" t="s">
        <v>505</v>
      </c>
      <c r="AB107" s="89"/>
      <c r="AC107" s="89"/>
      <c r="AD107" s="89"/>
      <c r="AE107" s="89"/>
      <c r="AF107" s="89"/>
    </row>
    <row r="108" spans="1:32" s="64" customFormat="1" ht="54.75" customHeight="1">
      <c r="A108" s="63"/>
      <c r="B108" s="70">
        <v>46183</v>
      </c>
      <c r="C108" s="82">
        <v>46195</v>
      </c>
      <c r="D108" s="83">
        <v>46197</v>
      </c>
      <c r="E108" s="83">
        <v>46203</v>
      </c>
      <c r="F108" s="71" t="s">
        <v>235</v>
      </c>
      <c r="G108" s="66" t="s">
        <v>105</v>
      </c>
      <c r="H108" s="71" t="s">
        <v>179</v>
      </c>
      <c r="I108" s="63"/>
      <c r="J108" s="71" t="s">
        <v>18</v>
      </c>
      <c r="K108" s="102">
        <v>47580</v>
      </c>
      <c r="L108" s="76">
        <v>200</v>
      </c>
      <c r="M108" s="76" t="s">
        <v>45</v>
      </c>
      <c r="N108" s="100" t="s">
        <v>107</v>
      </c>
      <c r="O108" s="71" t="s">
        <v>28</v>
      </c>
      <c r="P108" s="76">
        <v>312</v>
      </c>
      <c r="Q108" s="66">
        <f t="shared" si="19"/>
        <v>-3</v>
      </c>
      <c r="R108" s="86">
        <f>315</f>
        <v>315</v>
      </c>
      <c r="S108" s="87">
        <f t="shared" si="20"/>
        <v>-3</v>
      </c>
      <c r="T108" s="65">
        <v>54</v>
      </c>
      <c r="U108" s="65" t="s">
        <v>465</v>
      </c>
      <c r="V108" s="87">
        <f>310</f>
        <v>310</v>
      </c>
      <c r="W108" s="87">
        <f t="shared" si="21"/>
        <v>-2</v>
      </c>
      <c r="X108" s="67">
        <v>1622</v>
      </c>
      <c r="Y108" s="67" t="s">
        <v>627</v>
      </c>
      <c r="Z108" s="88">
        <f t="shared" si="22"/>
        <v>6.4102564102564109E-3</v>
      </c>
      <c r="AA108" s="62" t="s">
        <v>516</v>
      </c>
      <c r="AB108" s="89"/>
      <c r="AC108" s="89"/>
      <c r="AD108" s="89"/>
      <c r="AE108" s="89"/>
      <c r="AF108" s="89"/>
    </row>
    <row r="109" spans="1:32" s="64" customFormat="1" ht="54.75" customHeight="1">
      <c r="A109" s="63"/>
      <c r="B109" s="70">
        <v>46183</v>
      </c>
      <c r="C109" s="82">
        <v>46196</v>
      </c>
      <c r="D109" s="83">
        <v>46198</v>
      </c>
      <c r="E109" s="83">
        <v>46203</v>
      </c>
      <c r="F109" s="71" t="s">
        <v>235</v>
      </c>
      <c r="G109" s="66" t="s">
        <v>105</v>
      </c>
      <c r="H109" s="71" t="s">
        <v>179</v>
      </c>
      <c r="I109" s="63"/>
      <c r="J109" s="71" t="s">
        <v>18</v>
      </c>
      <c r="K109" s="102">
        <v>47582</v>
      </c>
      <c r="L109" s="76">
        <v>200</v>
      </c>
      <c r="M109" s="76" t="s">
        <v>45</v>
      </c>
      <c r="N109" s="100" t="s">
        <v>107</v>
      </c>
      <c r="O109" s="71" t="s">
        <v>28</v>
      </c>
      <c r="P109" s="76">
        <v>65</v>
      </c>
      <c r="Q109" s="66">
        <f t="shared" si="19"/>
        <v>-2</v>
      </c>
      <c r="R109" s="86">
        <f>67</f>
        <v>67</v>
      </c>
      <c r="S109" s="87">
        <f t="shared" si="20"/>
        <v>-2</v>
      </c>
      <c r="T109" s="65">
        <v>54</v>
      </c>
      <c r="U109" s="65" t="s">
        <v>465</v>
      </c>
      <c r="V109" s="87">
        <f>66</f>
        <v>66</v>
      </c>
      <c r="W109" s="87">
        <f t="shared" si="21"/>
        <v>1</v>
      </c>
      <c r="X109" s="67">
        <v>1622</v>
      </c>
      <c r="Y109" s="67" t="s">
        <v>627</v>
      </c>
      <c r="Z109" s="88">
        <f t="shared" si="22"/>
        <v>-1.5384615384615385E-2</v>
      </c>
      <c r="AA109" s="62" t="s">
        <v>517</v>
      </c>
      <c r="AB109" s="89"/>
      <c r="AC109" s="89"/>
      <c r="AD109" s="89"/>
      <c r="AE109" s="89"/>
      <c r="AF109" s="89"/>
    </row>
    <row r="110" spans="1:32" s="64" customFormat="1" ht="54.75" customHeight="1">
      <c r="A110" s="63"/>
      <c r="B110" s="70">
        <v>46183</v>
      </c>
      <c r="C110" s="82">
        <v>46196</v>
      </c>
      <c r="D110" s="83">
        <v>46198</v>
      </c>
      <c r="E110" s="83">
        <v>46203</v>
      </c>
      <c r="F110" s="71" t="s">
        <v>235</v>
      </c>
      <c r="G110" s="66" t="s">
        <v>105</v>
      </c>
      <c r="H110" s="71" t="s">
        <v>179</v>
      </c>
      <c r="I110" s="63"/>
      <c r="J110" s="71" t="s">
        <v>18</v>
      </c>
      <c r="K110" s="102">
        <v>47582</v>
      </c>
      <c r="L110" s="76">
        <v>200</v>
      </c>
      <c r="M110" s="76" t="s">
        <v>45</v>
      </c>
      <c r="N110" s="100" t="s">
        <v>107</v>
      </c>
      <c r="O110" s="71" t="s">
        <v>28</v>
      </c>
      <c r="P110" s="76">
        <v>40</v>
      </c>
      <c r="Q110" s="66">
        <f t="shared" si="19"/>
        <v>-1</v>
      </c>
      <c r="R110" s="86">
        <f>41</f>
        <v>41</v>
      </c>
      <c r="S110" s="87">
        <f t="shared" si="20"/>
        <v>-1</v>
      </c>
      <c r="T110" s="65">
        <v>54</v>
      </c>
      <c r="U110" s="65" t="s">
        <v>465</v>
      </c>
      <c r="V110" s="87">
        <f>42</f>
        <v>42</v>
      </c>
      <c r="W110" s="87">
        <f t="shared" si="21"/>
        <v>2</v>
      </c>
      <c r="X110" s="67">
        <v>1707</v>
      </c>
      <c r="Y110" s="67" t="s">
        <v>705</v>
      </c>
      <c r="Z110" s="88">
        <f t="shared" si="22"/>
        <v>-0.05</v>
      </c>
      <c r="AA110" s="62" t="s">
        <v>518</v>
      </c>
      <c r="AB110" s="89"/>
      <c r="AC110" s="89"/>
      <c r="AD110" s="89"/>
      <c r="AE110" s="89"/>
      <c r="AF110" s="89"/>
    </row>
    <row r="111" spans="1:32" s="64" customFormat="1" ht="105.75" customHeight="1">
      <c r="A111" s="63"/>
      <c r="B111" s="70">
        <v>46181</v>
      </c>
      <c r="C111" s="82">
        <v>46193</v>
      </c>
      <c r="D111" s="83">
        <v>46193</v>
      </c>
      <c r="E111" s="83">
        <v>46199</v>
      </c>
      <c r="F111" s="71" t="s">
        <v>23</v>
      </c>
      <c r="G111" s="66" t="s">
        <v>62</v>
      </c>
      <c r="H111" s="71" t="s">
        <v>108</v>
      </c>
      <c r="I111" s="63"/>
      <c r="J111" s="71" t="s">
        <v>162</v>
      </c>
      <c r="K111" s="103">
        <v>47761</v>
      </c>
      <c r="L111" s="76">
        <v>190</v>
      </c>
      <c r="M111" s="76" t="s">
        <v>56</v>
      </c>
      <c r="N111" s="100" t="s">
        <v>27</v>
      </c>
      <c r="O111" s="71" t="s">
        <v>68</v>
      </c>
      <c r="P111" s="76">
        <v>161</v>
      </c>
      <c r="Q111" s="66">
        <f t="shared" si="19"/>
        <v>-3</v>
      </c>
      <c r="R111" s="86">
        <f>164</f>
        <v>164</v>
      </c>
      <c r="S111" s="87">
        <f t="shared" si="20"/>
        <v>-3</v>
      </c>
      <c r="T111" s="65">
        <v>4702</v>
      </c>
      <c r="U111" s="65" t="s">
        <v>396</v>
      </c>
      <c r="V111" s="87">
        <f>139+20</f>
        <v>159</v>
      </c>
      <c r="W111" s="87">
        <f t="shared" si="21"/>
        <v>-2</v>
      </c>
      <c r="X111" s="67" t="s">
        <v>523</v>
      </c>
      <c r="Y111" s="67" t="s">
        <v>524</v>
      </c>
      <c r="Z111" s="88">
        <f t="shared" si="22"/>
        <v>1.2422360248447204E-2</v>
      </c>
      <c r="AA111" s="62" t="s">
        <v>409</v>
      </c>
      <c r="AB111" s="89"/>
      <c r="AC111" s="89"/>
      <c r="AD111" s="89"/>
      <c r="AE111" s="89"/>
      <c r="AF111" s="89"/>
    </row>
    <row r="112" spans="1:32" s="64" customFormat="1" ht="54.75" customHeight="1">
      <c r="A112" s="63"/>
      <c r="B112" s="70">
        <v>46181</v>
      </c>
      <c r="C112" s="82">
        <v>46193</v>
      </c>
      <c r="D112" s="83">
        <v>46193</v>
      </c>
      <c r="E112" s="83">
        <v>46199</v>
      </c>
      <c r="F112" s="71" t="s">
        <v>23</v>
      </c>
      <c r="G112" s="66" t="s">
        <v>62</v>
      </c>
      <c r="H112" s="71" t="s">
        <v>108</v>
      </c>
      <c r="I112" s="63"/>
      <c r="J112" s="71" t="s">
        <v>162</v>
      </c>
      <c r="K112" s="103">
        <v>47761</v>
      </c>
      <c r="L112" s="76">
        <v>190</v>
      </c>
      <c r="M112" s="76" t="s">
        <v>56</v>
      </c>
      <c r="N112" s="100" t="s">
        <v>328</v>
      </c>
      <c r="O112" s="71" t="s">
        <v>68</v>
      </c>
      <c r="P112" s="76">
        <v>176</v>
      </c>
      <c r="Q112" s="66">
        <f t="shared" si="19"/>
        <v>-7</v>
      </c>
      <c r="R112" s="86">
        <f>183</f>
        <v>183</v>
      </c>
      <c r="S112" s="87">
        <f t="shared" si="20"/>
        <v>-7</v>
      </c>
      <c r="T112" s="65">
        <v>4702</v>
      </c>
      <c r="U112" s="65" t="s">
        <v>396</v>
      </c>
      <c r="V112" s="87">
        <f>177</f>
        <v>177</v>
      </c>
      <c r="W112" s="87">
        <f t="shared" si="21"/>
        <v>1</v>
      </c>
      <c r="X112" s="67">
        <v>41691</v>
      </c>
      <c r="Y112" s="67" t="s">
        <v>646</v>
      </c>
      <c r="Z112" s="88">
        <f t="shared" si="22"/>
        <v>-5.681818181818182E-3</v>
      </c>
      <c r="AA112" s="62" t="s">
        <v>628</v>
      </c>
      <c r="AB112" s="89"/>
      <c r="AC112" s="89"/>
      <c r="AD112" s="89"/>
      <c r="AE112" s="89"/>
      <c r="AF112" s="89"/>
    </row>
    <row r="113" spans="1:32" s="64" customFormat="1" ht="110.25" customHeight="1">
      <c r="A113" s="63"/>
      <c r="B113" s="70">
        <v>46182</v>
      </c>
      <c r="C113" s="82">
        <v>46193</v>
      </c>
      <c r="D113" s="83">
        <v>46192</v>
      </c>
      <c r="E113" s="83">
        <v>46199</v>
      </c>
      <c r="F113" s="71" t="s">
        <v>23</v>
      </c>
      <c r="G113" s="66" t="s">
        <v>62</v>
      </c>
      <c r="H113" s="71" t="s">
        <v>108</v>
      </c>
      <c r="I113" s="63"/>
      <c r="J113" s="71" t="s">
        <v>162</v>
      </c>
      <c r="K113" s="103">
        <v>47769</v>
      </c>
      <c r="L113" s="76">
        <v>190</v>
      </c>
      <c r="M113" s="76" t="s">
        <v>56</v>
      </c>
      <c r="N113" s="100" t="s">
        <v>27</v>
      </c>
      <c r="O113" s="71" t="s">
        <v>68</v>
      </c>
      <c r="P113" s="76">
        <v>465</v>
      </c>
      <c r="Q113" s="66">
        <f t="shared" si="19"/>
        <v>-7</v>
      </c>
      <c r="R113" s="86">
        <f>472</f>
        <v>472</v>
      </c>
      <c r="S113" s="87">
        <f t="shared" si="20"/>
        <v>-7</v>
      </c>
      <c r="T113" s="65">
        <v>4702</v>
      </c>
      <c r="U113" s="65" t="s">
        <v>396</v>
      </c>
      <c r="V113" s="87">
        <f>463</f>
        <v>463</v>
      </c>
      <c r="W113" s="87">
        <f t="shared" si="21"/>
        <v>-2</v>
      </c>
      <c r="X113" s="67">
        <v>41450</v>
      </c>
      <c r="Y113" s="67" t="s">
        <v>463</v>
      </c>
      <c r="Z113" s="88">
        <f t="shared" si="22"/>
        <v>4.3010752688172043E-3</v>
      </c>
      <c r="AA113" s="62" t="s">
        <v>410</v>
      </c>
      <c r="AB113" s="89"/>
      <c r="AC113" s="89"/>
      <c r="AD113" s="89"/>
      <c r="AE113" s="89"/>
      <c r="AF113" s="89"/>
    </row>
    <row r="114" spans="1:32" s="64" customFormat="1" ht="108" customHeight="1">
      <c r="A114" s="63"/>
      <c r="B114" s="70">
        <v>46182</v>
      </c>
      <c r="C114" s="82">
        <v>46193</v>
      </c>
      <c r="D114" s="83">
        <v>46192</v>
      </c>
      <c r="E114" s="83">
        <v>46199</v>
      </c>
      <c r="F114" s="71" t="s">
        <v>23</v>
      </c>
      <c r="G114" s="66" t="s">
        <v>62</v>
      </c>
      <c r="H114" s="71" t="s">
        <v>108</v>
      </c>
      <c r="I114" s="63"/>
      <c r="J114" s="71" t="s">
        <v>162</v>
      </c>
      <c r="K114" s="103">
        <v>47769</v>
      </c>
      <c r="L114" s="76">
        <v>190</v>
      </c>
      <c r="M114" s="76" t="s">
        <v>56</v>
      </c>
      <c r="N114" s="100" t="s">
        <v>328</v>
      </c>
      <c r="O114" s="71" t="s">
        <v>68</v>
      </c>
      <c r="P114" s="76">
        <v>282</v>
      </c>
      <c r="Q114" s="66">
        <f t="shared" si="19"/>
        <v>-11</v>
      </c>
      <c r="R114" s="86">
        <f>293</f>
        <v>293</v>
      </c>
      <c r="S114" s="87">
        <f t="shared" si="20"/>
        <v>-11</v>
      </c>
      <c r="T114" s="65">
        <v>4702</v>
      </c>
      <c r="U114" s="65" t="s">
        <v>396</v>
      </c>
      <c r="V114" s="87">
        <f>287</f>
        <v>287</v>
      </c>
      <c r="W114" s="87">
        <f t="shared" si="21"/>
        <v>5</v>
      </c>
      <c r="X114" s="67">
        <v>41691</v>
      </c>
      <c r="Y114" s="67" t="s">
        <v>646</v>
      </c>
      <c r="Z114" s="88">
        <f t="shared" si="22"/>
        <v>-1.7730496453900707E-2</v>
      </c>
      <c r="AA114" s="62" t="s">
        <v>629</v>
      </c>
      <c r="AB114" s="89"/>
      <c r="AC114" s="89"/>
      <c r="AD114" s="89"/>
      <c r="AE114" s="89"/>
      <c r="AF114" s="89"/>
    </row>
    <row r="115" spans="1:32" s="64" customFormat="1" ht="95.25" customHeight="1">
      <c r="A115" s="63"/>
      <c r="B115" s="70">
        <v>46181</v>
      </c>
      <c r="C115" s="82">
        <v>46193</v>
      </c>
      <c r="D115" s="83">
        <v>46195</v>
      </c>
      <c r="E115" s="83">
        <v>46200</v>
      </c>
      <c r="F115" s="71" t="s">
        <v>23</v>
      </c>
      <c r="G115" s="66" t="s">
        <v>105</v>
      </c>
      <c r="H115" s="71" t="s">
        <v>32</v>
      </c>
      <c r="I115" s="63"/>
      <c r="J115" s="71" t="s">
        <v>34</v>
      </c>
      <c r="K115" s="139">
        <v>47471</v>
      </c>
      <c r="L115" s="76">
        <v>160</v>
      </c>
      <c r="M115" s="76" t="s">
        <v>56</v>
      </c>
      <c r="N115" s="100" t="s">
        <v>202</v>
      </c>
      <c r="O115" s="71" t="s">
        <v>52</v>
      </c>
      <c r="P115" s="76">
        <v>20</v>
      </c>
      <c r="Q115" s="66">
        <f t="shared" ref="Q115" si="23">P115-R115</f>
        <v>-4</v>
      </c>
      <c r="R115" s="86">
        <f>24</f>
        <v>24</v>
      </c>
      <c r="S115" s="87">
        <f t="shared" ref="S115" si="24">P115-R115</f>
        <v>-4</v>
      </c>
      <c r="T115" s="65">
        <v>68</v>
      </c>
      <c r="U115" s="65" t="s">
        <v>560</v>
      </c>
      <c r="V115" s="87">
        <f>5+14</f>
        <v>19</v>
      </c>
      <c r="W115" s="87">
        <f t="shared" ref="W115" si="25">+V115-P115</f>
        <v>-1</v>
      </c>
      <c r="X115" s="67" t="s">
        <v>645</v>
      </c>
      <c r="Y115" s="67" t="s">
        <v>640</v>
      </c>
      <c r="Z115" s="88">
        <f t="shared" ref="Z115" si="26">(P115-V115)*100/P115/100</f>
        <v>0.05</v>
      </c>
      <c r="AA115" s="62" t="s">
        <v>372</v>
      </c>
      <c r="AB115" s="89"/>
      <c r="AC115" s="89"/>
      <c r="AD115" s="89"/>
      <c r="AE115" s="89"/>
      <c r="AF115" s="89"/>
    </row>
    <row r="116" spans="1:32" s="64" customFormat="1" ht="73.5" customHeight="1">
      <c r="A116" s="63"/>
      <c r="B116" s="99">
        <v>46188</v>
      </c>
      <c r="C116" s="82">
        <v>46195</v>
      </c>
      <c r="D116" s="83">
        <v>46198</v>
      </c>
      <c r="E116" s="83">
        <v>46203</v>
      </c>
      <c r="F116" s="71" t="s">
        <v>38</v>
      </c>
      <c r="G116" s="66" t="s">
        <v>62</v>
      </c>
      <c r="H116" s="76" t="s">
        <v>39</v>
      </c>
      <c r="I116" s="63"/>
      <c r="J116" s="52" t="s">
        <v>18</v>
      </c>
      <c r="K116" s="102" t="s">
        <v>363</v>
      </c>
      <c r="L116" s="17">
        <v>180</v>
      </c>
      <c r="M116" s="17" t="s">
        <v>35</v>
      </c>
      <c r="N116" s="59" t="s">
        <v>57</v>
      </c>
      <c r="O116" s="52" t="s">
        <v>52</v>
      </c>
      <c r="P116" s="76">
        <v>140</v>
      </c>
      <c r="Q116" s="66">
        <f t="shared" si="19"/>
        <v>-1</v>
      </c>
      <c r="R116" s="86">
        <f>141</f>
        <v>141</v>
      </c>
      <c r="S116" s="87">
        <f t="shared" si="20"/>
        <v>-1</v>
      </c>
      <c r="T116" s="65">
        <v>4797</v>
      </c>
      <c r="U116" s="65" t="s">
        <v>581</v>
      </c>
      <c r="V116" s="87">
        <f>139</f>
        <v>139</v>
      </c>
      <c r="W116" s="87">
        <f t="shared" si="21"/>
        <v>-1</v>
      </c>
      <c r="X116" s="67">
        <v>41711</v>
      </c>
      <c r="Y116" s="67" t="s">
        <v>651</v>
      </c>
      <c r="Z116" s="88">
        <f t="shared" si="22"/>
        <v>7.1428571428571426E-3</v>
      </c>
      <c r="AA116" s="62" t="s">
        <v>556</v>
      </c>
      <c r="AB116" s="89"/>
      <c r="AC116" s="89"/>
      <c r="AD116" s="89"/>
      <c r="AE116" s="89"/>
      <c r="AF116" s="89"/>
    </row>
    <row r="117" spans="1:32" s="64" customFormat="1" ht="162" customHeight="1">
      <c r="A117" s="63"/>
      <c r="B117" s="70">
        <v>46156</v>
      </c>
      <c r="C117" s="82">
        <v>46190</v>
      </c>
      <c r="D117" s="83">
        <v>46182</v>
      </c>
      <c r="E117" s="83">
        <v>46195</v>
      </c>
      <c r="F117" s="71" t="s">
        <v>25</v>
      </c>
      <c r="G117" s="66" t="s">
        <v>105</v>
      </c>
      <c r="H117" s="71" t="s">
        <v>32</v>
      </c>
      <c r="I117" s="63"/>
      <c r="J117" s="71" t="s">
        <v>34</v>
      </c>
      <c r="K117" s="139">
        <v>47443</v>
      </c>
      <c r="L117" s="76">
        <v>180</v>
      </c>
      <c r="M117" s="76" t="s">
        <v>35</v>
      </c>
      <c r="N117" s="100" t="s">
        <v>174</v>
      </c>
      <c r="O117" s="71" t="s">
        <v>20</v>
      </c>
      <c r="P117" s="85">
        <f>2351+78</f>
        <v>2429</v>
      </c>
      <c r="Q117" s="66">
        <f t="shared" si="19"/>
        <v>-49</v>
      </c>
      <c r="R117" s="86">
        <f>703+682+503+506+84</f>
        <v>2478</v>
      </c>
      <c r="S117" s="87">
        <f t="shared" si="20"/>
        <v>-49</v>
      </c>
      <c r="T117" s="65" t="s">
        <v>471</v>
      </c>
      <c r="U117" s="65" t="s">
        <v>472</v>
      </c>
      <c r="V117" s="87">
        <f>5+657+428+499+52+390+275+83</f>
        <v>2389</v>
      </c>
      <c r="W117" s="87">
        <f>+V117-P117</f>
        <v>-40</v>
      </c>
      <c r="X117" s="67" t="s">
        <v>696</v>
      </c>
      <c r="Y117" s="67" t="s">
        <v>697</v>
      </c>
      <c r="Z117" s="88">
        <f t="shared" si="22"/>
        <v>1.6467682173734045E-2</v>
      </c>
      <c r="AA117" s="62" t="s">
        <v>501</v>
      </c>
      <c r="AB117" s="89"/>
      <c r="AC117" s="89"/>
      <c r="AD117" s="89"/>
      <c r="AE117" s="89"/>
      <c r="AF117" s="89"/>
    </row>
    <row r="118" spans="1:32" s="64" customFormat="1" ht="67.5" customHeight="1">
      <c r="A118" s="63"/>
      <c r="B118" s="99">
        <v>46191</v>
      </c>
      <c r="C118" s="90">
        <v>46197</v>
      </c>
      <c r="D118" s="91">
        <v>46198</v>
      </c>
      <c r="E118" s="91">
        <v>46203</v>
      </c>
      <c r="F118" s="76" t="s">
        <v>23</v>
      </c>
      <c r="G118" s="66" t="s">
        <v>62</v>
      </c>
      <c r="H118" s="71" t="s">
        <v>400</v>
      </c>
      <c r="I118" s="63"/>
      <c r="J118" s="71" t="s">
        <v>162</v>
      </c>
      <c r="K118" s="103">
        <v>47768</v>
      </c>
      <c r="L118" s="76">
        <v>190</v>
      </c>
      <c r="M118" s="76" t="s">
        <v>56</v>
      </c>
      <c r="N118" s="100" t="s">
        <v>27</v>
      </c>
      <c r="O118" s="71" t="s">
        <v>68</v>
      </c>
      <c r="P118" s="76">
        <v>221</v>
      </c>
      <c r="Q118" s="66">
        <f t="shared" ref="Q118:Q123" si="27">P118-R118</f>
        <v>-2</v>
      </c>
      <c r="R118" s="86">
        <f>223</f>
        <v>223</v>
      </c>
      <c r="S118" s="87">
        <f t="shared" ref="S118:S123" si="28">P118-R118</f>
        <v>-2</v>
      </c>
      <c r="T118" s="65">
        <v>83</v>
      </c>
      <c r="U118" s="65" t="s">
        <v>613</v>
      </c>
      <c r="V118" s="87">
        <f>223</f>
        <v>223</v>
      </c>
      <c r="W118" s="87">
        <f t="shared" ref="W118:W123" si="29">+V118-P118</f>
        <v>2</v>
      </c>
      <c r="X118" s="67">
        <v>41738</v>
      </c>
      <c r="Y118" s="67" t="s">
        <v>682</v>
      </c>
      <c r="Z118" s="88">
        <f t="shared" ref="Z118:Z125" si="30">(P118-V118)*100/P118/100</f>
        <v>-9.0497737556561094E-3</v>
      </c>
      <c r="AA118" s="62" t="s">
        <v>618</v>
      </c>
      <c r="AB118" s="89"/>
      <c r="AC118" s="89"/>
      <c r="AD118" s="89"/>
      <c r="AE118" s="89"/>
      <c r="AF118" s="89"/>
    </row>
    <row r="119" spans="1:32" s="64" customFormat="1" ht="54.75" hidden="1" customHeight="1">
      <c r="A119" s="63"/>
      <c r="B119" s="70"/>
      <c r="C119" s="82"/>
      <c r="D119" s="83"/>
      <c r="E119" s="83"/>
      <c r="F119" s="71"/>
      <c r="G119" s="66"/>
      <c r="H119" s="71"/>
      <c r="I119" s="63"/>
      <c r="J119" s="71"/>
      <c r="K119" s="103"/>
      <c r="L119" s="76"/>
      <c r="M119" s="76"/>
      <c r="N119" s="69"/>
      <c r="O119" s="66"/>
      <c r="P119" s="69">
        <v>0</v>
      </c>
      <c r="Q119" s="66">
        <f t="shared" si="27"/>
        <v>0</v>
      </c>
      <c r="R119" s="86">
        <v>0</v>
      </c>
      <c r="S119" s="87">
        <f t="shared" si="28"/>
        <v>0</v>
      </c>
      <c r="T119" s="65"/>
      <c r="U119" s="65"/>
      <c r="V119" s="87">
        <v>0</v>
      </c>
      <c r="W119" s="87">
        <f t="shared" si="29"/>
        <v>0</v>
      </c>
      <c r="X119" s="67"/>
      <c r="Y119" s="67"/>
      <c r="Z119" s="88" t="e">
        <f t="shared" si="30"/>
        <v>#DIV/0!</v>
      </c>
      <c r="AA119" s="62"/>
      <c r="AB119" s="89"/>
      <c r="AC119" s="89"/>
      <c r="AD119" s="89"/>
      <c r="AE119" s="89"/>
      <c r="AF119" s="89"/>
    </row>
    <row r="120" spans="1:32" s="64" customFormat="1" ht="54.75" hidden="1" customHeight="1">
      <c r="A120" s="63"/>
      <c r="B120" s="70"/>
      <c r="C120" s="82"/>
      <c r="D120" s="83"/>
      <c r="E120" s="83"/>
      <c r="F120" s="71"/>
      <c r="G120" s="66"/>
      <c r="H120" s="71"/>
      <c r="I120" s="63"/>
      <c r="J120" s="71"/>
      <c r="K120" s="103"/>
      <c r="L120" s="76"/>
      <c r="M120" s="76"/>
      <c r="N120" s="69"/>
      <c r="O120" s="66"/>
      <c r="P120" s="69">
        <v>0</v>
      </c>
      <c r="Q120" s="66">
        <f t="shared" si="27"/>
        <v>0</v>
      </c>
      <c r="R120" s="86">
        <v>0</v>
      </c>
      <c r="S120" s="87">
        <f t="shared" si="28"/>
        <v>0</v>
      </c>
      <c r="T120" s="65"/>
      <c r="U120" s="65"/>
      <c r="V120" s="87">
        <v>0</v>
      </c>
      <c r="W120" s="87">
        <f t="shared" si="29"/>
        <v>0</v>
      </c>
      <c r="X120" s="67"/>
      <c r="Y120" s="67"/>
      <c r="Z120" s="88" t="e">
        <f t="shared" si="30"/>
        <v>#DIV/0!</v>
      </c>
      <c r="AA120" s="62"/>
      <c r="AB120" s="89"/>
      <c r="AC120" s="89"/>
      <c r="AD120" s="89"/>
      <c r="AE120" s="89"/>
      <c r="AF120" s="89"/>
    </row>
    <row r="121" spans="1:32" s="64" customFormat="1" ht="54.75" hidden="1" customHeight="1">
      <c r="A121" s="63"/>
      <c r="B121" s="70"/>
      <c r="C121" s="82"/>
      <c r="D121" s="83"/>
      <c r="E121" s="83"/>
      <c r="F121" s="71"/>
      <c r="G121" s="66"/>
      <c r="H121" s="71"/>
      <c r="I121" s="63"/>
      <c r="J121" s="71"/>
      <c r="K121" s="103"/>
      <c r="L121" s="76"/>
      <c r="M121" s="76"/>
      <c r="N121" s="69"/>
      <c r="O121" s="66"/>
      <c r="P121" s="69">
        <v>0</v>
      </c>
      <c r="Q121" s="66">
        <f t="shared" si="27"/>
        <v>0</v>
      </c>
      <c r="R121" s="86">
        <v>0</v>
      </c>
      <c r="S121" s="87">
        <f t="shared" si="28"/>
        <v>0</v>
      </c>
      <c r="T121" s="65"/>
      <c r="U121" s="65"/>
      <c r="V121" s="87">
        <v>0</v>
      </c>
      <c r="W121" s="87">
        <f t="shared" si="29"/>
        <v>0</v>
      </c>
      <c r="X121" s="67"/>
      <c r="Y121" s="67"/>
      <c r="Z121" s="88" t="e">
        <f t="shared" si="30"/>
        <v>#DIV/0!</v>
      </c>
      <c r="AA121" s="62"/>
      <c r="AB121" s="89"/>
      <c r="AC121" s="89"/>
      <c r="AD121" s="89"/>
      <c r="AE121" s="89"/>
      <c r="AF121" s="89"/>
    </row>
    <row r="122" spans="1:32" s="64" customFormat="1" ht="54.75" hidden="1" customHeight="1">
      <c r="A122" s="63"/>
      <c r="B122" s="70"/>
      <c r="C122" s="82"/>
      <c r="D122" s="83"/>
      <c r="E122" s="83"/>
      <c r="F122" s="71"/>
      <c r="G122" s="66"/>
      <c r="H122" s="71"/>
      <c r="I122" s="63"/>
      <c r="J122" s="71"/>
      <c r="K122" s="103"/>
      <c r="L122" s="76"/>
      <c r="M122" s="76"/>
      <c r="N122" s="69"/>
      <c r="O122" s="66"/>
      <c r="P122" s="69">
        <v>0</v>
      </c>
      <c r="Q122" s="66">
        <f t="shared" si="27"/>
        <v>0</v>
      </c>
      <c r="R122" s="86">
        <v>0</v>
      </c>
      <c r="S122" s="87">
        <f t="shared" si="28"/>
        <v>0</v>
      </c>
      <c r="T122" s="65"/>
      <c r="U122" s="65"/>
      <c r="V122" s="87">
        <v>0</v>
      </c>
      <c r="W122" s="87">
        <f t="shared" si="29"/>
        <v>0</v>
      </c>
      <c r="X122" s="67"/>
      <c r="Y122" s="67"/>
      <c r="Z122" s="88" t="e">
        <f t="shared" si="30"/>
        <v>#DIV/0!</v>
      </c>
      <c r="AA122" s="62"/>
      <c r="AB122" s="89"/>
      <c r="AC122" s="89"/>
      <c r="AD122" s="89"/>
      <c r="AE122" s="89"/>
      <c r="AF122" s="89"/>
    </row>
    <row r="123" spans="1:32" s="64" customFormat="1" ht="54.75" hidden="1" customHeight="1">
      <c r="A123" s="63"/>
      <c r="B123" s="70"/>
      <c r="C123" s="82"/>
      <c r="D123" s="83"/>
      <c r="E123" s="83"/>
      <c r="F123" s="71"/>
      <c r="G123" s="66"/>
      <c r="H123" s="71"/>
      <c r="I123" s="63"/>
      <c r="J123" s="71"/>
      <c r="K123" s="103"/>
      <c r="L123" s="76"/>
      <c r="M123" s="76"/>
      <c r="N123" s="69"/>
      <c r="O123" s="66"/>
      <c r="P123" s="69">
        <v>0</v>
      </c>
      <c r="Q123" s="66">
        <f t="shared" si="27"/>
        <v>0</v>
      </c>
      <c r="R123" s="86">
        <v>0</v>
      </c>
      <c r="S123" s="87">
        <f t="shared" si="28"/>
        <v>0</v>
      </c>
      <c r="T123" s="65"/>
      <c r="U123" s="65"/>
      <c r="V123" s="87">
        <v>0</v>
      </c>
      <c r="W123" s="87">
        <f t="shared" si="29"/>
        <v>0</v>
      </c>
      <c r="X123" s="67"/>
      <c r="Y123" s="67"/>
      <c r="Z123" s="88" t="e">
        <f t="shared" si="30"/>
        <v>#DIV/0!</v>
      </c>
      <c r="AA123" s="62"/>
      <c r="AB123" s="89"/>
      <c r="AC123" s="89"/>
      <c r="AD123" s="89"/>
      <c r="AE123" s="89"/>
      <c r="AF123" s="89"/>
    </row>
    <row r="124" spans="1:32" s="89" customFormat="1" ht="54.75" customHeight="1">
      <c r="A124" s="63"/>
      <c r="B124" s="70"/>
      <c r="C124" s="70"/>
      <c r="D124" s="70"/>
      <c r="E124" s="70"/>
      <c r="F124" s="93"/>
      <c r="G124" s="66"/>
      <c r="H124" s="74"/>
      <c r="I124" s="63"/>
      <c r="J124" s="62"/>
      <c r="K124" s="62"/>
      <c r="L124" s="69"/>
      <c r="M124" s="69"/>
      <c r="N124" s="69"/>
      <c r="O124" s="69"/>
      <c r="P124" s="104">
        <f t="shared" ref="P124:Y125" si="31">SUM(P81:P123)</f>
        <v>17853</v>
      </c>
      <c r="Q124" s="104">
        <f t="shared" si="31"/>
        <v>-860</v>
      </c>
      <c r="R124" s="104">
        <f t="shared" si="31"/>
        <v>18713</v>
      </c>
      <c r="S124" s="104">
        <f t="shared" si="31"/>
        <v>-860</v>
      </c>
      <c r="T124" s="104">
        <f t="shared" si="31"/>
        <v>67273</v>
      </c>
      <c r="U124" s="104">
        <f t="shared" si="31"/>
        <v>0</v>
      </c>
      <c r="V124" s="104">
        <f t="shared" si="31"/>
        <v>18190</v>
      </c>
      <c r="W124" s="104">
        <f t="shared" si="31"/>
        <v>337</v>
      </c>
      <c r="X124" s="104">
        <f t="shared" si="31"/>
        <v>245634</v>
      </c>
      <c r="Y124" s="104">
        <f t="shared" si="31"/>
        <v>0</v>
      </c>
      <c r="Z124" s="88">
        <f t="shared" si="30"/>
        <v>-1.8876379320002242E-2</v>
      </c>
      <c r="AA124" s="62"/>
    </row>
    <row r="125" spans="1:32" s="89" customFormat="1" ht="54.75" customHeight="1">
      <c r="A125" s="98"/>
      <c r="B125" s="311" t="s">
        <v>120</v>
      </c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3"/>
      <c r="P125" s="104">
        <f>P124+P78+P24</f>
        <v>43755</v>
      </c>
      <c r="Q125" s="104">
        <f>Q124+Q78+Q24</f>
        <v>-1710</v>
      </c>
      <c r="R125" s="104">
        <f>R124+R78+R24</f>
        <v>45465</v>
      </c>
      <c r="S125" s="104">
        <f>S124+S78+S24</f>
        <v>-1710</v>
      </c>
      <c r="T125" s="104">
        <f t="shared" si="31"/>
        <v>129805</v>
      </c>
      <c r="U125" s="104">
        <f>U124+U78+U24</f>
        <v>0</v>
      </c>
      <c r="V125" s="104">
        <f>V124+V78+V24</f>
        <v>43792.5</v>
      </c>
      <c r="W125" s="104">
        <f>W124+W78+W24</f>
        <v>37.5</v>
      </c>
      <c r="X125" s="104">
        <f>X124+X78+X24</f>
        <v>1576140</v>
      </c>
      <c r="Y125" s="104">
        <f>Y124+Y78+Y24</f>
        <v>0</v>
      </c>
      <c r="Z125" s="88">
        <f t="shared" si="30"/>
        <v>-8.5704490915323962E-4</v>
      </c>
      <c r="AA125" s="62"/>
    </row>
  </sheetData>
  <autoFilter ref="B4:AA19"/>
  <mergeCells count="7">
    <mergeCell ref="B125:O125"/>
    <mergeCell ref="A1:Z1"/>
    <mergeCell ref="AA1:AA2"/>
    <mergeCell ref="A2:Z2"/>
    <mergeCell ref="A3:Z3"/>
    <mergeCell ref="A25:AF25"/>
    <mergeCell ref="A79:AF79"/>
  </mergeCells>
  <dataValidations count="11">
    <dataValidation type="list" allowBlank="1" showInputMessage="1" showErrorMessage="1" sqref="J14 J16:J22 J5">
      <formula1>$A$101:$A$113</formula1>
    </dataValidation>
    <dataValidation type="list" allowBlank="1" showInputMessage="1" showErrorMessage="1" sqref="J82">
      <formula1>$A$299:$A$314</formula1>
    </dataValidation>
    <dataValidation type="list" allowBlank="1" showInputMessage="1" showErrorMessage="1" sqref="J117 J60:J66">
      <formula1>$A$285:$A$300</formula1>
    </dataValidation>
    <dataValidation type="list" allowBlank="1" showInputMessage="1" showErrorMessage="1" sqref="J71 J83:J84">
      <formula1>$A$257:$A$274</formula1>
    </dataValidation>
    <dataValidation type="list" allowBlank="1" showInputMessage="1" showErrorMessage="1" sqref="J85">
      <formula1>$A$98:$A$114</formula1>
    </dataValidation>
    <dataValidation type="list" allowBlank="1" showInputMessage="1" showErrorMessage="1" sqref="J115">
      <formula1>$A$377:$A$391</formula1>
    </dataValidation>
    <dataValidation type="list" allowBlank="1" showInputMessage="1" showErrorMessage="1" sqref="F5:F9 F116:F117 F27:F67 F81:F83 F85">
      <formula1>#REF!</formula1>
    </dataValidation>
    <dataValidation type="list" allowBlank="1" showInputMessage="1" showErrorMessage="1" sqref="J118">
      <formula1>$A$376:$A$390</formula1>
    </dataValidation>
    <dataValidation type="list" allowBlank="1" showInputMessage="1" showErrorMessage="1" sqref="F71:F73 F76">
      <formula1>$C$112:$C$117</formula1>
    </dataValidation>
    <dataValidation type="list" allowBlank="1" showInputMessage="1" showErrorMessage="1" sqref="F74:F75">
      <formula1>$C$88:$C$89</formula1>
    </dataValidation>
    <dataValidation type="list" allowBlank="1" showInputMessage="1" showErrorMessage="1" sqref="J53">
      <formula1>$A$104:$A$126</formula1>
    </dataValidation>
  </dataValidations>
  <pageMargins left="0.7" right="0.7" top="0.75" bottom="0.75" header="0.3" footer="0.3"/>
  <pageSetup paperSize="9" scale="53" orientation="landscape" r:id="rId1"/>
  <colBreaks count="1" manualBreakCount="1">
    <brk id="27" max="124" man="1"/>
  </col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'C:\Users\salman\Desktop\[New Posting.xlsm]Summary'!#REF!</xm:f>
          </x14:formula1>
          <xm:sqref>H115 F16:F22 F14 J29:J39 H29:H39 J6:J9 H6:H9 J81 J56:J57 H56:H57 H16:H22 H12:H14 H81:H84 J86:J97 H86:H97 J12:J13 H71 H60:H66 H117:H118 J77 H77</xm:sqref>
        </x14:dataValidation>
        <x14:dataValidation type="list" allowBlank="1" showInputMessage="1" showErrorMessage="1">
          <x14:formula1>
            <xm:f>'C:\Users\shekor\Desktop\[New Job Posting.xlsm]Summary'!#REF!</xm:f>
          </x14:formula1>
          <xm:sqref>J27:J28 H27:H28 H5 J10:J11 F10:F11 H10:H11 J54:J55 J58:J59 H58:H59 H85 F68 J67:J70 H67:H70 H98:H114 F111:F115 J98:J114 J116 H116 F118:F123 J119:J123 H119:H123 H40:H55 J40:J52 H72:H76 J72:J76</xm:sqref>
        </x14:dataValidation>
        <x14:dataValidation type="list" allowBlank="1" showInputMessage="1" showErrorMessage="1">
          <x14:formula1>
            <xm:f>'C:\Users\rokibul\Desktop\[21.05.26 Finish Fabric Plan &amp; Execution Status.xlsm]Summary'!#REF!</xm:f>
          </x14:formula1>
          <xm:sqref>F98:F110 F12:F13 F69:F70 F86:F95</xm:sqref>
        </x14:dataValidation>
        <x14:dataValidation type="list" allowBlank="1" showInputMessage="1" showErrorMessage="1">
          <x14:formula1>
            <xm:f>'C:\Users\rokibul\Desktop\[17.04.26 Finish Fabric Plan &amp; Execution Status.xlsm]Summary'!#REF!</xm:f>
          </x14:formula1>
          <xm:sqref>F96:F97</xm:sqref>
        </x14:dataValidation>
        <x14:dataValidation type="list" allowBlank="1" showInputMessage="1" showErrorMessage="1">
          <x14:formula1>
            <xm:f>'C:\Users\rokibul\Desktop\[27.06.26 Finish Fabric Plan &amp; Execution Status.xlsm]Summary'!#REF!</xm:f>
          </x14:formula1>
          <xm:sqref>F77</xm:sqref>
        </x14:dataValidation>
        <x14:dataValidation type="list" allowBlank="1" showInputMessage="1" showErrorMessage="1">
          <x14:formula1>
            <xm:f>'C:\Users\rokibul\Desktop\[24.07.26 Finish Fabric Plan &amp; Execution Status.xlsm]Summary'!#REF!</xm:f>
          </x14:formula1>
          <xm:sqref>F84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8"/>
  <sheetViews>
    <sheetView view="pageBreakPreview" topLeftCell="C1" zoomScale="70" zoomScaleNormal="70" zoomScaleSheetLayoutView="70" workbookViewId="0">
      <pane ySplit="4" topLeftCell="A11" activePane="bottomLeft" state="frozen"/>
      <selection activeCell="B1" sqref="B1"/>
      <selection pane="bottomLeft" activeCell="N12" sqref="N12"/>
    </sheetView>
  </sheetViews>
  <sheetFormatPr defaultRowHeight="14.25"/>
  <cols>
    <col min="1" max="1" width="0" style="167" hidden="1" customWidth="1"/>
    <col min="2" max="2" width="8.7109375" style="173" customWidth="1"/>
    <col min="3" max="3" width="10.28515625" style="173" customWidth="1"/>
    <col min="4" max="4" width="9.28515625" style="167" hidden="1" customWidth="1"/>
    <col min="5" max="5" width="9.28515625" style="167" bestFit="1" customWidth="1"/>
    <col min="6" max="6" width="7.140625" style="167" customWidth="1"/>
    <col min="7" max="7" width="9.28515625" style="167" customWidth="1"/>
    <col min="8" max="8" width="7.85546875" style="167" customWidth="1"/>
    <col min="9" max="9" width="12.85546875" style="167" customWidth="1"/>
    <col min="10" max="10" width="10.85546875" style="167" customWidth="1"/>
    <col min="11" max="11" width="19.42578125" style="173" customWidth="1"/>
    <col min="12" max="12" width="6" style="167" customWidth="1"/>
    <col min="13" max="13" width="5.42578125" style="167" customWidth="1"/>
    <col min="14" max="14" width="15.7109375" style="166" customWidth="1"/>
    <col min="15" max="15" width="6.140625" style="166" customWidth="1"/>
    <col min="16" max="16" width="11.140625" style="167" customWidth="1"/>
    <col min="17" max="17" width="7.42578125" style="167" customWidth="1"/>
    <col min="18" max="18" width="11.42578125" style="167" customWidth="1"/>
    <col min="19" max="19" width="8.42578125" style="167" customWidth="1"/>
    <col min="20" max="20" width="9.140625" style="167" customWidth="1"/>
    <col min="21" max="21" width="9.5703125" style="167" customWidth="1"/>
    <col min="22" max="22" width="11.5703125" style="167" customWidth="1"/>
    <col min="23" max="23" width="12.5703125" style="167" customWidth="1"/>
    <col min="24" max="24" width="12.85546875" style="167" customWidth="1"/>
    <col min="25" max="25" width="10.85546875" style="167" customWidth="1"/>
    <col min="26" max="26" width="14.140625" style="167" customWidth="1"/>
    <col min="27" max="27" width="28.7109375" style="167" customWidth="1"/>
    <col min="28" max="16384" width="9.140625" style="167"/>
  </cols>
  <sheetData>
    <row r="1" spans="1:45" s="155" customFormat="1" ht="30" customHeight="1">
      <c r="A1" s="324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45" s="156" customFormat="1" ht="30" customHeight="1">
      <c r="A2" s="323" t="s">
        <v>711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</row>
    <row r="3" spans="1:45" s="158" customFormat="1" ht="28.5" customHeight="1">
      <c r="A3" s="321" t="s">
        <v>712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189" t="s">
        <v>916</v>
      </c>
      <c r="AB3" s="157"/>
    </row>
    <row r="4" spans="1:45" s="159" customFormat="1" ht="82.5" customHeight="1">
      <c r="A4" s="174" t="s">
        <v>713</v>
      </c>
      <c r="B4" s="4" t="s">
        <v>140</v>
      </c>
      <c r="C4" s="4" t="s">
        <v>141</v>
      </c>
      <c r="D4" s="4" t="s">
        <v>142</v>
      </c>
      <c r="E4" s="4" t="s">
        <v>143</v>
      </c>
      <c r="F4" s="174" t="s">
        <v>115</v>
      </c>
      <c r="G4" s="174" t="s">
        <v>117</v>
      </c>
      <c r="H4" s="181" t="s">
        <v>48</v>
      </c>
      <c r="I4" s="174" t="s">
        <v>583</v>
      </c>
      <c r="J4" s="174" t="s">
        <v>3</v>
      </c>
      <c r="K4" s="174" t="s">
        <v>4</v>
      </c>
      <c r="L4" s="175" t="s">
        <v>5</v>
      </c>
      <c r="M4" s="176" t="s">
        <v>6</v>
      </c>
      <c r="N4" s="174" t="s">
        <v>7</v>
      </c>
      <c r="O4" s="176" t="s">
        <v>8</v>
      </c>
      <c r="P4" s="176" t="s">
        <v>714</v>
      </c>
      <c r="Q4" s="176" t="s">
        <v>715</v>
      </c>
      <c r="R4" s="176" t="s">
        <v>716</v>
      </c>
      <c r="S4" s="176" t="s">
        <v>717</v>
      </c>
      <c r="T4" s="176" t="s">
        <v>119</v>
      </c>
      <c r="U4" s="176" t="s">
        <v>13</v>
      </c>
      <c r="V4" s="176" t="s">
        <v>718</v>
      </c>
      <c r="W4" s="176" t="s">
        <v>719</v>
      </c>
      <c r="X4" s="176" t="s">
        <v>119</v>
      </c>
      <c r="Y4" s="176" t="s">
        <v>118</v>
      </c>
      <c r="Z4" s="177" t="s">
        <v>720</v>
      </c>
      <c r="AA4" s="202" t="s">
        <v>721</v>
      </c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</row>
    <row r="5" spans="1:45" s="163" customFormat="1" ht="79.5" customHeight="1">
      <c r="A5" s="161"/>
      <c r="B5" s="21">
        <v>46183</v>
      </c>
      <c r="C5" s="21">
        <v>46196</v>
      </c>
      <c r="D5" s="23">
        <v>46200</v>
      </c>
      <c r="E5" s="23">
        <v>46207</v>
      </c>
      <c r="F5" s="24" t="s">
        <v>121</v>
      </c>
      <c r="G5" s="25" t="s">
        <v>105</v>
      </c>
      <c r="H5" s="24" t="s">
        <v>29</v>
      </c>
      <c r="I5" s="161"/>
      <c r="J5" s="26" t="s">
        <v>18</v>
      </c>
      <c r="K5" s="54">
        <v>47617</v>
      </c>
      <c r="L5" s="24">
        <v>220</v>
      </c>
      <c r="M5" s="24" t="s">
        <v>45</v>
      </c>
      <c r="N5" s="37" t="s">
        <v>442</v>
      </c>
      <c r="O5" s="26" t="s">
        <v>28</v>
      </c>
      <c r="P5" s="24">
        <v>139</v>
      </c>
      <c r="Q5" s="25">
        <f t="shared" ref="Q5:Q10" si="0">P5-R5</f>
        <v>0</v>
      </c>
      <c r="R5" s="182">
        <f>139</f>
        <v>139</v>
      </c>
      <c r="S5" s="183">
        <f t="shared" ref="S5:S10" si="1">P5-R5</f>
        <v>0</v>
      </c>
      <c r="T5" s="184">
        <v>68</v>
      </c>
      <c r="U5" s="184" t="s">
        <v>560</v>
      </c>
      <c r="V5" s="183">
        <f>135</f>
        <v>135</v>
      </c>
      <c r="W5" s="183">
        <f t="shared" ref="W5:W10" si="2">+V5-P5</f>
        <v>-4</v>
      </c>
      <c r="X5" s="184">
        <v>1622</v>
      </c>
      <c r="Y5" s="184" t="s">
        <v>627</v>
      </c>
      <c r="Z5" s="185">
        <f t="shared" ref="Z5:Z10" si="3">(P5-V5)*100/P5/100</f>
        <v>2.8776978417266185E-2</v>
      </c>
      <c r="AA5" s="162" t="s">
        <v>554</v>
      </c>
      <c r="AB5" s="159"/>
      <c r="AC5" s="159"/>
      <c r="AD5" s="159"/>
      <c r="AE5" s="159"/>
      <c r="AF5" s="159"/>
    </row>
    <row r="6" spans="1:45" s="163" customFormat="1" ht="79.5" customHeight="1">
      <c r="A6" s="161"/>
      <c r="B6" s="21">
        <v>46183</v>
      </c>
      <c r="C6" s="21">
        <v>46196</v>
      </c>
      <c r="D6" s="23">
        <v>46200</v>
      </c>
      <c r="E6" s="23">
        <v>46207</v>
      </c>
      <c r="F6" s="24" t="s">
        <v>23</v>
      </c>
      <c r="G6" s="25" t="s">
        <v>105</v>
      </c>
      <c r="H6" s="24" t="s">
        <v>29</v>
      </c>
      <c r="I6" s="161"/>
      <c r="J6" s="26" t="s">
        <v>18</v>
      </c>
      <c r="K6" s="54">
        <v>47617</v>
      </c>
      <c r="L6" s="24">
        <v>220</v>
      </c>
      <c r="M6" s="24" t="s">
        <v>45</v>
      </c>
      <c r="N6" s="37" t="s">
        <v>126</v>
      </c>
      <c r="O6" s="26" t="s">
        <v>28</v>
      </c>
      <c r="P6" s="24">
        <v>202</v>
      </c>
      <c r="Q6" s="25">
        <f t="shared" si="0"/>
        <v>-4</v>
      </c>
      <c r="R6" s="182">
        <f>206</f>
        <v>206</v>
      </c>
      <c r="S6" s="183">
        <f t="shared" si="1"/>
        <v>-4</v>
      </c>
      <c r="T6" s="184">
        <v>4741</v>
      </c>
      <c r="U6" s="184" t="s">
        <v>463</v>
      </c>
      <c r="V6" s="183">
        <f>200</f>
        <v>200</v>
      </c>
      <c r="W6" s="183">
        <f t="shared" si="2"/>
        <v>-2</v>
      </c>
      <c r="X6" s="184">
        <v>1622</v>
      </c>
      <c r="Y6" s="184" t="s">
        <v>627</v>
      </c>
      <c r="Z6" s="185">
        <f t="shared" si="3"/>
        <v>9.9009900990099011E-3</v>
      </c>
      <c r="AA6" s="162" t="s">
        <v>497</v>
      </c>
      <c r="AB6" s="159"/>
      <c r="AC6" s="159"/>
      <c r="AD6" s="159"/>
      <c r="AE6" s="159"/>
      <c r="AF6" s="159"/>
    </row>
    <row r="7" spans="1:45" s="163" customFormat="1" ht="79.5" customHeight="1">
      <c r="A7" s="161"/>
      <c r="B7" s="21">
        <v>46185</v>
      </c>
      <c r="C7" s="21">
        <v>46197</v>
      </c>
      <c r="D7" s="23">
        <v>46200</v>
      </c>
      <c r="E7" s="23">
        <v>46207</v>
      </c>
      <c r="F7" s="24" t="s">
        <v>121</v>
      </c>
      <c r="G7" s="25" t="s">
        <v>105</v>
      </c>
      <c r="H7" s="24" t="s">
        <v>29</v>
      </c>
      <c r="I7" s="161"/>
      <c r="J7" s="26" t="s">
        <v>18</v>
      </c>
      <c r="K7" s="54">
        <v>47618</v>
      </c>
      <c r="L7" s="24">
        <v>220</v>
      </c>
      <c r="M7" s="24" t="s">
        <v>45</v>
      </c>
      <c r="N7" s="37" t="s">
        <v>442</v>
      </c>
      <c r="O7" s="26" t="s">
        <v>28</v>
      </c>
      <c r="P7" s="24">
        <v>418</v>
      </c>
      <c r="Q7" s="25">
        <f t="shared" si="0"/>
        <v>6</v>
      </c>
      <c r="R7" s="182">
        <f>412</f>
        <v>412</v>
      </c>
      <c r="S7" s="183">
        <f t="shared" si="1"/>
        <v>6</v>
      </c>
      <c r="T7" s="184">
        <v>68</v>
      </c>
      <c r="U7" s="184" t="s">
        <v>560</v>
      </c>
      <c r="V7" s="183">
        <f>402</f>
        <v>402</v>
      </c>
      <c r="W7" s="183">
        <f t="shared" si="2"/>
        <v>-16</v>
      </c>
      <c r="X7" s="184">
        <v>1622</v>
      </c>
      <c r="Y7" s="184" t="s">
        <v>627</v>
      </c>
      <c r="Z7" s="185">
        <f t="shared" si="3"/>
        <v>3.8277511961722487E-2</v>
      </c>
      <c r="AA7" s="162" t="s">
        <v>554</v>
      </c>
      <c r="AB7" s="159"/>
      <c r="AC7" s="159"/>
      <c r="AD7" s="159"/>
      <c r="AE7" s="159"/>
      <c r="AF7" s="159"/>
    </row>
    <row r="8" spans="1:45" s="163" customFormat="1" ht="79.5" customHeight="1">
      <c r="A8" s="161"/>
      <c r="B8" s="21">
        <v>46185</v>
      </c>
      <c r="C8" s="21">
        <v>46197</v>
      </c>
      <c r="D8" s="23">
        <v>46200</v>
      </c>
      <c r="E8" s="23">
        <v>46207</v>
      </c>
      <c r="F8" s="24" t="s">
        <v>23</v>
      </c>
      <c r="G8" s="25" t="s">
        <v>105</v>
      </c>
      <c r="H8" s="24" t="s">
        <v>29</v>
      </c>
      <c r="I8" s="161"/>
      <c r="J8" s="26" t="s">
        <v>18</v>
      </c>
      <c r="K8" s="54">
        <v>47618</v>
      </c>
      <c r="L8" s="24">
        <v>220</v>
      </c>
      <c r="M8" s="24" t="s">
        <v>45</v>
      </c>
      <c r="N8" s="37" t="s">
        <v>126</v>
      </c>
      <c r="O8" s="26" t="s">
        <v>28</v>
      </c>
      <c r="P8" s="24">
        <v>184</v>
      </c>
      <c r="Q8" s="25">
        <f t="shared" si="0"/>
        <v>-3</v>
      </c>
      <c r="R8" s="182">
        <f>187</f>
        <v>187</v>
      </c>
      <c r="S8" s="183">
        <f t="shared" si="1"/>
        <v>-3</v>
      </c>
      <c r="T8" s="184">
        <v>4741</v>
      </c>
      <c r="U8" s="184" t="s">
        <v>463</v>
      </c>
      <c r="V8" s="183">
        <f>187</f>
        <v>187</v>
      </c>
      <c r="W8" s="183">
        <f t="shared" si="2"/>
        <v>3</v>
      </c>
      <c r="X8" s="184">
        <v>1590</v>
      </c>
      <c r="Y8" s="184" t="s">
        <v>613</v>
      </c>
      <c r="Z8" s="185">
        <f t="shared" si="3"/>
        <v>-1.6304347826086956E-2</v>
      </c>
      <c r="AA8" s="162" t="s">
        <v>497</v>
      </c>
      <c r="AB8" s="159"/>
      <c r="AC8" s="159"/>
      <c r="AD8" s="159"/>
      <c r="AE8" s="159"/>
      <c r="AF8" s="159"/>
    </row>
    <row r="9" spans="1:45" s="163" customFormat="1" ht="79.5" customHeight="1">
      <c r="A9" s="161"/>
      <c r="B9" s="21">
        <v>46185</v>
      </c>
      <c r="C9" s="21">
        <v>46197</v>
      </c>
      <c r="D9" s="23">
        <v>46200</v>
      </c>
      <c r="E9" s="23">
        <v>46207</v>
      </c>
      <c r="F9" s="24" t="s">
        <v>235</v>
      </c>
      <c r="G9" s="25" t="s">
        <v>105</v>
      </c>
      <c r="H9" s="24" t="s">
        <v>29</v>
      </c>
      <c r="I9" s="161"/>
      <c r="J9" s="26" t="s">
        <v>18</v>
      </c>
      <c r="K9" s="54">
        <v>47619</v>
      </c>
      <c r="L9" s="24">
        <v>220</v>
      </c>
      <c r="M9" s="24" t="s">
        <v>45</v>
      </c>
      <c r="N9" s="37" t="s">
        <v>442</v>
      </c>
      <c r="O9" s="26" t="s">
        <v>28</v>
      </c>
      <c r="P9" s="24">
        <v>146</v>
      </c>
      <c r="Q9" s="25">
        <f t="shared" si="0"/>
        <v>-6</v>
      </c>
      <c r="R9" s="182">
        <f>152</f>
        <v>152</v>
      </c>
      <c r="S9" s="183">
        <f t="shared" si="1"/>
        <v>-6</v>
      </c>
      <c r="T9" s="184">
        <v>112</v>
      </c>
      <c r="U9" s="184" t="s">
        <v>599</v>
      </c>
      <c r="V9" s="183">
        <f>152</f>
        <v>152</v>
      </c>
      <c r="W9" s="183">
        <f t="shared" si="2"/>
        <v>6</v>
      </c>
      <c r="X9" s="184">
        <v>1705</v>
      </c>
      <c r="Y9" s="184" t="s">
        <v>693</v>
      </c>
      <c r="Z9" s="185">
        <f t="shared" si="3"/>
        <v>-4.1095890410958909E-2</v>
      </c>
      <c r="AA9" s="162" t="s">
        <v>625</v>
      </c>
      <c r="AB9" s="159"/>
      <c r="AC9" s="159"/>
      <c r="AD9" s="159"/>
      <c r="AE9" s="159"/>
      <c r="AF9" s="159"/>
    </row>
    <row r="10" spans="1:45" s="163" customFormat="1" ht="79.5" customHeight="1">
      <c r="A10" s="161"/>
      <c r="B10" s="21">
        <v>46185</v>
      </c>
      <c r="C10" s="21">
        <v>46197</v>
      </c>
      <c r="D10" s="23">
        <v>46200</v>
      </c>
      <c r="E10" s="23">
        <v>46207</v>
      </c>
      <c r="F10" s="24" t="s">
        <v>23</v>
      </c>
      <c r="G10" s="25" t="s">
        <v>105</v>
      </c>
      <c r="H10" s="24" t="s">
        <v>29</v>
      </c>
      <c r="I10" s="161"/>
      <c r="J10" s="26" t="s">
        <v>18</v>
      </c>
      <c r="K10" s="54">
        <v>47619</v>
      </c>
      <c r="L10" s="24">
        <v>220</v>
      </c>
      <c r="M10" s="24" t="s">
        <v>45</v>
      </c>
      <c r="N10" s="37" t="s">
        <v>126</v>
      </c>
      <c r="O10" s="26" t="s">
        <v>28</v>
      </c>
      <c r="P10" s="24">
        <v>172</v>
      </c>
      <c r="Q10" s="25">
        <f t="shared" si="0"/>
        <v>-3</v>
      </c>
      <c r="R10" s="182">
        <f>175</f>
        <v>175</v>
      </c>
      <c r="S10" s="183">
        <f t="shared" si="1"/>
        <v>-3</v>
      </c>
      <c r="T10" s="184">
        <v>4741</v>
      </c>
      <c r="U10" s="184" t="s">
        <v>463</v>
      </c>
      <c r="V10" s="183">
        <f>170</f>
        <v>170</v>
      </c>
      <c r="W10" s="183">
        <f t="shared" si="2"/>
        <v>-2</v>
      </c>
      <c r="X10" s="184">
        <v>1622</v>
      </c>
      <c r="Y10" s="184" t="s">
        <v>627</v>
      </c>
      <c r="Z10" s="185">
        <f t="shared" si="3"/>
        <v>1.1627906976744186E-2</v>
      </c>
      <c r="AA10" s="162" t="s">
        <v>497</v>
      </c>
      <c r="AB10" s="159"/>
      <c r="AC10" s="159"/>
      <c r="AD10" s="159"/>
      <c r="AE10" s="159"/>
      <c r="AF10" s="159"/>
    </row>
    <row r="11" spans="1:45" s="163" customFormat="1" ht="79.5" customHeight="1">
      <c r="A11" s="161"/>
      <c r="B11" s="27">
        <v>46186</v>
      </c>
      <c r="C11" s="21">
        <v>46196</v>
      </c>
      <c r="D11" s="23">
        <v>46204</v>
      </c>
      <c r="E11" s="23">
        <v>46208</v>
      </c>
      <c r="F11" s="24" t="s">
        <v>23</v>
      </c>
      <c r="G11" s="25" t="s">
        <v>105</v>
      </c>
      <c r="H11" s="26" t="s">
        <v>179</v>
      </c>
      <c r="I11" s="161"/>
      <c r="J11" s="26" t="s">
        <v>18</v>
      </c>
      <c r="K11" s="54">
        <v>47581</v>
      </c>
      <c r="L11" s="24">
        <v>220</v>
      </c>
      <c r="M11" s="24" t="s">
        <v>443</v>
      </c>
      <c r="N11" s="37" t="s">
        <v>107</v>
      </c>
      <c r="O11" s="26" t="s">
        <v>28</v>
      </c>
      <c r="P11" s="24">
        <v>16</v>
      </c>
      <c r="Q11" s="25">
        <f t="shared" ref="Q11:Q31" si="4">P11-R11</f>
        <v>-8</v>
      </c>
      <c r="R11" s="182">
        <f>24</f>
        <v>24</v>
      </c>
      <c r="S11" s="183">
        <f t="shared" ref="S11:S31" si="5">P11-R11</f>
        <v>-8</v>
      </c>
      <c r="T11" s="184">
        <v>4747</v>
      </c>
      <c r="U11" s="184" t="s">
        <v>464</v>
      </c>
      <c r="V11" s="183">
        <f>24</f>
        <v>24</v>
      </c>
      <c r="W11" s="183">
        <f t="shared" ref="W11:W31" si="6">+V11-P11</f>
        <v>8</v>
      </c>
      <c r="X11" s="184">
        <v>1624</v>
      </c>
      <c r="Y11" s="184" t="s">
        <v>640</v>
      </c>
      <c r="Z11" s="185">
        <f t="shared" ref="Z11:Z32" si="7">(P11-V11)*100/P11/100</f>
        <v>-0.5</v>
      </c>
      <c r="AA11" s="162" t="s">
        <v>500</v>
      </c>
      <c r="AB11" s="159"/>
      <c r="AC11" s="159"/>
      <c r="AD11" s="159"/>
      <c r="AE11" s="159"/>
      <c r="AF11" s="159"/>
    </row>
    <row r="12" spans="1:45" s="163" customFormat="1" ht="79.5" customHeight="1">
      <c r="A12" s="161"/>
      <c r="B12" s="27">
        <v>46186</v>
      </c>
      <c r="C12" s="21">
        <v>46196</v>
      </c>
      <c r="D12" s="23">
        <v>46204</v>
      </c>
      <c r="E12" s="21">
        <v>46208</v>
      </c>
      <c r="F12" s="24" t="s">
        <v>23</v>
      </c>
      <c r="G12" s="25" t="s">
        <v>105</v>
      </c>
      <c r="H12" s="26" t="s">
        <v>179</v>
      </c>
      <c r="I12" s="161"/>
      <c r="J12" s="26" t="s">
        <v>18</v>
      </c>
      <c r="K12" s="54">
        <v>47581</v>
      </c>
      <c r="L12" s="24">
        <v>220</v>
      </c>
      <c r="M12" s="24" t="s">
        <v>443</v>
      </c>
      <c r="N12" s="37" t="s">
        <v>326</v>
      </c>
      <c r="O12" s="26" t="s">
        <v>28</v>
      </c>
      <c r="P12" s="24">
        <v>16</v>
      </c>
      <c r="Q12" s="25">
        <f t="shared" si="4"/>
        <v>-2</v>
      </c>
      <c r="R12" s="182">
        <f>18</f>
        <v>18</v>
      </c>
      <c r="S12" s="183">
        <f t="shared" si="5"/>
        <v>-2</v>
      </c>
      <c r="T12" s="184">
        <v>4741</v>
      </c>
      <c r="U12" s="184" t="s">
        <v>463</v>
      </c>
      <c r="V12" s="183">
        <f>19</f>
        <v>19</v>
      </c>
      <c r="W12" s="183">
        <f t="shared" si="6"/>
        <v>3</v>
      </c>
      <c r="X12" s="184">
        <v>1590</v>
      </c>
      <c r="Y12" s="184" t="s">
        <v>613</v>
      </c>
      <c r="Z12" s="185">
        <f t="shared" si="7"/>
        <v>-0.1875</v>
      </c>
      <c r="AA12" s="162" t="s">
        <v>496</v>
      </c>
      <c r="AB12" s="159"/>
      <c r="AC12" s="159"/>
      <c r="AD12" s="159"/>
      <c r="AE12" s="159"/>
      <c r="AF12" s="159"/>
    </row>
    <row r="13" spans="1:45" s="163" customFormat="1" ht="79.5" customHeight="1">
      <c r="A13" s="161"/>
      <c r="B13" s="21">
        <v>46186</v>
      </c>
      <c r="C13" s="21">
        <v>46196</v>
      </c>
      <c r="D13" s="23">
        <v>46197</v>
      </c>
      <c r="E13" s="23">
        <v>46205</v>
      </c>
      <c r="F13" s="24" t="s">
        <v>23</v>
      </c>
      <c r="G13" s="25" t="s">
        <v>49</v>
      </c>
      <c r="H13" s="24" t="s">
        <v>30</v>
      </c>
      <c r="I13" s="161"/>
      <c r="J13" s="26" t="s">
        <v>33</v>
      </c>
      <c r="K13" s="32" t="s">
        <v>447</v>
      </c>
      <c r="L13" s="24">
        <v>210</v>
      </c>
      <c r="M13" s="24" t="s">
        <v>42</v>
      </c>
      <c r="N13" s="37" t="s">
        <v>101</v>
      </c>
      <c r="O13" s="26" t="s">
        <v>36</v>
      </c>
      <c r="P13" s="24">
        <v>600</v>
      </c>
      <c r="Q13" s="25">
        <f t="shared" si="4"/>
        <v>152</v>
      </c>
      <c r="R13" s="182">
        <f>448</f>
        <v>448</v>
      </c>
      <c r="S13" s="183">
        <f t="shared" si="5"/>
        <v>152</v>
      </c>
      <c r="T13" s="184">
        <v>4723</v>
      </c>
      <c r="U13" s="184" t="s">
        <v>434</v>
      </c>
      <c r="V13" s="183">
        <f>538</f>
        <v>538</v>
      </c>
      <c r="W13" s="183">
        <f t="shared" si="6"/>
        <v>-62</v>
      </c>
      <c r="X13" s="184">
        <v>221329</v>
      </c>
      <c r="Y13" s="184" t="s">
        <v>560</v>
      </c>
      <c r="Z13" s="185">
        <f t="shared" si="7"/>
        <v>0.10333333333333333</v>
      </c>
      <c r="AA13" s="162" t="s">
        <v>494</v>
      </c>
      <c r="AB13" s="159"/>
      <c r="AC13" s="159"/>
      <c r="AD13" s="159"/>
      <c r="AE13" s="159"/>
      <c r="AF13" s="159"/>
    </row>
    <row r="14" spans="1:45" s="163" customFormat="1" ht="101.25" customHeight="1">
      <c r="A14" s="161"/>
      <c r="B14" s="21">
        <v>46188</v>
      </c>
      <c r="C14" s="21">
        <v>46200</v>
      </c>
      <c r="D14" s="23">
        <v>46204</v>
      </c>
      <c r="E14" s="23">
        <v>46211</v>
      </c>
      <c r="F14" s="111" t="s">
        <v>23</v>
      </c>
      <c r="G14" s="25" t="s">
        <v>105</v>
      </c>
      <c r="H14" s="26" t="s">
        <v>138</v>
      </c>
      <c r="I14" s="161"/>
      <c r="J14" s="26" t="s">
        <v>34</v>
      </c>
      <c r="K14" s="33">
        <v>47690</v>
      </c>
      <c r="L14" s="24">
        <v>160</v>
      </c>
      <c r="M14" s="24" t="s">
        <v>35</v>
      </c>
      <c r="N14" s="37" t="s">
        <v>449</v>
      </c>
      <c r="O14" s="26" t="s">
        <v>20</v>
      </c>
      <c r="P14" s="24">
        <v>500</v>
      </c>
      <c r="Q14" s="25">
        <f t="shared" si="4"/>
        <v>-10</v>
      </c>
      <c r="R14" s="182">
        <f>510</f>
        <v>510</v>
      </c>
      <c r="S14" s="183">
        <f t="shared" si="5"/>
        <v>-10</v>
      </c>
      <c r="T14" s="184">
        <v>99</v>
      </c>
      <c r="U14" s="184" t="s">
        <v>651</v>
      </c>
      <c r="V14" s="183">
        <f>480</f>
        <v>480</v>
      </c>
      <c r="W14" s="183">
        <f t="shared" si="6"/>
        <v>-20</v>
      </c>
      <c r="X14" s="184">
        <v>1733</v>
      </c>
      <c r="Y14" s="184" t="s">
        <v>824</v>
      </c>
      <c r="Z14" s="185">
        <f t="shared" si="7"/>
        <v>0.04</v>
      </c>
      <c r="AA14" s="162" t="s">
        <v>976</v>
      </c>
      <c r="AB14" s="159"/>
      <c r="AC14" s="159"/>
      <c r="AD14" s="159"/>
      <c r="AE14" s="159"/>
      <c r="AF14" s="159"/>
    </row>
    <row r="15" spans="1:45" s="163" customFormat="1" ht="189.75" customHeight="1">
      <c r="A15" s="161"/>
      <c r="B15" s="21">
        <v>46189</v>
      </c>
      <c r="C15" s="21">
        <v>46200</v>
      </c>
      <c r="D15" s="23">
        <v>46204</v>
      </c>
      <c r="E15" s="23">
        <v>46211</v>
      </c>
      <c r="F15" s="24" t="s">
        <v>23</v>
      </c>
      <c r="G15" s="25" t="s">
        <v>105</v>
      </c>
      <c r="H15" s="26" t="s">
        <v>138</v>
      </c>
      <c r="I15" s="161"/>
      <c r="J15" s="26" t="s">
        <v>34</v>
      </c>
      <c r="K15" s="33">
        <v>47691</v>
      </c>
      <c r="L15" s="24">
        <v>160</v>
      </c>
      <c r="M15" s="24" t="s">
        <v>47</v>
      </c>
      <c r="N15" s="229" t="s">
        <v>448</v>
      </c>
      <c r="O15" s="26" t="s">
        <v>20</v>
      </c>
      <c r="P15" s="24">
        <v>660</v>
      </c>
      <c r="Q15" s="25">
        <f t="shared" si="4"/>
        <v>-12</v>
      </c>
      <c r="R15" s="182">
        <f>428+244</f>
        <v>672</v>
      </c>
      <c r="S15" s="183">
        <f t="shared" si="5"/>
        <v>-12</v>
      </c>
      <c r="T15" s="184" t="s">
        <v>709</v>
      </c>
      <c r="U15" s="184" t="s">
        <v>710</v>
      </c>
      <c r="V15" s="183">
        <f>6+223+385</f>
        <v>614</v>
      </c>
      <c r="W15" s="186">
        <f t="shared" si="6"/>
        <v>-46</v>
      </c>
      <c r="X15" s="184" t="s">
        <v>993</v>
      </c>
      <c r="Y15" s="184" t="s">
        <v>994</v>
      </c>
      <c r="Z15" s="187">
        <f t="shared" si="7"/>
        <v>6.9696969696969702E-2</v>
      </c>
      <c r="AA15" s="162" t="s">
        <v>955</v>
      </c>
      <c r="AB15" s="159"/>
      <c r="AC15" s="159"/>
      <c r="AD15" s="159"/>
      <c r="AE15" s="159"/>
      <c r="AF15" s="159"/>
    </row>
    <row r="16" spans="1:45" s="163" customFormat="1" ht="174" customHeight="1">
      <c r="A16" s="161"/>
      <c r="B16" s="21"/>
      <c r="C16" s="21">
        <v>46198</v>
      </c>
      <c r="D16" s="23">
        <v>46197</v>
      </c>
      <c r="E16" s="23">
        <v>46206</v>
      </c>
      <c r="F16" s="26" t="s">
        <v>235</v>
      </c>
      <c r="G16" s="25" t="s">
        <v>105</v>
      </c>
      <c r="H16" s="26" t="s">
        <v>138</v>
      </c>
      <c r="I16" s="161"/>
      <c r="J16" s="26" t="s">
        <v>34</v>
      </c>
      <c r="K16" s="33">
        <v>47234</v>
      </c>
      <c r="L16" s="24">
        <v>200</v>
      </c>
      <c r="M16" s="24" t="s">
        <v>19</v>
      </c>
      <c r="N16" s="37" t="s">
        <v>451</v>
      </c>
      <c r="O16" s="26" t="s">
        <v>66</v>
      </c>
      <c r="P16" s="24">
        <v>2830</v>
      </c>
      <c r="Q16" s="25">
        <f t="shared" si="4"/>
        <v>43</v>
      </c>
      <c r="R16" s="182">
        <f>3+25+1291+1295+107+66</f>
        <v>2787</v>
      </c>
      <c r="S16" s="186">
        <f>P16-R16</f>
        <v>43</v>
      </c>
      <c r="T16" s="184" t="s">
        <v>726</v>
      </c>
      <c r="U16" s="184" t="s">
        <v>727</v>
      </c>
      <c r="V16" s="183">
        <f>23+1265+596+110+66+678-53+51</f>
        <v>2736</v>
      </c>
      <c r="W16" s="183">
        <f t="shared" si="6"/>
        <v>-94</v>
      </c>
      <c r="X16" s="184" t="s">
        <v>827</v>
      </c>
      <c r="Y16" s="184" t="s">
        <v>828</v>
      </c>
      <c r="Z16" s="185">
        <f t="shared" si="7"/>
        <v>3.3215547703180213E-2</v>
      </c>
      <c r="AA16" s="164" t="s">
        <v>949</v>
      </c>
      <c r="AB16" s="159"/>
      <c r="AC16" s="159"/>
      <c r="AD16" s="159"/>
      <c r="AE16" s="159"/>
      <c r="AF16" s="159"/>
    </row>
    <row r="17" spans="1:32" s="163" customFormat="1" ht="152.25" customHeight="1">
      <c r="A17" s="161"/>
      <c r="B17" s="20">
        <v>46183</v>
      </c>
      <c r="C17" s="20">
        <v>46198</v>
      </c>
      <c r="D17" s="53">
        <v>46196</v>
      </c>
      <c r="E17" s="23">
        <v>46213</v>
      </c>
      <c r="F17" s="24" t="s">
        <v>23</v>
      </c>
      <c r="G17" s="25" t="s">
        <v>105</v>
      </c>
      <c r="H17" s="26" t="s">
        <v>138</v>
      </c>
      <c r="I17" s="161"/>
      <c r="J17" s="26" t="s">
        <v>34</v>
      </c>
      <c r="K17" s="33">
        <v>47696</v>
      </c>
      <c r="L17" s="29">
        <v>180</v>
      </c>
      <c r="M17" s="29" t="s">
        <v>612</v>
      </c>
      <c r="N17" s="37" t="s">
        <v>149</v>
      </c>
      <c r="O17" s="26" t="s">
        <v>163</v>
      </c>
      <c r="P17" s="24">
        <v>880</v>
      </c>
      <c r="Q17" s="25">
        <f t="shared" si="4"/>
        <v>-63</v>
      </c>
      <c r="R17" s="182">
        <f>28+759-25+118+63</f>
        <v>943</v>
      </c>
      <c r="S17" s="183">
        <f t="shared" si="5"/>
        <v>-63</v>
      </c>
      <c r="T17" s="184" t="s">
        <v>996</v>
      </c>
      <c r="U17" s="184" t="s">
        <v>997</v>
      </c>
      <c r="V17" s="183">
        <f>26+725+118+60</f>
        <v>929</v>
      </c>
      <c r="W17" s="183">
        <f t="shared" si="6"/>
        <v>49</v>
      </c>
      <c r="X17" s="184" t="s">
        <v>1019</v>
      </c>
      <c r="Y17" s="184" t="s">
        <v>1020</v>
      </c>
      <c r="Z17" s="185">
        <f t="shared" si="7"/>
        <v>-5.5681818181818186E-2</v>
      </c>
      <c r="AA17" s="162" t="s">
        <v>1021</v>
      </c>
      <c r="AB17" s="159"/>
      <c r="AC17" s="159"/>
      <c r="AD17" s="159"/>
      <c r="AE17" s="159"/>
      <c r="AF17" s="159"/>
    </row>
    <row r="18" spans="1:32" s="163" customFormat="1" ht="107.25" customHeight="1">
      <c r="A18" s="161"/>
      <c r="B18" s="20">
        <v>46183</v>
      </c>
      <c r="C18" s="20">
        <v>46198</v>
      </c>
      <c r="D18" s="53">
        <v>46196</v>
      </c>
      <c r="E18" s="23">
        <v>46213</v>
      </c>
      <c r="F18" s="24" t="s">
        <v>23</v>
      </c>
      <c r="G18" s="25" t="s">
        <v>105</v>
      </c>
      <c r="H18" s="26" t="s">
        <v>138</v>
      </c>
      <c r="I18" s="161"/>
      <c r="J18" s="26" t="s">
        <v>34</v>
      </c>
      <c r="K18" s="33">
        <v>47696</v>
      </c>
      <c r="L18" s="29">
        <v>180</v>
      </c>
      <c r="M18" s="29" t="s">
        <v>612</v>
      </c>
      <c r="N18" s="37" t="s">
        <v>149</v>
      </c>
      <c r="O18" s="26" t="s">
        <v>163</v>
      </c>
      <c r="P18" s="24">
        <v>880</v>
      </c>
      <c r="Q18" s="25">
        <f t="shared" si="4"/>
        <v>35</v>
      </c>
      <c r="R18" s="182">
        <f>51+794</f>
        <v>845</v>
      </c>
      <c r="S18" s="186">
        <f t="shared" si="5"/>
        <v>35</v>
      </c>
      <c r="T18" s="184">
        <v>992</v>
      </c>
      <c r="U18" s="184" t="s">
        <v>847</v>
      </c>
      <c r="V18" s="183">
        <f>52+792</f>
        <v>844</v>
      </c>
      <c r="W18" s="183">
        <f t="shared" si="6"/>
        <v>-36</v>
      </c>
      <c r="X18" s="184">
        <v>1745</v>
      </c>
      <c r="Y18" s="184" t="s">
        <v>892</v>
      </c>
      <c r="Z18" s="185">
        <f t="shared" si="7"/>
        <v>4.0909090909090909E-2</v>
      </c>
      <c r="AA18" s="162" t="s">
        <v>980</v>
      </c>
      <c r="AB18" s="159"/>
      <c r="AC18" s="159"/>
      <c r="AD18" s="159"/>
      <c r="AE18" s="159"/>
      <c r="AF18" s="159"/>
    </row>
    <row r="19" spans="1:32" s="163" customFormat="1" ht="79.5" hidden="1" customHeight="1">
      <c r="A19" s="161"/>
      <c r="B19" s="21"/>
      <c r="C19" s="21"/>
      <c r="D19" s="21"/>
      <c r="E19" s="21"/>
      <c r="F19" s="25"/>
      <c r="G19" s="25"/>
      <c r="H19" s="25"/>
      <c r="I19" s="161"/>
      <c r="J19" s="162"/>
      <c r="K19" s="162"/>
      <c r="L19" s="45"/>
      <c r="M19" s="45"/>
      <c r="N19" s="45"/>
      <c r="O19" s="45"/>
      <c r="P19" s="45">
        <v>0</v>
      </c>
      <c r="Q19" s="25">
        <f t="shared" si="4"/>
        <v>0</v>
      </c>
      <c r="R19" s="182">
        <v>0</v>
      </c>
      <c r="S19" s="183">
        <f t="shared" si="5"/>
        <v>0</v>
      </c>
      <c r="T19" s="184"/>
      <c r="U19" s="184"/>
      <c r="V19" s="183">
        <v>0</v>
      </c>
      <c r="W19" s="183">
        <f t="shared" si="6"/>
        <v>0</v>
      </c>
      <c r="X19" s="184"/>
      <c r="Y19" s="184"/>
      <c r="Z19" s="185" t="e">
        <f t="shared" si="7"/>
        <v>#DIV/0!</v>
      </c>
      <c r="AA19" s="162"/>
      <c r="AB19" s="159"/>
      <c r="AC19" s="159"/>
      <c r="AD19" s="159"/>
      <c r="AE19" s="159"/>
      <c r="AF19" s="159"/>
    </row>
    <row r="20" spans="1:32" s="163" customFormat="1" ht="79.5" hidden="1" customHeight="1">
      <c r="A20" s="161"/>
      <c r="B20" s="21"/>
      <c r="C20" s="21"/>
      <c r="D20" s="21"/>
      <c r="E20" s="21"/>
      <c r="F20" s="25"/>
      <c r="G20" s="25"/>
      <c r="H20" s="25"/>
      <c r="I20" s="161"/>
      <c r="J20" s="162"/>
      <c r="K20" s="162"/>
      <c r="L20" s="45"/>
      <c r="M20" s="45"/>
      <c r="N20" s="45"/>
      <c r="O20" s="45"/>
      <c r="P20" s="45">
        <v>0</v>
      </c>
      <c r="Q20" s="25">
        <f t="shared" si="4"/>
        <v>0</v>
      </c>
      <c r="R20" s="182">
        <v>0</v>
      </c>
      <c r="S20" s="183">
        <f t="shared" si="5"/>
        <v>0</v>
      </c>
      <c r="T20" s="184"/>
      <c r="U20" s="184"/>
      <c r="V20" s="183">
        <v>0</v>
      </c>
      <c r="W20" s="183">
        <f t="shared" si="6"/>
        <v>0</v>
      </c>
      <c r="X20" s="184"/>
      <c r="Y20" s="184"/>
      <c r="Z20" s="185" t="e">
        <f t="shared" si="7"/>
        <v>#DIV/0!</v>
      </c>
      <c r="AA20" s="162"/>
      <c r="AB20" s="159"/>
      <c r="AC20" s="159"/>
      <c r="AD20" s="159"/>
      <c r="AE20" s="159"/>
      <c r="AF20" s="159"/>
    </row>
    <row r="21" spans="1:32" s="163" customFormat="1" ht="79.5" hidden="1" customHeight="1">
      <c r="A21" s="161"/>
      <c r="B21" s="21"/>
      <c r="C21" s="21"/>
      <c r="D21" s="21"/>
      <c r="E21" s="21"/>
      <c r="F21" s="25"/>
      <c r="G21" s="25"/>
      <c r="H21" s="25"/>
      <c r="I21" s="161"/>
      <c r="J21" s="162"/>
      <c r="K21" s="162"/>
      <c r="L21" s="45"/>
      <c r="M21" s="45"/>
      <c r="N21" s="45"/>
      <c r="O21" s="45"/>
      <c r="P21" s="45">
        <v>0</v>
      </c>
      <c r="Q21" s="25">
        <f t="shared" si="4"/>
        <v>0</v>
      </c>
      <c r="R21" s="182">
        <v>0</v>
      </c>
      <c r="S21" s="183">
        <f t="shared" si="5"/>
        <v>0</v>
      </c>
      <c r="T21" s="184"/>
      <c r="U21" s="184"/>
      <c r="V21" s="183">
        <v>0</v>
      </c>
      <c r="W21" s="183">
        <f t="shared" si="6"/>
        <v>0</v>
      </c>
      <c r="X21" s="184"/>
      <c r="Y21" s="184"/>
      <c r="Z21" s="185" t="e">
        <f t="shared" si="7"/>
        <v>#DIV/0!</v>
      </c>
      <c r="AA21" s="162"/>
      <c r="AB21" s="159"/>
      <c r="AC21" s="159"/>
      <c r="AD21" s="159"/>
      <c r="AE21" s="159"/>
      <c r="AF21" s="159"/>
    </row>
    <row r="22" spans="1:32" s="163" customFormat="1" ht="79.5" hidden="1" customHeight="1">
      <c r="A22" s="161"/>
      <c r="B22" s="21"/>
      <c r="C22" s="21"/>
      <c r="D22" s="21"/>
      <c r="E22" s="21"/>
      <c r="F22" s="25"/>
      <c r="G22" s="25"/>
      <c r="H22" s="25"/>
      <c r="I22" s="161"/>
      <c r="J22" s="162"/>
      <c r="K22" s="162"/>
      <c r="L22" s="45"/>
      <c r="M22" s="45"/>
      <c r="N22" s="45"/>
      <c r="O22" s="45"/>
      <c r="P22" s="45">
        <v>0</v>
      </c>
      <c r="Q22" s="25">
        <f t="shared" si="4"/>
        <v>0</v>
      </c>
      <c r="R22" s="182">
        <v>0</v>
      </c>
      <c r="S22" s="183">
        <f t="shared" si="5"/>
        <v>0</v>
      </c>
      <c r="T22" s="184"/>
      <c r="U22" s="184"/>
      <c r="V22" s="183">
        <v>0</v>
      </c>
      <c r="W22" s="183">
        <f t="shared" si="6"/>
        <v>0</v>
      </c>
      <c r="X22" s="184"/>
      <c r="Y22" s="184"/>
      <c r="Z22" s="185" t="e">
        <f t="shared" si="7"/>
        <v>#DIV/0!</v>
      </c>
      <c r="AA22" s="162"/>
      <c r="AB22" s="159"/>
      <c r="AC22" s="159"/>
      <c r="AD22" s="159"/>
      <c r="AE22" s="159"/>
      <c r="AF22" s="159"/>
    </row>
    <row r="23" spans="1:32" s="163" customFormat="1" ht="79.5" hidden="1" customHeight="1">
      <c r="A23" s="161"/>
      <c r="B23" s="21"/>
      <c r="C23" s="21"/>
      <c r="D23" s="21"/>
      <c r="E23" s="21"/>
      <c r="F23" s="25"/>
      <c r="G23" s="25"/>
      <c r="H23" s="25"/>
      <c r="I23" s="161"/>
      <c r="J23" s="162"/>
      <c r="K23" s="162"/>
      <c r="L23" s="45"/>
      <c r="M23" s="45"/>
      <c r="N23" s="45"/>
      <c r="O23" s="45"/>
      <c r="P23" s="45">
        <v>0</v>
      </c>
      <c r="Q23" s="25">
        <f t="shared" si="4"/>
        <v>0</v>
      </c>
      <c r="R23" s="182">
        <v>0</v>
      </c>
      <c r="S23" s="183">
        <f t="shared" si="5"/>
        <v>0</v>
      </c>
      <c r="T23" s="184"/>
      <c r="U23" s="184"/>
      <c r="V23" s="183">
        <v>0</v>
      </c>
      <c r="W23" s="183">
        <f t="shared" si="6"/>
        <v>0</v>
      </c>
      <c r="X23" s="184"/>
      <c r="Y23" s="184"/>
      <c r="Z23" s="185" t="e">
        <f t="shared" si="7"/>
        <v>#DIV/0!</v>
      </c>
      <c r="AA23" s="162"/>
      <c r="AB23" s="159"/>
      <c r="AC23" s="159"/>
      <c r="AD23" s="159"/>
      <c r="AE23" s="159"/>
      <c r="AF23" s="159"/>
    </row>
    <row r="24" spans="1:32" s="163" customFormat="1" ht="79.5" hidden="1" customHeight="1">
      <c r="A24" s="161"/>
      <c r="B24" s="21"/>
      <c r="C24" s="21"/>
      <c r="D24" s="21"/>
      <c r="E24" s="21"/>
      <c r="F24" s="25"/>
      <c r="G24" s="25"/>
      <c r="H24" s="25"/>
      <c r="I24" s="161"/>
      <c r="J24" s="162"/>
      <c r="K24" s="162"/>
      <c r="L24" s="45"/>
      <c r="M24" s="45"/>
      <c r="N24" s="45"/>
      <c r="O24" s="45"/>
      <c r="P24" s="45">
        <v>0</v>
      </c>
      <c r="Q24" s="25">
        <f t="shared" si="4"/>
        <v>0</v>
      </c>
      <c r="R24" s="182">
        <v>0</v>
      </c>
      <c r="S24" s="183">
        <f t="shared" si="5"/>
        <v>0</v>
      </c>
      <c r="T24" s="184"/>
      <c r="U24" s="184"/>
      <c r="V24" s="183">
        <v>0</v>
      </c>
      <c r="W24" s="183">
        <f t="shared" si="6"/>
        <v>0</v>
      </c>
      <c r="X24" s="184"/>
      <c r="Y24" s="184"/>
      <c r="Z24" s="185" t="e">
        <f t="shared" si="7"/>
        <v>#DIV/0!</v>
      </c>
      <c r="AA24" s="162"/>
      <c r="AB24" s="159"/>
      <c r="AC24" s="159"/>
      <c r="AD24" s="159"/>
      <c r="AE24" s="159"/>
      <c r="AF24" s="159"/>
    </row>
    <row r="25" spans="1:32" s="163" customFormat="1" ht="79.5" hidden="1" customHeight="1">
      <c r="A25" s="161"/>
      <c r="B25" s="21"/>
      <c r="C25" s="21"/>
      <c r="D25" s="21"/>
      <c r="E25" s="21"/>
      <c r="F25" s="25"/>
      <c r="G25" s="25"/>
      <c r="H25" s="25"/>
      <c r="I25" s="161"/>
      <c r="J25" s="162"/>
      <c r="K25" s="162"/>
      <c r="L25" s="45"/>
      <c r="M25" s="45"/>
      <c r="N25" s="45"/>
      <c r="O25" s="45"/>
      <c r="P25" s="45">
        <v>0</v>
      </c>
      <c r="Q25" s="25">
        <f t="shared" si="4"/>
        <v>0</v>
      </c>
      <c r="R25" s="182">
        <v>0</v>
      </c>
      <c r="S25" s="183">
        <f t="shared" si="5"/>
        <v>0</v>
      </c>
      <c r="T25" s="184"/>
      <c r="U25" s="184"/>
      <c r="V25" s="183">
        <v>0</v>
      </c>
      <c r="W25" s="183">
        <f t="shared" si="6"/>
        <v>0</v>
      </c>
      <c r="X25" s="184"/>
      <c r="Y25" s="184"/>
      <c r="Z25" s="185" t="e">
        <f t="shared" si="7"/>
        <v>#DIV/0!</v>
      </c>
      <c r="AA25" s="162"/>
      <c r="AB25" s="159"/>
      <c r="AC25" s="159"/>
      <c r="AD25" s="159"/>
      <c r="AE25" s="159"/>
      <c r="AF25" s="159"/>
    </row>
    <row r="26" spans="1:32" s="163" customFormat="1" ht="79.5" hidden="1" customHeight="1">
      <c r="A26" s="161"/>
      <c r="B26" s="21"/>
      <c r="C26" s="21"/>
      <c r="D26" s="21"/>
      <c r="E26" s="21"/>
      <c r="F26" s="25"/>
      <c r="G26" s="25"/>
      <c r="H26" s="25"/>
      <c r="I26" s="161"/>
      <c r="J26" s="162"/>
      <c r="K26" s="162"/>
      <c r="L26" s="45"/>
      <c r="M26" s="45"/>
      <c r="N26" s="45"/>
      <c r="O26" s="45"/>
      <c r="P26" s="45">
        <v>0</v>
      </c>
      <c r="Q26" s="25">
        <f t="shared" si="4"/>
        <v>0</v>
      </c>
      <c r="R26" s="182">
        <v>0</v>
      </c>
      <c r="S26" s="183">
        <f t="shared" si="5"/>
        <v>0</v>
      </c>
      <c r="T26" s="184"/>
      <c r="U26" s="184"/>
      <c r="V26" s="183">
        <v>0</v>
      </c>
      <c r="W26" s="183">
        <f t="shared" si="6"/>
        <v>0</v>
      </c>
      <c r="X26" s="184"/>
      <c r="Y26" s="184"/>
      <c r="Z26" s="185" t="e">
        <f t="shared" si="7"/>
        <v>#DIV/0!</v>
      </c>
      <c r="AA26" s="162"/>
      <c r="AB26" s="159"/>
      <c r="AC26" s="159"/>
      <c r="AD26" s="159"/>
      <c r="AE26" s="159"/>
      <c r="AF26" s="159"/>
    </row>
    <row r="27" spans="1:32" s="163" customFormat="1" ht="79.5" hidden="1" customHeight="1">
      <c r="A27" s="161"/>
      <c r="B27" s="21"/>
      <c r="C27" s="21"/>
      <c r="D27" s="21"/>
      <c r="E27" s="21"/>
      <c r="F27" s="25"/>
      <c r="G27" s="25"/>
      <c r="H27" s="25"/>
      <c r="I27" s="161"/>
      <c r="J27" s="162"/>
      <c r="K27" s="162"/>
      <c r="L27" s="45"/>
      <c r="M27" s="45"/>
      <c r="N27" s="45"/>
      <c r="O27" s="45"/>
      <c r="P27" s="45">
        <v>0</v>
      </c>
      <c r="Q27" s="25">
        <f t="shared" si="4"/>
        <v>0</v>
      </c>
      <c r="R27" s="182">
        <v>0</v>
      </c>
      <c r="S27" s="183">
        <f t="shared" si="5"/>
        <v>0</v>
      </c>
      <c r="T27" s="184"/>
      <c r="U27" s="184"/>
      <c r="V27" s="183">
        <v>0</v>
      </c>
      <c r="W27" s="183">
        <f t="shared" si="6"/>
        <v>0</v>
      </c>
      <c r="X27" s="184"/>
      <c r="Y27" s="184"/>
      <c r="Z27" s="185" t="e">
        <f t="shared" si="7"/>
        <v>#DIV/0!</v>
      </c>
      <c r="AA27" s="162"/>
      <c r="AB27" s="159"/>
      <c r="AC27" s="159"/>
      <c r="AD27" s="159"/>
      <c r="AE27" s="159"/>
      <c r="AF27" s="159"/>
    </row>
    <row r="28" spans="1:32" s="163" customFormat="1" ht="79.5" hidden="1" customHeight="1">
      <c r="A28" s="161"/>
      <c r="B28" s="21"/>
      <c r="C28" s="21"/>
      <c r="D28" s="21"/>
      <c r="E28" s="21"/>
      <c r="F28" s="25"/>
      <c r="G28" s="25"/>
      <c r="H28" s="25"/>
      <c r="I28" s="161"/>
      <c r="J28" s="162"/>
      <c r="K28" s="162"/>
      <c r="L28" s="45"/>
      <c r="M28" s="45"/>
      <c r="N28" s="45"/>
      <c r="O28" s="45"/>
      <c r="P28" s="45">
        <v>0</v>
      </c>
      <c r="Q28" s="25">
        <f t="shared" si="4"/>
        <v>0</v>
      </c>
      <c r="R28" s="182">
        <v>0</v>
      </c>
      <c r="S28" s="183">
        <f t="shared" si="5"/>
        <v>0</v>
      </c>
      <c r="T28" s="184"/>
      <c r="U28" s="184"/>
      <c r="V28" s="183">
        <v>0</v>
      </c>
      <c r="W28" s="183">
        <f t="shared" si="6"/>
        <v>0</v>
      </c>
      <c r="X28" s="184"/>
      <c r="Y28" s="184"/>
      <c r="Z28" s="185" t="e">
        <f t="shared" si="7"/>
        <v>#DIV/0!</v>
      </c>
      <c r="AA28" s="162"/>
      <c r="AB28" s="159"/>
      <c r="AC28" s="159"/>
      <c r="AD28" s="159"/>
      <c r="AE28" s="159"/>
      <c r="AF28" s="159"/>
    </row>
    <row r="29" spans="1:32" s="163" customFormat="1" ht="79.5" hidden="1" customHeight="1">
      <c r="A29" s="161"/>
      <c r="B29" s="21"/>
      <c r="C29" s="21"/>
      <c r="D29" s="21"/>
      <c r="E29" s="21"/>
      <c r="F29" s="25"/>
      <c r="G29" s="25"/>
      <c r="H29" s="25"/>
      <c r="I29" s="161"/>
      <c r="J29" s="162"/>
      <c r="K29" s="162"/>
      <c r="L29" s="45"/>
      <c r="M29" s="45"/>
      <c r="N29" s="45"/>
      <c r="O29" s="45"/>
      <c r="P29" s="45">
        <v>0</v>
      </c>
      <c r="Q29" s="25">
        <f t="shared" si="4"/>
        <v>0</v>
      </c>
      <c r="R29" s="182">
        <v>0</v>
      </c>
      <c r="S29" s="183">
        <f t="shared" si="5"/>
        <v>0</v>
      </c>
      <c r="T29" s="184"/>
      <c r="U29" s="184"/>
      <c r="V29" s="183">
        <v>0</v>
      </c>
      <c r="W29" s="183">
        <f t="shared" si="6"/>
        <v>0</v>
      </c>
      <c r="X29" s="184"/>
      <c r="Y29" s="184"/>
      <c r="Z29" s="185" t="e">
        <f t="shared" si="7"/>
        <v>#DIV/0!</v>
      </c>
      <c r="AA29" s="162"/>
      <c r="AB29" s="159"/>
      <c r="AC29" s="159"/>
      <c r="AD29" s="159"/>
      <c r="AE29" s="159"/>
      <c r="AF29" s="159"/>
    </row>
    <row r="30" spans="1:32" s="163" customFormat="1" ht="79.5" hidden="1" customHeight="1">
      <c r="A30" s="161"/>
      <c r="B30" s="21"/>
      <c r="C30" s="21"/>
      <c r="D30" s="21"/>
      <c r="E30" s="21"/>
      <c r="F30" s="25"/>
      <c r="G30" s="25"/>
      <c r="H30" s="25"/>
      <c r="I30" s="161"/>
      <c r="J30" s="162"/>
      <c r="K30" s="162"/>
      <c r="L30" s="45"/>
      <c r="M30" s="45"/>
      <c r="N30" s="45"/>
      <c r="O30" s="45"/>
      <c r="P30" s="45">
        <v>0</v>
      </c>
      <c r="Q30" s="25">
        <f t="shared" si="4"/>
        <v>0</v>
      </c>
      <c r="R30" s="182">
        <v>0</v>
      </c>
      <c r="S30" s="183">
        <f t="shared" si="5"/>
        <v>0</v>
      </c>
      <c r="T30" s="184"/>
      <c r="U30" s="184"/>
      <c r="V30" s="183">
        <v>0</v>
      </c>
      <c r="W30" s="183">
        <f t="shared" si="6"/>
        <v>0</v>
      </c>
      <c r="X30" s="184"/>
      <c r="Y30" s="184"/>
      <c r="Z30" s="185" t="e">
        <f t="shared" si="7"/>
        <v>#DIV/0!</v>
      </c>
      <c r="AA30" s="162"/>
      <c r="AB30" s="159"/>
      <c r="AC30" s="159"/>
      <c r="AD30" s="159"/>
      <c r="AE30" s="159"/>
      <c r="AF30" s="159"/>
    </row>
    <row r="31" spans="1:32" s="163" customFormat="1" ht="79.5" hidden="1" customHeight="1">
      <c r="A31" s="161"/>
      <c r="B31" s="21"/>
      <c r="C31" s="21"/>
      <c r="D31" s="21"/>
      <c r="E31" s="21"/>
      <c r="F31" s="25"/>
      <c r="G31" s="25"/>
      <c r="H31" s="25"/>
      <c r="I31" s="161"/>
      <c r="J31" s="162"/>
      <c r="K31" s="162"/>
      <c r="L31" s="45"/>
      <c r="M31" s="45"/>
      <c r="N31" s="45"/>
      <c r="O31" s="45"/>
      <c r="P31" s="45">
        <v>0</v>
      </c>
      <c r="Q31" s="25">
        <f t="shared" si="4"/>
        <v>0</v>
      </c>
      <c r="R31" s="182">
        <v>0</v>
      </c>
      <c r="S31" s="183">
        <f t="shared" si="5"/>
        <v>0</v>
      </c>
      <c r="T31" s="184"/>
      <c r="U31" s="184"/>
      <c r="V31" s="183">
        <v>0</v>
      </c>
      <c r="W31" s="183">
        <f t="shared" si="6"/>
        <v>0</v>
      </c>
      <c r="X31" s="184"/>
      <c r="Y31" s="184"/>
      <c r="Z31" s="185" t="e">
        <f t="shared" si="7"/>
        <v>#DIV/0!</v>
      </c>
      <c r="AA31" s="162"/>
      <c r="AB31" s="159"/>
      <c r="AC31" s="159"/>
      <c r="AD31" s="159"/>
      <c r="AE31" s="159"/>
      <c r="AF31" s="159"/>
    </row>
    <row r="32" spans="1:32" s="159" customFormat="1" ht="24.75" customHeight="1">
      <c r="A32" s="161"/>
      <c r="B32" s="21"/>
      <c r="C32" s="21"/>
      <c r="D32" s="21"/>
      <c r="E32" s="21"/>
      <c r="F32" s="25"/>
      <c r="G32" s="25"/>
      <c r="H32" s="25"/>
      <c r="I32" s="161"/>
      <c r="J32" s="162"/>
      <c r="K32" s="162"/>
      <c r="L32" s="45"/>
      <c r="M32" s="45"/>
      <c r="N32" s="45"/>
      <c r="O32" s="45"/>
      <c r="P32" s="142">
        <f>SUM(P5:P31)</f>
        <v>7643</v>
      </c>
      <c r="Q32" s="142">
        <f>SUM(Q5:Q31)</f>
        <v>125</v>
      </c>
      <c r="R32" s="142">
        <f>SUM(R5:R31)</f>
        <v>7518</v>
      </c>
      <c r="S32" s="142">
        <f>SUM(S5:S31)</f>
        <v>125</v>
      </c>
      <c r="T32" s="142"/>
      <c r="U32" s="142"/>
      <c r="V32" s="142">
        <f>SUM(V5:V31)</f>
        <v>7430</v>
      </c>
      <c r="W32" s="142">
        <f>SUM(W5:W31)</f>
        <v>-213</v>
      </c>
      <c r="X32" s="142"/>
      <c r="Y32" s="142"/>
      <c r="Z32" s="185">
        <f t="shared" si="7"/>
        <v>2.7868637969383752E-2</v>
      </c>
      <c r="AA32" s="162"/>
    </row>
    <row r="33" spans="1:32" s="159" customFormat="1" ht="38.25" customHeight="1">
      <c r="A33" s="325" t="s">
        <v>722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  <c r="AA33" s="325"/>
      <c r="AB33" s="179"/>
      <c r="AC33" s="179"/>
      <c r="AD33" s="179"/>
      <c r="AE33" s="179"/>
      <c r="AF33" s="180"/>
    </row>
    <row r="34" spans="1:32" s="163" customFormat="1" ht="67.5" customHeight="1">
      <c r="A34" s="174" t="s">
        <v>713</v>
      </c>
      <c r="B34" s="4" t="s">
        <v>140</v>
      </c>
      <c r="C34" s="4" t="s">
        <v>141</v>
      </c>
      <c r="D34" s="4" t="s">
        <v>142</v>
      </c>
      <c r="E34" s="4" t="s">
        <v>143</v>
      </c>
      <c r="F34" s="174" t="s">
        <v>115</v>
      </c>
      <c r="G34" s="174" t="s">
        <v>117</v>
      </c>
      <c r="H34" s="181" t="s">
        <v>48</v>
      </c>
      <c r="I34" s="174" t="s">
        <v>583</v>
      </c>
      <c r="J34" s="174" t="s">
        <v>3</v>
      </c>
      <c r="K34" s="174" t="s">
        <v>4</v>
      </c>
      <c r="L34" s="175" t="s">
        <v>5</v>
      </c>
      <c r="M34" s="176" t="s">
        <v>6</v>
      </c>
      <c r="N34" s="174" t="s">
        <v>7</v>
      </c>
      <c r="O34" s="176" t="s">
        <v>8</v>
      </c>
      <c r="P34" s="176" t="s">
        <v>714</v>
      </c>
      <c r="Q34" s="176" t="s">
        <v>715</v>
      </c>
      <c r="R34" s="176" t="s">
        <v>716</v>
      </c>
      <c r="S34" s="176" t="s">
        <v>717</v>
      </c>
      <c r="T34" s="176" t="s">
        <v>119</v>
      </c>
      <c r="U34" s="176" t="s">
        <v>13</v>
      </c>
      <c r="V34" s="176" t="s">
        <v>718</v>
      </c>
      <c r="W34" s="176" t="s">
        <v>719</v>
      </c>
      <c r="X34" s="176" t="s">
        <v>119</v>
      </c>
      <c r="Y34" s="176" t="s">
        <v>118</v>
      </c>
      <c r="Z34" s="177" t="s">
        <v>720</v>
      </c>
      <c r="AA34" s="178" t="s">
        <v>721</v>
      </c>
      <c r="AB34" s="159"/>
      <c r="AC34" s="159"/>
      <c r="AD34" s="159"/>
      <c r="AE34" s="159"/>
      <c r="AF34" s="159"/>
    </row>
    <row r="35" spans="1:32" s="163" customFormat="1" ht="179.25" customHeight="1">
      <c r="A35" s="161"/>
      <c r="B35" s="21">
        <v>46188</v>
      </c>
      <c r="C35" s="21">
        <v>46200</v>
      </c>
      <c r="D35" s="23">
        <v>46204</v>
      </c>
      <c r="E35" s="23">
        <v>46214</v>
      </c>
      <c r="F35" s="24" t="s">
        <v>23</v>
      </c>
      <c r="G35" s="25" t="s">
        <v>105</v>
      </c>
      <c r="H35" s="26" t="s">
        <v>138</v>
      </c>
      <c r="I35" s="161"/>
      <c r="J35" s="26" t="s">
        <v>34</v>
      </c>
      <c r="K35" s="33">
        <v>47688</v>
      </c>
      <c r="L35" s="24">
        <v>160</v>
      </c>
      <c r="M35" s="24" t="s">
        <v>35</v>
      </c>
      <c r="N35" s="37" t="s">
        <v>448</v>
      </c>
      <c r="O35" s="26" t="s">
        <v>20</v>
      </c>
      <c r="P35" s="24">
        <v>335</v>
      </c>
      <c r="Q35" s="25">
        <f t="shared" ref="Q35:Q58" si="8">P35-R35</f>
        <v>-10</v>
      </c>
      <c r="R35" s="182">
        <f>345</f>
        <v>345</v>
      </c>
      <c r="S35" s="183">
        <f t="shared" ref="S35:S58" si="9">P35-R35</f>
        <v>-10</v>
      </c>
      <c r="T35" s="184">
        <v>99</v>
      </c>
      <c r="U35" s="184" t="s">
        <v>681</v>
      </c>
      <c r="V35" s="183">
        <f>26+300</f>
        <v>326</v>
      </c>
      <c r="W35" s="183">
        <f t="shared" ref="W35:W58" si="10">+V35-P35</f>
        <v>-9</v>
      </c>
      <c r="X35" s="184" t="s">
        <v>991</v>
      </c>
      <c r="Y35" s="184" t="s">
        <v>992</v>
      </c>
      <c r="Z35" s="185">
        <f t="shared" ref="Z35:Z59" si="11">(P35-V35)*100/P35/100</f>
        <v>2.6865671641791048E-2</v>
      </c>
      <c r="AA35" s="162" t="s">
        <v>969</v>
      </c>
      <c r="AB35" s="159"/>
      <c r="AC35" s="159"/>
      <c r="AD35" s="159"/>
      <c r="AE35" s="159"/>
      <c r="AF35" s="159"/>
    </row>
    <row r="36" spans="1:32" s="163" customFormat="1" ht="95.25" customHeight="1">
      <c r="A36" s="161"/>
      <c r="B36" s="21">
        <v>46189</v>
      </c>
      <c r="C36" s="21">
        <v>46200</v>
      </c>
      <c r="D36" s="23">
        <v>46204</v>
      </c>
      <c r="E36" s="23">
        <v>46214</v>
      </c>
      <c r="F36" s="24" t="s">
        <v>23</v>
      </c>
      <c r="G36" s="25" t="s">
        <v>105</v>
      </c>
      <c r="H36" s="26" t="s">
        <v>138</v>
      </c>
      <c r="I36" s="161"/>
      <c r="J36" s="26" t="s">
        <v>34</v>
      </c>
      <c r="K36" s="33">
        <v>47689</v>
      </c>
      <c r="L36" s="24">
        <v>160</v>
      </c>
      <c r="M36" s="24" t="s">
        <v>35</v>
      </c>
      <c r="N36" s="37" t="s">
        <v>448</v>
      </c>
      <c r="O36" s="26" t="s">
        <v>20</v>
      </c>
      <c r="P36" s="24">
        <v>750</v>
      </c>
      <c r="Q36" s="25">
        <f t="shared" si="8"/>
        <v>-11</v>
      </c>
      <c r="R36" s="182">
        <f>761</f>
        <v>761</v>
      </c>
      <c r="S36" s="183">
        <f t="shared" si="9"/>
        <v>-11</v>
      </c>
      <c r="T36" s="184">
        <v>99</v>
      </c>
      <c r="U36" s="184" t="s">
        <v>651</v>
      </c>
      <c r="V36" s="183">
        <f>573+174</f>
        <v>747</v>
      </c>
      <c r="W36" s="183">
        <f t="shared" si="10"/>
        <v>-3</v>
      </c>
      <c r="X36" s="184" t="s">
        <v>775</v>
      </c>
      <c r="Y36" s="184" t="s">
        <v>776</v>
      </c>
      <c r="Z36" s="185">
        <f t="shared" si="11"/>
        <v>4.0000000000000001E-3</v>
      </c>
      <c r="AA36" s="162" t="s">
        <v>956</v>
      </c>
      <c r="AB36" s="159"/>
      <c r="AC36" s="159"/>
      <c r="AD36" s="159"/>
      <c r="AE36" s="159"/>
      <c r="AF36" s="159"/>
    </row>
    <row r="37" spans="1:32" s="163" customFormat="1" ht="136.5" customHeight="1">
      <c r="A37" s="161"/>
      <c r="B37" s="21">
        <v>46188</v>
      </c>
      <c r="C37" s="21">
        <v>46200</v>
      </c>
      <c r="D37" s="23">
        <v>46204</v>
      </c>
      <c r="E37" s="23">
        <v>46214</v>
      </c>
      <c r="F37" s="24" t="s">
        <v>121</v>
      </c>
      <c r="G37" s="25" t="s">
        <v>105</v>
      </c>
      <c r="H37" s="26" t="s">
        <v>138</v>
      </c>
      <c r="I37" s="161"/>
      <c r="J37" s="26" t="s">
        <v>34</v>
      </c>
      <c r="K37" s="33">
        <v>47692</v>
      </c>
      <c r="L37" s="24">
        <v>160</v>
      </c>
      <c r="M37" s="24">
        <v>64</v>
      </c>
      <c r="N37" s="37" t="s">
        <v>450</v>
      </c>
      <c r="O37" s="26" t="s">
        <v>20</v>
      </c>
      <c r="P37" s="24">
        <v>420</v>
      </c>
      <c r="Q37" s="25">
        <f t="shared" si="8"/>
        <v>10</v>
      </c>
      <c r="R37" s="182">
        <f>410</f>
        <v>410</v>
      </c>
      <c r="S37" s="186">
        <f t="shared" si="9"/>
        <v>10</v>
      </c>
      <c r="T37" s="184">
        <v>68</v>
      </c>
      <c r="U37" s="184" t="s">
        <v>560</v>
      </c>
      <c r="V37" s="183">
        <f>403</f>
        <v>403</v>
      </c>
      <c r="W37" s="183">
        <f t="shared" si="10"/>
        <v>-17</v>
      </c>
      <c r="X37" s="184">
        <v>1756</v>
      </c>
      <c r="Y37" s="184" t="s">
        <v>811</v>
      </c>
      <c r="Z37" s="185">
        <f t="shared" si="11"/>
        <v>4.0476190476190471E-2</v>
      </c>
      <c r="AA37" s="162" t="s">
        <v>772</v>
      </c>
      <c r="AB37" s="159"/>
      <c r="AC37" s="159"/>
      <c r="AD37" s="159"/>
      <c r="AE37" s="159"/>
      <c r="AF37" s="159"/>
    </row>
    <row r="38" spans="1:32" s="163" customFormat="1" ht="54.75" customHeight="1">
      <c r="A38" s="161"/>
      <c r="B38" s="21">
        <v>46204</v>
      </c>
      <c r="C38" s="21">
        <v>46214</v>
      </c>
      <c r="D38" s="23">
        <v>46216</v>
      </c>
      <c r="E38" s="23">
        <v>46223</v>
      </c>
      <c r="F38" s="24" t="s">
        <v>23</v>
      </c>
      <c r="G38" s="25" t="s">
        <v>49</v>
      </c>
      <c r="H38" s="26" t="s">
        <v>150</v>
      </c>
      <c r="I38" s="161"/>
      <c r="J38" s="26" t="s">
        <v>33</v>
      </c>
      <c r="K38" s="32" t="s">
        <v>454</v>
      </c>
      <c r="L38" s="24">
        <v>220</v>
      </c>
      <c r="M38" s="24" t="s">
        <v>35</v>
      </c>
      <c r="N38" s="37" t="s">
        <v>453</v>
      </c>
      <c r="O38" s="26" t="s">
        <v>36</v>
      </c>
      <c r="P38" s="24">
        <v>355</v>
      </c>
      <c r="Q38" s="25">
        <f t="shared" ref="Q38" si="12">P38-R38</f>
        <v>-2</v>
      </c>
      <c r="R38" s="182">
        <f>357</f>
        <v>357</v>
      </c>
      <c r="S38" s="183">
        <f t="shared" ref="S38" si="13">P38-R38</f>
        <v>-2</v>
      </c>
      <c r="T38" s="184">
        <v>145</v>
      </c>
      <c r="U38" s="184" t="s">
        <v>705</v>
      </c>
      <c r="V38" s="183">
        <f>371</f>
        <v>371</v>
      </c>
      <c r="W38" s="183">
        <f t="shared" ref="W38" si="14">+V38-P38</f>
        <v>16</v>
      </c>
      <c r="X38" s="184">
        <v>222563</v>
      </c>
      <c r="Y38" s="184" t="s">
        <v>752</v>
      </c>
      <c r="Z38" s="185">
        <f t="shared" ref="Z38" si="15">(P38-V38)*100/P38/100</f>
        <v>-4.507042253521127E-2</v>
      </c>
      <c r="AA38" s="162" t="s">
        <v>977</v>
      </c>
      <c r="AB38" s="159"/>
      <c r="AC38" s="159"/>
      <c r="AD38" s="159"/>
      <c r="AE38" s="159"/>
      <c r="AF38" s="159"/>
    </row>
    <row r="39" spans="1:32" s="163" customFormat="1" ht="54.75" customHeight="1">
      <c r="A39" s="161"/>
      <c r="B39" s="21">
        <v>46205</v>
      </c>
      <c r="C39" s="21">
        <v>46216</v>
      </c>
      <c r="D39" s="21">
        <v>46217</v>
      </c>
      <c r="E39" s="21">
        <v>46221</v>
      </c>
      <c r="F39" s="28" t="s">
        <v>23</v>
      </c>
      <c r="G39" s="25" t="s">
        <v>49</v>
      </c>
      <c r="H39" s="25" t="s">
        <v>150</v>
      </c>
      <c r="I39" s="161"/>
      <c r="J39" s="25" t="s">
        <v>33</v>
      </c>
      <c r="K39" s="32" t="s">
        <v>452</v>
      </c>
      <c r="L39" s="28">
        <v>180</v>
      </c>
      <c r="M39" s="28" t="s">
        <v>56</v>
      </c>
      <c r="N39" s="37" t="s">
        <v>453</v>
      </c>
      <c r="O39" s="25" t="s">
        <v>52</v>
      </c>
      <c r="P39" s="28">
        <v>265</v>
      </c>
      <c r="Q39" s="25">
        <f t="shared" si="8"/>
        <v>-8</v>
      </c>
      <c r="R39" s="182">
        <f>273</f>
        <v>273</v>
      </c>
      <c r="S39" s="183">
        <f t="shared" si="9"/>
        <v>-8</v>
      </c>
      <c r="T39" s="184">
        <v>126</v>
      </c>
      <c r="U39" s="184" t="s">
        <v>693</v>
      </c>
      <c r="V39" s="183">
        <f>267</f>
        <v>267</v>
      </c>
      <c r="W39" s="183">
        <f t="shared" si="10"/>
        <v>2</v>
      </c>
      <c r="X39" s="184">
        <v>222562</v>
      </c>
      <c r="Y39" s="184" t="s">
        <v>752</v>
      </c>
      <c r="Z39" s="185">
        <f t="shared" si="11"/>
        <v>-7.5471698113207556E-3</v>
      </c>
      <c r="AA39" s="162" t="s">
        <v>979</v>
      </c>
      <c r="AB39" s="159"/>
      <c r="AC39" s="159"/>
      <c r="AD39" s="159"/>
      <c r="AE39" s="159"/>
      <c r="AF39" s="159"/>
    </row>
    <row r="40" spans="1:32" s="163" customFormat="1" ht="72.75" customHeight="1">
      <c r="A40" s="161"/>
      <c r="B40" s="21">
        <v>46204</v>
      </c>
      <c r="C40" s="21">
        <v>46214</v>
      </c>
      <c r="D40" s="23">
        <v>46216</v>
      </c>
      <c r="E40" s="23">
        <v>46223</v>
      </c>
      <c r="F40" s="24" t="s">
        <v>23</v>
      </c>
      <c r="G40" s="25" t="s">
        <v>49</v>
      </c>
      <c r="H40" s="24" t="s">
        <v>30</v>
      </c>
      <c r="I40" s="161"/>
      <c r="J40" s="26" t="s">
        <v>33</v>
      </c>
      <c r="K40" s="32" t="s">
        <v>544</v>
      </c>
      <c r="L40" s="24">
        <v>210</v>
      </c>
      <c r="M40" s="24" t="s">
        <v>35</v>
      </c>
      <c r="N40" s="37" t="s">
        <v>151</v>
      </c>
      <c r="O40" s="26" t="s">
        <v>36</v>
      </c>
      <c r="P40" s="24">
        <v>300</v>
      </c>
      <c r="Q40" s="25">
        <f t="shared" si="8"/>
        <v>-2</v>
      </c>
      <c r="R40" s="182">
        <f>302</f>
        <v>302</v>
      </c>
      <c r="S40" s="183">
        <f t="shared" si="9"/>
        <v>-2</v>
      </c>
      <c r="T40" s="184">
        <v>822</v>
      </c>
      <c r="U40" s="184" t="s">
        <v>735</v>
      </c>
      <c r="V40" s="183">
        <f>312</f>
        <v>312</v>
      </c>
      <c r="W40" s="183">
        <f t="shared" si="10"/>
        <v>12</v>
      </c>
      <c r="X40" s="184">
        <v>222793</v>
      </c>
      <c r="Y40" s="184" t="s">
        <v>786</v>
      </c>
      <c r="Z40" s="185">
        <f t="shared" si="11"/>
        <v>-0.04</v>
      </c>
      <c r="AA40" s="162" t="s">
        <v>958</v>
      </c>
      <c r="AB40" s="159"/>
      <c r="AC40" s="159"/>
      <c r="AD40" s="159"/>
      <c r="AE40" s="159"/>
      <c r="AF40" s="159"/>
    </row>
    <row r="41" spans="1:32" s="163" customFormat="1" ht="54.75" hidden="1" customHeight="1">
      <c r="A41" s="161"/>
      <c r="B41" s="21"/>
      <c r="C41" s="21"/>
      <c r="D41" s="21"/>
      <c r="E41" s="21"/>
      <c r="F41" s="25"/>
      <c r="G41" s="25"/>
      <c r="H41" s="25"/>
      <c r="I41" s="161"/>
      <c r="J41" s="162"/>
      <c r="K41" s="162"/>
      <c r="L41" s="45"/>
      <c r="M41" s="45"/>
      <c r="N41" s="45"/>
      <c r="O41" s="45"/>
      <c r="P41" s="45">
        <v>0</v>
      </c>
      <c r="Q41" s="25">
        <f t="shared" si="8"/>
        <v>0</v>
      </c>
      <c r="R41" s="182">
        <v>0</v>
      </c>
      <c r="S41" s="183">
        <f t="shared" si="9"/>
        <v>0</v>
      </c>
      <c r="T41" s="184"/>
      <c r="U41" s="184"/>
      <c r="V41" s="183">
        <v>0</v>
      </c>
      <c r="W41" s="183">
        <f t="shared" si="10"/>
        <v>0</v>
      </c>
      <c r="X41" s="184"/>
      <c r="Y41" s="184"/>
      <c r="Z41" s="185" t="e">
        <f t="shared" si="11"/>
        <v>#DIV/0!</v>
      </c>
      <c r="AA41" s="162"/>
      <c r="AB41" s="159"/>
      <c r="AC41" s="159"/>
      <c r="AD41" s="159"/>
      <c r="AE41" s="159"/>
      <c r="AF41" s="159"/>
    </row>
    <row r="42" spans="1:32" s="163" customFormat="1" ht="54.75" hidden="1" customHeight="1">
      <c r="A42" s="161"/>
      <c r="B42" s="21"/>
      <c r="C42" s="21"/>
      <c r="D42" s="21"/>
      <c r="E42" s="21"/>
      <c r="F42" s="25"/>
      <c r="G42" s="25"/>
      <c r="H42" s="25"/>
      <c r="I42" s="161"/>
      <c r="J42" s="162"/>
      <c r="K42" s="162"/>
      <c r="L42" s="45"/>
      <c r="M42" s="45"/>
      <c r="N42" s="45"/>
      <c r="O42" s="45"/>
      <c r="P42" s="45">
        <v>0</v>
      </c>
      <c r="Q42" s="25">
        <f t="shared" si="8"/>
        <v>0</v>
      </c>
      <c r="R42" s="182">
        <v>0</v>
      </c>
      <c r="S42" s="183">
        <f t="shared" si="9"/>
        <v>0</v>
      </c>
      <c r="T42" s="184"/>
      <c r="U42" s="184"/>
      <c r="V42" s="183">
        <v>0</v>
      </c>
      <c r="W42" s="183">
        <f t="shared" si="10"/>
        <v>0</v>
      </c>
      <c r="X42" s="184"/>
      <c r="Y42" s="184"/>
      <c r="Z42" s="185" t="e">
        <f t="shared" si="11"/>
        <v>#DIV/0!</v>
      </c>
      <c r="AA42" s="162"/>
      <c r="AB42" s="159"/>
      <c r="AC42" s="159"/>
      <c r="AD42" s="159"/>
      <c r="AE42" s="159"/>
      <c r="AF42" s="159"/>
    </row>
    <row r="43" spans="1:32" s="163" customFormat="1" ht="54.75" hidden="1" customHeight="1">
      <c r="A43" s="161"/>
      <c r="B43" s="21"/>
      <c r="C43" s="21"/>
      <c r="D43" s="21"/>
      <c r="E43" s="21"/>
      <c r="F43" s="25"/>
      <c r="G43" s="25"/>
      <c r="H43" s="25"/>
      <c r="I43" s="161"/>
      <c r="J43" s="162"/>
      <c r="K43" s="162"/>
      <c r="L43" s="45"/>
      <c r="M43" s="45"/>
      <c r="N43" s="45"/>
      <c r="O43" s="45"/>
      <c r="P43" s="45">
        <v>0</v>
      </c>
      <c r="Q43" s="25">
        <f t="shared" si="8"/>
        <v>0</v>
      </c>
      <c r="R43" s="182">
        <v>0</v>
      </c>
      <c r="S43" s="183">
        <f t="shared" si="9"/>
        <v>0</v>
      </c>
      <c r="T43" s="184"/>
      <c r="U43" s="184"/>
      <c r="V43" s="183">
        <v>0</v>
      </c>
      <c r="W43" s="183">
        <f t="shared" si="10"/>
        <v>0</v>
      </c>
      <c r="X43" s="184"/>
      <c r="Y43" s="184"/>
      <c r="Z43" s="185" t="e">
        <f t="shared" si="11"/>
        <v>#DIV/0!</v>
      </c>
      <c r="AA43" s="162"/>
      <c r="AB43" s="159"/>
      <c r="AC43" s="159"/>
      <c r="AD43" s="159"/>
      <c r="AE43" s="159"/>
      <c r="AF43" s="159"/>
    </row>
    <row r="44" spans="1:32" s="163" customFormat="1" ht="54.75" hidden="1" customHeight="1">
      <c r="A44" s="161"/>
      <c r="B44" s="21"/>
      <c r="C44" s="21"/>
      <c r="D44" s="21"/>
      <c r="E44" s="21"/>
      <c r="F44" s="25"/>
      <c r="G44" s="25"/>
      <c r="H44" s="25"/>
      <c r="I44" s="161"/>
      <c r="J44" s="162"/>
      <c r="K44" s="162"/>
      <c r="L44" s="45"/>
      <c r="M44" s="45"/>
      <c r="N44" s="45"/>
      <c r="O44" s="45"/>
      <c r="P44" s="45">
        <v>0</v>
      </c>
      <c r="Q44" s="25">
        <f t="shared" si="8"/>
        <v>0</v>
      </c>
      <c r="R44" s="182">
        <v>0</v>
      </c>
      <c r="S44" s="183">
        <f t="shared" si="9"/>
        <v>0</v>
      </c>
      <c r="T44" s="184"/>
      <c r="U44" s="184"/>
      <c r="V44" s="183">
        <v>0</v>
      </c>
      <c r="W44" s="183">
        <f t="shared" si="10"/>
        <v>0</v>
      </c>
      <c r="X44" s="184"/>
      <c r="Y44" s="184"/>
      <c r="Z44" s="185" t="e">
        <f t="shared" si="11"/>
        <v>#DIV/0!</v>
      </c>
      <c r="AA44" s="162"/>
      <c r="AB44" s="159"/>
      <c r="AC44" s="159"/>
      <c r="AD44" s="159"/>
      <c r="AE44" s="159"/>
      <c r="AF44" s="159"/>
    </row>
    <row r="45" spans="1:32" s="163" customFormat="1" ht="54.75" hidden="1" customHeight="1">
      <c r="A45" s="161"/>
      <c r="B45" s="21"/>
      <c r="C45" s="21"/>
      <c r="D45" s="21"/>
      <c r="E45" s="21"/>
      <c r="F45" s="25"/>
      <c r="G45" s="25"/>
      <c r="H45" s="25"/>
      <c r="I45" s="161"/>
      <c r="J45" s="162"/>
      <c r="K45" s="162"/>
      <c r="L45" s="45"/>
      <c r="M45" s="45"/>
      <c r="N45" s="45"/>
      <c r="O45" s="45"/>
      <c r="P45" s="45">
        <v>0</v>
      </c>
      <c r="Q45" s="25">
        <f t="shared" si="8"/>
        <v>0</v>
      </c>
      <c r="R45" s="182">
        <v>0</v>
      </c>
      <c r="S45" s="183">
        <f t="shared" si="9"/>
        <v>0</v>
      </c>
      <c r="T45" s="184"/>
      <c r="U45" s="184"/>
      <c r="V45" s="183">
        <v>0</v>
      </c>
      <c r="W45" s="183">
        <f t="shared" si="10"/>
        <v>0</v>
      </c>
      <c r="X45" s="184"/>
      <c r="Y45" s="184"/>
      <c r="Z45" s="185" t="e">
        <f t="shared" si="11"/>
        <v>#DIV/0!</v>
      </c>
      <c r="AA45" s="162"/>
      <c r="AB45" s="159"/>
      <c r="AC45" s="159"/>
      <c r="AD45" s="159"/>
      <c r="AE45" s="159"/>
      <c r="AF45" s="159"/>
    </row>
    <row r="46" spans="1:32" s="163" customFormat="1" ht="54.75" hidden="1" customHeight="1">
      <c r="A46" s="161"/>
      <c r="B46" s="21"/>
      <c r="C46" s="21"/>
      <c r="D46" s="21"/>
      <c r="E46" s="21"/>
      <c r="F46" s="25"/>
      <c r="G46" s="25"/>
      <c r="H46" s="25"/>
      <c r="I46" s="161"/>
      <c r="J46" s="162"/>
      <c r="K46" s="162"/>
      <c r="L46" s="45"/>
      <c r="M46" s="45"/>
      <c r="N46" s="45"/>
      <c r="O46" s="45"/>
      <c r="P46" s="45">
        <v>0</v>
      </c>
      <c r="Q46" s="25">
        <f t="shared" si="8"/>
        <v>0</v>
      </c>
      <c r="R46" s="182">
        <v>0</v>
      </c>
      <c r="S46" s="183">
        <f t="shared" si="9"/>
        <v>0</v>
      </c>
      <c r="T46" s="184"/>
      <c r="U46" s="184"/>
      <c r="V46" s="183">
        <v>0</v>
      </c>
      <c r="W46" s="183">
        <f t="shared" si="10"/>
        <v>0</v>
      </c>
      <c r="X46" s="184"/>
      <c r="Y46" s="184"/>
      <c r="Z46" s="185" t="e">
        <f t="shared" si="11"/>
        <v>#DIV/0!</v>
      </c>
      <c r="AA46" s="162"/>
      <c r="AB46" s="159"/>
      <c r="AC46" s="159"/>
      <c r="AD46" s="159"/>
      <c r="AE46" s="159"/>
      <c r="AF46" s="159"/>
    </row>
    <row r="47" spans="1:32" s="163" customFormat="1" ht="54.75" hidden="1" customHeight="1">
      <c r="A47" s="161"/>
      <c r="B47" s="21"/>
      <c r="C47" s="21"/>
      <c r="D47" s="21"/>
      <c r="E47" s="21"/>
      <c r="F47" s="25"/>
      <c r="G47" s="25"/>
      <c r="H47" s="25"/>
      <c r="I47" s="161"/>
      <c r="J47" s="162"/>
      <c r="K47" s="162"/>
      <c r="L47" s="45"/>
      <c r="M47" s="45"/>
      <c r="N47" s="45"/>
      <c r="O47" s="45"/>
      <c r="P47" s="45">
        <v>0</v>
      </c>
      <c r="Q47" s="25">
        <f t="shared" si="8"/>
        <v>0</v>
      </c>
      <c r="R47" s="182">
        <v>0</v>
      </c>
      <c r="S47" s="183">
        <f t="shared" si="9"/>
        <v>0</v>
      </c>
      <c r="T47" s="184"/>
      <c r="U47" s="184"/>
      <c r="V47" s="183">
        <v>0</v>
      </c>
      <c r="W47" s="183">
        <f t="shared" si="10"/>
        <v>0</v>
      </c>
      <c r="X47" s="184"/>
      <c r="Y47" s="184"/>
      <c r="Z47" s="185" t="e">
        <f t="shared" si="11"/>
        <v>#DIV/0!</v>
      </c>
      <c r="AA47" s="162"/>
      <c r="AB47" s="159"/>
      <c r="AC47" s="159"/>
      <c r="AD47" s="159"/>
      <c r="AE47" s="159"/>
      <c r="AF47" s="159"/>
    </row>
    <row r="48" spans="1:32" s="163" customFormat="1" ht="54.75" hidden="1" customHeight="1">
      <c r="A48" s="161"/>
      <c r="B48" s="21"/>
      <c r="C48" s="21"/>
      <c r="D48" s="21"/>
      <c r="E48" s="21"/>
      <c r="F48" s="25"/>
      <c r="G48" s="25"/>
      <c r="H48" s="25"/>
      <c r="I48" s="161"/>
      <c r="J48" s="162"/>
      <c r="K48" s="162"/>
      <c r="L48" s="45"/>
      <c r="M48" s="45"/>
      <c r="N48" s="45"/>
      <c r="O48" s="45"/>
      <c r="P48" s="45">
        <v>0</v>
      </c>
      <c r="Q48" s="25">
        <f t="shared" si="8"/>
        <v>0</v>
      </c>
      <c r="R48" s="182">
        <v>0</v>
      </c>
      <c r="S48" s="183">
        <f t="shared" si="9"/>
        <v>0</v>
      </c>
      <c r="T48" s="184"/>
      <c r="U48" s="184"/>
      <c r="V48" s="183">
        <v>0</v>
      </c>
      <c r="W48" s="183">
        <f t="shared" si="10"/>
        <v>0</v>
      </c>
      <c r="X48" s="184"/>
      <c r="Y48" s="184"/>
      <c r="Z48" s="185" t="e">
        <f t="shared" si="11"/>
        <v>#DIV/0!</v>
      </c>
      <c r="AA48" s="162"/>
      <c r="AB48" s="159"/>
      <c r="AC48" s="159"/>
      <c r="AD48" s="159"/>
      <c r="AE48" s="159"/>
      <c r="AF48" s="159"/>
    </row>
    <row r="49" spans="1:32" s="163" customFormat="1" ht="54.75" hidden="1" customHeight="1">
      <c r="A49" s="161"/>
      <c r="B49" s="21"/>
      <c r="C49" s="21"/>
      <c r="D49" s="21"/>
      <c r="E49" s="21"/>
      <c r="F49" s="25"/>
      <c r="G49" s="25"/>
      <c r="H49" s="25"/>
      <c r="I49" s="161"/>
      <c r="J49" s="162"/>
      <c r="K49" s="162"/>
      <c r="L49" s="45"/>
      <c r="M49" s="45"/>
      <c r="N49" s="45"/>
      <c r="O49" s="45"/>
      <c r="P49" s="45">
        <v>0</v>
      </c>
      <c r="Q49" s="25">
        <f t="shared" si="8"/>
        <v>0</v>
      </c>
      <c r="R49" s="182">
        <v>0</v>
      </c>
      <c r="S49" s="183">
        <f t="shared" si="9"/>
        <v>0</v>
      </c>
      <c r="T49" s="184"/>
      <c r="U49" s="184"/>
      <c r="V49" s="183">
        <v>0</v>
      </c>
      <c r="W49" s="183">
        <f t="shared" si="10"/>
        <v>0</v>
      </c>
      <c r="X49" s="184"/>
      <c r="Y49" s="184"/>
      <c r="Z49" s="185" t="e">
        <f t="shared" si="11"/>
        <v>#DIV/0!</v>
      </c>
      <c r="AA49" s="162"/>
      <c r="AB49" s="159"/>
      <c r="AC49" s="159"/>
      <c r="AD49" s="159"/>
      <c r="AE49" s="159"/>
      <c r="AF49" s="159"/>
    </row>
    <row r="50" spans="1:32" s="163" customFormat="1" ht="54.75" hidden="1" customHeight="1">
      <c r="A50" s="161"/>
      <c r="B50" s="21"/>
      <c r="C50" s="21"/>
      <c r="D50" s="21"/>
      <c r="E50" s="21"/>
      <c r="F50" s="25"/>
      <c r="G50" s="25"/>
      <c r="H50" s="25"/>
      <c r="I50" s="161"/>
      <c r="J50" s="162"/>
      <c r="K50" s="162"/>
      <c r="L50" s="45"/>
      <c r="M50" s="45"/>
      <c r="N50" s="45"/>
      <c r="O50" s="45"/>
      <c r="P50" s="45">
        <v>0</v>
      </c>
      <c r="Q50" s="25">
        <f t="shared" si="8"/>
        <v>0</v>
      </c>
      <c r="R50" s="182">
        <v>0</v>
      </c>
      <c r="S50" s="183">
        <f t="shared" si="9"/>
        <v>0</v>
      </c>
      <c r="T50" s="184"/>
      <c r="U50" s="184"/>
      <c r="V50" s="183">
        <v>0</v>
      </c>
      <c r="W50" s="183">
        <f t="shared" si="10"/>
        <v>0</v>
      </c>
      <c r="X50" s="184"/>
      <c r="Y50" s="184"/>
      <c r="Z50" s="185" t="e">
        <f t="shared" si="11"/>
        <v>#DIV/0!</v>
      </c>
      <c r="AA50" s="162"/>
      <c r="AB50" s="159"/>
      <c r="AC50" s="159"/>
      <c r="AD50" s="159"/>
      <c r="AE50" s="159"/>
      <c r="AF50" s="159"/>
    </row>
    <row r="51" spans="1:32" s="163" customFormat="1" ht="54.75" hidden="1" customHeight="1">
      <c r="A51" s="161"/>
      <c r="B51" s="21"/>
      <c r="C51" s="21"/>
      <c r="D51" s="21"/>
      <c r="E51" s="21"/>
      <c r="F51" s="25"/>
      <c r="G51" s="25"/>
      <c r="H51" s="25"/>
      <c r="I51" s="161"/>
      <c r="J51" s="162"/>
      <c r="K51" s="162"/>
      <c r="L51" s="45"/>
      <c r="M51" s="45"/>
      <c r="N51" s="45"/>
      <c r="O51" s="45"/>
      <c r="P51" s="45">
        <v>0</v>
      </c>
      <c r="Q51" s="25">
        <f t="shared" si="8"/>
        <v>0</v>
      </c>
      <c r="R51" s="182">
        <v>0</v>
      </c>
      <c r="S51" s="183">
        <f t="shared" si="9"/>
        <v>0</v>
      </c>
      <c r="T51" s="184"/>
      <c r="U51" s="184"/>
      <c r="V51" s="183">
        <v>0</v>
      </c>
      <c r="W51" s="183">
        <f t="shared" si="10"/>
        <v>0</v>
      </c>
      <c r="X51" s="184"/>
      <c r="Y51" s="184"/>
      <c r="Z51" s="185" t="e">
        <f t="shared" si="11"/>
        <v>#DIV/0!</v>
      </c>
      <c r="AA51" s="162"/>
      <c r="AB51" s="159"/>
      <c r="AC51" s="159"/>
      <c r="AD51" s="159"/>
      <c r="AE51" s="159"/>
      <c r="AF51" s="159"/>
    </row>
    <row r="52" spans="1:32" s="163" customFormat="1" ht="54.75" hidden="1" customHeight="1">
      <c r="A52" s="161"/>
      <c r="B52" s="21"/>
      <c r="C52" s="21"/>
      <c r="D52" s="21"/>
      <c r="E52" s="21"/>
      <c r="F52" s="25"/>
      <c r="G52" s="25"/>
      <c r="H52" s="25"/>
      <c r="I52" s="161"/>
      <c r="J52" s="162"/>
      <c r="K52" s="162"/>
      <c r="L52" s="45"/>
      <c r="M52" s="45"/>
      <c r="N52" s="45"/>
      <c r="O52" s="45"/>
      <c r="P52" s="45">
        <v>0</v>
      </c>
      <c r="Q52" s="25">
        <f t="shared" si="8"/>
        <v>0</v>
      </c>
      <c r="R52" s="182">
        <v>0</v>
      </c>
      <c r="S52" s="183">
        <f t="shared" si="9"/>
        <v>0</v>
      </c>
      <c r="T52" s="184"/>
      <c r="U52" s="184"/>
      <c r="V52" s="183">
        <v>0</v>
      </c>
      <c r="W52" s="183">
        <f t="shared" si="10"/>
        <v>0</v>
      </c>
      <c r="X52" s="184"/>
      <c r="Y52" s="184"/>
      <c r="Z52" s="185" t="e">
        <f t="shared" si="11"/>
        <v>#DIV/0!</v>
      </c>
      <c r="AA52" s="162"/>
      <c r="AB52" s="159"/>
      <c r="AC52" s="159"/>
      <c r="AD52" s="159"/>
      <c r="AE52" s="159"/>
      <c r="AF52" s="159"/>
    </row>
    <row r="53" spans="1:32" s="163" customFormat="1" ht="54.75" hidden="1" customHeight="1">
      <c r="A53" s="161"/>
      <c r="B53" s="21"/>
      <c r="C53" s="21"/>
      <c r="D53" s="21"/>
      <c r="E53" s="21"/>
      <c r="F53" s="25"/>
      <c r="G53" s="25"/>
      <c r="H53" s="25"/>
      <c r="I53" s="161"/>
      <c r="J53" s="162"/>
      <c r="K53" s="162"/>
      <c r="L53" s="45"/>
      <c r="M53" s="45"/>
      <c r="N53" s="45"/>
      <c r="O53" s="45"/>
      <c r="P53" s="45">
        <v>0</v>
      </c>
      <c r="Q53" s="25">
        <f t="shared" si="8"/>
        <v>0</v>
      </c>
      <c r="R53" s="182">
        <v>0</v>
      </c>
      <c r="S53" s="183">
        <f t="shared" si="9"/>
        <v>0</v>
      </c>
      <c r="T53" s="184"/>
      <c r="U53" s="184"/>
      <c r="V53" s="183">
        <v>0</v>
      </c>
      <c r="W53" s="183">
        <f t="shared" si="10"/>
        <v>0</v>
      </c>
      <c r="X53" s="184"/>
      <c r="Y53" s="184"/>
      <c r="Z53" s="185" t="e">
        <f t="shared" si="11"/>
        <v>#DIV/0!</v>
      </c>
      <c r="AA53" s="162"/>
      <c r="AB53" s="159"/>
      <c r="AC53" s="159"/>
      <c r="AD53" s="159"/>
      <c r="AE53" s="159"/>
      <c r="AF53" s="159"/>
    </row>
    <row r="54" spans="1:32" s="163" customFormat="1" ht="54.75" hidden="1" customHeight="1">
      <c r="A54" s="161"/>
      <c r="B54" s="21"/>
      <c r="C54" s="21"/>
      <c r="D54" s="21"/>
      <c r="E54" s="21"/>
      <c r="F54" s="25"/>
      <c r="G54" s="25"/>
      <c r="H54" s="25"/>
      <c r="I54" s="161"/>
      <c r="J54" s="162"/>
      <c r="K54" s="162"/>
      <c r="L54" s="45"/>
      <c r="M54" s="45"/>
      <c r="N54" s="45"/>
      <c r="O54" s="45"/>
      <c r="P54" s="45">
        <v>0</v>
      </c>
      <c r="Q54" s="25">
        <f t="shared" si="8"/>
        <v>0</v>
      </c>
      <c r="R54" s="182">
        <v>0</v>
      </c>
      <c r="S54" s="183">
        <f t="shared" si="9"/>
        <v>0</v>
      </c>
      <c r="T54" s="184"/>
      <c r="U54" s="184"/>
      <c r="V54" s="183">
        <v>0</v>
      </c>
      <c r="W54" s="183">
        <f t="shared" si="10"/>
        <v>0</v>
      </c>
      <c r="X54" s="184"/>
      <c r="Y54" s="184"/>
      <c r="Z54" s="185" t="e">
        <f t="shared" si="11"/>
        <v>#DIV/0!</v>
      </c>
      <c r="AA54" s="162"/>
      <c r="AB54" s="159"/>
      <c r="AC54" s="159"/>
      <c r="AD54" s="159"/>
      <c r="AE54" s="159"/>
      <c r="AF54" s="159"/>
    </row>
    <row r="55" spans="1:32" s="163" customFormat="1" ht="54.75" hidden="1" customHeight="1">
      <c r="A55" s="161"/>
      <c r="B55" s="21"/>
      <c r="C55" s="21"/>
      <c r="D55" s="21"/>
      <c r="E55" s="21"/>
      <c r="F55" s="25"/>
      <c r="G55" s="25"/>
      <c r="H55" s="25"/>
      <c r="I55" s="161"/>
      <c r="J55" s="162"/>
      <c r="K55" s="162"/>
      <c r="L55" s="45"/>
      <c r="M55" s="45"/>
      <c r="N55" s="45"/>
      <c r="O55" s="45"/>
      <c r="P55" s="45">
        <v>0</v>
      </c>
      <c r="Q55" s="25">
        <f t="shared" si="8"/>
        <v>0</v>
      </c>
      <c r="R55" s="182">
        <v>0</v>
      </c>
      <c r="S55" s="183">
        <f t="shared" si="9"/>
        <v>0</v>
      </c>
      <c r="T55" s="184"/>
      <c r="U55" s="184"/>
      <c r="V55" s="183">
        <v>0</v>
      </c>
      <c r="W55" s="183">
        <f t="shared" si="10"/>
        <v>0</v>
      </c>
      <c r="X55" s="184"/>
      <c r="Y55" s="184"/>
      <c r="Z55" s="185" t="e">
        <f t="shared" si="11"/>
        <v>#DIV/0!</v>
      </c>
      <c r="AA55" s="162"/>
      <c r="AB55" s="159"/>
      <c r="AC55" s="159"/>
      <c r="AD55" s="159"/>
      <c r="AE55" s="159"/>
      <c r="AF55" s="159"/>
    </row>
    <row r="56" spans="1:32" s="163" customFormat="1" ht="54.75" hidden="1" customHeight="1">
      <c r="A56" s="161"/>
      <c r="B56" s="21"/>
      <c r="C56" s="21"/>
      <c r="D56" s="21"/>
      <c r="E56" s="21"/>
      <c r="F56" s="25"/>
      <c r="G56" s="25"/>
      <c r="H56" s="25"/>
      <c r="I56" s="161"/>
      <c r="J56" s="162"/>
      <c r="K56" s="162"/>
      <c r="L56" s="45"/>
      <c r="M56" s="45"/>
      <c r="N56" s="45"/>
      <c r="O56" s="45"/>
      <c r="P56" s="45">
        <v>0</v>
      </c>
      <c r="Q56" s="25">
        <f t="shared" si="8"/>
        <v>0</v>
      </c>
      <c r="R56" s="182">
        <v>0</v>
      </c>
      <c r="S56" s="183">
        <f t="shared" si="9"/>
        <v>0</v>
      </c>
      <c r="T56" s="184"/>
      <c r="U56" s="184"/>
      <c r="V56" s="183">
        <v>0</v>
      </c>
      <c r="W56" s="183">
        <f t="shared" si="10"/>
        <v>0</v>
      </c>
      <c r="X56" s="184"/>
      <c r="Y56" s="184"/>
      <c r="Z56" s="185" t="e">
        <f t="shared" si="11"/>
        <v>#DIV/0!</v>
      </c>
      <c r="AA56" s="162"/>
      <c r="AB56" s="159"/>
      <c r="AC56" s="159"/>
      <c r="AD56" s="159"/>
      <c r="AE56" s="159"/>
      <c r="AF56" s="159"/>
    </row>
    <row r="57" spans="1:32" s="163" customFormat="1" ht="54.75" hidden="1" customHeight="1">
      <c r="A57" s="161"/>
      <c r="B57" s="21"/>
      <c r="C57" s="21"/>
      <c r="D57" s="21"/>
      <c r="E57" s="21"/>
      <c r="F57" s="25"/>
      <c r="G57" s="25"/>
      <c r="H57" s="25"/>
      <c r="I57" s="161"/>
      <c r="J57" s="162"/>
      <c r="K57" s="162"/>
      <c r="L57" s="45"/>
      <c r="M57" s="45"/>
      <c r="N57" s="45"/>
      <c r="O57" s="45"/>
      <c r="P57" s="45">
        <v>0</v>
      </c>
      <c r="Q57" s="25">
        <f t="shared" si="8"/>
        <v>0</v>
      </c>
      <c r="R57" s="182">
        <v>0</v>
      </c>
      <c r="S57" s="183">
        <f t="shared" si="9"/>
        <v>0</v>
      </c>
      <c r="T57" s="184"/>
      <c r="U57" s="184"/>
      <c r="V57" s="183">
        <v>0</v>
      </c>
      <c r="W57" s="183">
        <f t="shared" si="10"/>
        <v>0</v>
      </c>
      <c r="X57" s="184"/>
      <c r="Y57" s="184"/>
      <c r="Z57" s="185" t="e">
        <f t="shared" si="11"/>
        <v>#DIV/0!</v>
      </c>
      <c r="AA57" s="162"/>
      <c r="AB57" s="159"/>
      <c r="AC57" s="159"/>
      <c r="AD57" s="159"/>
      <c r="AE57" s="159"/>
      <c r="AF57" s="159"/>
    </row>
    <row r="58" spans="1:32" s="163" customFormat="1" ht="27" customHeight="1">
      <c r="A58" s="161"/>
      <c r="B58" s="21"/>
      <c r="C58" s="21"/>
      <c r="D58" s="21"/>
      <c r="E58" s="21"/>
      <c r="F58" s="25"/>
      <c r="G58" s="25"/>
      <c r="H58" s="25"/>
      <c r="I58" s="161"/>
      <c r="J58" s="162"/>
      <c r="K58" s="162"/>
      <c r="L58" s="45"/>
      <c r="M58" s="45"/>
      <c r="N58" s="45"/>
      <c r="O58" s="45"/>
      <c r="P58" s="45">
        <v>0</v>
      </c>
      <c r="Q58" s="25">
        <f t="shared" si="8"/>
        <v>0</v>
      </c>
      <c r="R58" s="182">
        <v>0</v>
      </c>
      <c r="S58" s="183">
        <f t="shared" si="9"/>
        <v>0</v>
      </c>
      <c r="T58" s="184"/>
      <c r="U58" s="184"/>
      <c r="V58" s="183">
        <v>0</v>
      </c>
      <c r="W58" s="183">
        <f t="shared" si="10"/>
        <v>0</v>
      </c>
      <c r="X58" s="184"/>
      <c r="Y58" s="184"/>
      <c r="Z58" s="185" t="e">
        <f t="shared" si="11"/>
        <v>#DIV/0!</v>
      </c>
      <c r="AA58" s="162"/>
      <c r="AB58" s="159"/>
      <c r="AC58" s="159"/>
      <c r="AD58" s="159"/>
      <c r="AE58" s="159"/>
      <c r="AF58" s="159"/>
    </row>
    <row r="59" spans="1:32" s="159" customFormat="1" ht="27.75" customHeight="1">
      <c r="A59" s="161"/>
      <c r="B59" s="21"/>
      <c r="C59" s="21"/>
      <c r="D59" s="21"/>
      <c r="E59" s="21"/>
      <c r="F59" s="25"/>
      <c r="G59" s="25"/>
      <c r="H59" s="25"/>
      <c r="I59" s="161"/>
      <c r="J59" s="162"/>
      <c r="K59" s="162"/>
      <c r="L59" s="45"/>
      <c r="M59" s="45"/>
      <c r="N59" s="45"/>
      <c r="O59" s="45"/>
      <c r="P59" s="142">
        <f>SUM(P35:P58)</f>
        <v>2425</v>
      </c>
      <c r="Q59" s="142">
        <f>SUM(Q35:Q58)</f>
        <v>-23</v>
      </c>
      <c r="R59" s="142">
        <f>SUM(R35:R58)</f>
        <v>2448</v>
      </c>
      <c r="S59" s="142">
        <f>SUM(S35:S58)</f>
        <v>-23</v>
      </c>
      <c r="T59" s="142"/>
      <c r="U59" s="142"/>
      <c r="V59" s="142">
        <f>SUM(V35:V58)</f>
        <v>2426</v>
      </c>
      <c r="W59" s="142">
        <f>SUM(W35:W58)</f>
        <v>1</v>
      </c>
      <c r="X59" s="142"/>
      <c r="Y59" s="142"/>
      <c r="Z59" s="185">
        <f t="shared" si="11"/>
        <v>-4.1237113402061852E-4</v>
      </c>
      <c r="AA59" s="162"/>
    </row>
    <row r="60" spans="1:32" s="159" customFormat="1" ht="25.5" customHeight="1">
      <c r="A60" s="326" t="s">
        <v>723</v>
      </c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179"/>
      <c r="AC60" s="179"/>
      <c r="AD60" s="179"/>
      <c r="AE60" s="179"/>
      <c r="AF60" s="180"/>
    </row>
    <row r="61" spans="1:32" s="163" customFormat="1" ht="76.5" customHeight="1">
      <c r="A61" s="174" t="s">
        <v>713</v>
      </c>
      <c r="B61" s="4" t="s">
        <v>140</v>
      </c>
      <c r="C61" s="4" t="s">
        <v>141</v>
      </c>
      <c r="D61" s="4" t="s">
        <v>142</v>
      </c>
      <c r="E61" s="4" t="s">
        <v>143</v>
      </c>
      <c r="F61" s="174" t="s">
        <v>115</v>
      </c>
      <c r="G61" s="174" t="s">
        <v>117</v>
      </c>
      <c r="H61" s="181" t="s">
        <v>48</v>
      </c>
      <c r="I61" s="174" t="s">
        <v>583</v>
      </c>
      <c r="J61" s="174" t="s">
        <v>3</v>
      </c>
      <c r="K61" s="174" t="s">
        <v>4</v>
      </c>
      <c r="L61" s="175" t="s">
        <v>5</v>
      </c>
      <c r="M61" s="176" t="s">
        <v>6</v>
      </c>
      <c r="N61" s="174" t="s">
        <v>7</v>
      </c>
      <c r="O61" s="176" t="s">
        <v>8</v>
      </c>
      <c r="P61" s="176" t="s">
        <v>714</v>
      </c>
      <c r="Q61" s="176" t="s">
        <v>715</v>
      </c>
      <c r="R61" s="176" t="s">
        <v>716</v>
      </c>
      <c r="S61" s="176" t="s">
        <v>717</v>
      </c>
      <c r="T61" s="176" t="s">
        <v>119</v>
      </c>
      <c r="U61" s="176" t="s">
        <v>13</v>
      </c>
      <c r="V61" s="176" t="s">
        <v>718</v>
      </c>
      <c r="W61" s="176" t="s">
        <v>719</v>
      </c>
      <c r="X61" s="176" t="s">
        <v>119</v>
      </c>
      <c r="Y61" s="176" t="s">
        <v>118</v>
      </c>
      <c r="Z61" s="177" t="s">
        <v>720</v>
      </c>
      <c r="AA61" s="178" t="s">
        <v>721</v>
      </c>
      <c r="AB61" s="159"/>
      <c r="AC61" s="159"/>
      <c r="AD61" s="159"/>
      <c r="AE61" s="159"/>
      <c r="AF61" s="159"/>
    </row>
    <row r="62" spans="1:32" s="163" customFormat="1" ht="102" customHeight="1">
      <c r="A62" s="161"/>
      <c r="B62" s="27">
        <v>46200</v>
      </c>
      <c r="C62" s="27">
        <v>46212</v>
      </c>
      <c r="D62" s="30">
        <v>46214</v>
      </c>
      <c r="E62" s="30">
        <v>46230</v>
      </c>
      <c r="F62" s="24" t="s">
        <v>23</v>
      </c>
      <c r="G62" s="25" t="s">
        <v>49</v>
      </c>
      <c r="H62" s="24" t="s">
        <v>446</v>
      </c>
      <c r="I62" s="161"/>
      <c r="J62" s="26" t="s">
        <v>444</v>
      </c>
      <c r="K62" s="46">
        <v>47937</v>
      </c>
      <c r="L62" s="24">
        <v>180</v>
      </c>
      <c r="M62" s="24" t="s">
        <v>47</v>
      </c>
      <c r="N62" s="37" t="s">
        <v>445</v>
      </c>
      <c r="O62" s="26" t="s">
        <v>52</v>
      </c>
      <c r="P62" s="24">
        <v>261</v>
      </c>
      <c r="Q62" s="25">
        <f t="shared" ref="Q62:Q90" si="16">P62-R62</f>
        <v>-1</v>
      </c>
      <c r="R62" s="182">
        <f>262</f>
        <v>262</v>
      </c>
      <c r="S62" s="183">
        <f t="shared" ref="S62:S90" si="17">P62-R62</f>
        <v>-1</v>
      </c>
      <c r="T62" s="184">
        <v>146</v>
      </c>
      <c r="U62" s="184" t="s">
        <v>725</v>
      </c>
      <c r="V62" s="183">
        <f>260</f>
        <v>260</v>
      </c>
      <c r="W62" s="183">
        <f t="shared" ref="W62:W90" si="18">+V62-P62</f>
        <v>-1</v>
      </c>
      <c r="X62" s="184">
        <v>222600</v>
      </c>
      <c r="Y62" s="184" t="s">
        <v>766</v>
      </c>
      <c r="Z62" s="185">
        <f t="shared" ref="Z62:Z91" si="19">(P62-V62)*100/P62/100</f>
        <v>3.831417624521073E-3</v>
      </c>
      <c r="AA62" s="162" t="s">
        <v>978</v>
      </c>
      <c r="AB62" s="159"/>
      <c r="AC62" s="159"/>
      <c r="AD62" s="159"/>
      <c r="AE62" s="159"/>
      <c r="AF62" s="159"/>
    </row>
    <row r="63" spans="1:32" s="163" customFormat="1" ht="168" customHeight="1">
      <c r="A63" s="161"/>
      <c r="B63" s="21">
        <v>46204</v>
      </c>
      <c r="C63" s="21">
        <v>46216</v>
      </c>
      <c r="D63" s="23">
        <v>46217</v>
      </c>
      <c r="E63" s="23">
        <v>46224</v>
      </c>
      <c r="F63" s="24" t="s">
        <v>23</v>
      </c>
      <c r="G63" s="25" t="s">
        <v>105</v>
      </c>
      <c r="H63" s="26" t="s">
        <v>138</v>
      </c>
      <c r="I63" s="161"/>
      <c r="J63" s="26" t="s">
        <v>34</v>
      </c>
      <c r="K63" s="33">
        <v>47693</v>
      </c>
      <c r="L63" s="24">
        <v>160</v>
      </c>
      <c r="M63" s="24" t="s">
        <v>47</v>
      </c>
      <c r="N63" s="37" t="s">
        <v>448</v>
      </c>
      <c r="O63" s="26" t="s">
        <v>20</v>
      </c>
      <c r="P63" s="24">
        <v>500</v>
      </c>
      <c r="Q63" s="25">
        <f t="shared" si="16"/>
        <v>-10</v>
      </c>
      <c r="R63" s="182">
        <f>510</f>
        <v>510</v>
      </c>
      <c r="S63" s="183">
        <f t="shared" si="17"/>
        <v>-10</v>
      </c>
      <c r="T63" s="184">
        <v>809</v>
      </c>
      <c r="U63" s="184" t="s">
        <v>705</v>
      </c>
      <c r="V63" s="183">
        <f>355+151</f>
        <v>506</v>
      </c>
      <c r="W63" s="183">
        <f t="shared" si="18"/>
        <v>6</v>
      </c>
      <c r="X63" s="184" t="s">
        <v>777</v>
      </c>
      <c r="Y63" s="184" t="s">
        <v>778</v>
      </c>
      <c r="Z63" s="185">
        <f t="shared" si="19"/>
        <v>-1.2E-2</v>
      </c>
      <c r="AA63" s="162" t="s">
        <v>947</v>
      </c>
      <c r="AB63" s="159"/>
      <c r="AC63" s="159"/>
      <c r="AD63" s="159"/>
      <c r="AE63" s="159"/>
      <c r="AF63" s="159"/>
    </row>
    <row r="64" spans="1:32" s="163" customFormat="1" ht="74.25" customHeight="1">
      <c r="A64" s="161"/>
      <c r="B64" s="21">
        <v>46204</v>
      </c>
      <c r="C64" s="21">
        <v>46217</v>
      </c>
      <c r="D64" s="23">
        <v>46218</v>
      </c>
      <c r="E64" s="23">
        <v>46231</v>
      </c>
      <c r="F64" s="24" t="s">
        <v>23</v>
      </c>
      <c r="G64" s="25" t="s">
        <v>105</v>
      </c>
      <c r="H64" s="24" t="s">
        <v>32</v>
      </c>
      <c r="I64" s="161"/>
      <c r="J64" s="26" t="s">
        <v>34</v>
      </c>
      <c r="K64" s="33">
        <v>47776</v>
      </c>
      <c r="L64" s="24">
        <v>160</v>
      </c>
      <c r="M64" s="24" t="s">
        <v>60</v>
      </c>
      <c r="N64" s="37" t="s">
        <v>309</v>
      </c>
      <c r="O64" s="26" t="s">
        <v>20</v>
      </c>
      <c r="P64" s="85">
        <f>3009-90+54</f>
        <v>2973</v>
      </c>
      <c r="Q64" s="25">
        <f t="shared" si="16"/>
        <v>-59</v>
      </c>
      <c r="R64" s="182">
        <f>763+770+733+615+151</f>
        <v>3032</v>
      </c>
      <c r="S64" s="183">
        <f t="shared" si="17"/>
        <v>-59</v>
      </c>
      <c r="T64" s="184" t="s">
        <v>825</v>
      </c>
      <c r="U64" s="184" t="s">
        <v>826</v>
      </c>
      <c r="V64" s="183">
        <f>754+711+596+655+55+145</f>
        <v>2916</v>
      </c>
      <c r="W64" s="183">
        <f t="shared" si="18"/>
        <v>-57</v>
      </c>
      <c r="X64" s="184" t="s">
        <v>854</v>
      </c>
      <c r="Y64" s="184" t="s">
        <v>855</v>
      </c>
      <c r="Z64" s="185">
        <f t="shared" si="19"/>
        <v>1.9172552976791119E-2</v>
      </c>
      <c r="AA64" s="162" t="s">
        <v>785</v>
      </c>
      <c r="AB64" s="159"/>
      <c r="AC64" s="159"/>
      <c r="AD64" s="159"/>
      <c r="AE64" s="159"/>
      <c r="AF64" s="159"/>
    </row>
    <row r="65" spans="1:32" s="163" customFormat="1" ht="159.75" customHeight="1">
      <c r="A65" s="161"/>
      <c r="B65" s="21">
        <v>46204</v>
      </c>
      <c r="C65" s="21">
        <v>46217</v>
      </c>
      <c r="D65" s="23">
        <v>46218</v>
      </c>
      <c r="E65" s="23">
        <v>46231</v>
      </c>
      <c r="F65" s="24" t="s">
        <v>23</v>
      </c>
      <c r="G65" s="25" t="s">
        <v>105</v>
      </c>
      <c r="H65" s="24" t="s">
        <v>32</v>
      </c>
      <c r="I65" s="161"/>
      <c r="J65" s="26" t="s">
        <v>34</v>
      </c>
      <c r="K65" s="33">
        <v>47776</v>
      </c>
      <c r="L65" s="24">
        <v>160</v>
      </c>
      <c r="M65" s="24" t="s">
        <v>60</v>
      </c>
      <c r="N65" s="37" t="s">
        <v>113</v>
      </c>
      <c r="O65" s="26" t="s">
        <v>20</v>
      </c>
      <c r="P65" s="188">
        <f>2781-181+38</f>
        <v>2638</v>
      </c>
      <c r="Q65" s="25">
        <f t="shared" si="16"/>
        <v>-3</v>
      </c>
      <c r="R65" s="182">
        <f>697+733+731+296+139+30+15</f>
        <v>2641</v>
      </c>
      <c r="S65" s="183">
        <f t="shared" si="17"/>
        <v>-3</v>
      </c>
      <c r="T65" s="184" t="s">
        <v>798</v>
      </c>
      <c r="U65" s="184" t="s">
        <v>801</v>
      </c>
      <c r="V65" s="183">
        <f>722+714+280+673+74+38+29+23</f>
        <v>2553</v>
      </c>
      <c r="W65" s="183">
        <f t="shared" si="18"/>
        <v>-85</v>
      </c>
      <c r="X65" s="184" t="s">
        <v>1047</v>
      </c>
      <c r="Y65" s="184" t="s">
        <v>1048</v>
      </c>
      <c r="Z65" s="185">
        <f t="shared" si="19"/>
        <v>3.222137983320697E-2</v>
      </c>
      <c r="AA65" s="162" t="s">
        <v>959</v>
      </c>
      <c r="AB65" s="159"/>
      <c r="AC65" s="159"/>
      <c r="AD65" s="159"/>
      <c r="AE65" s="159"/>
      <c r="AF65" s="159"/>
    </row>
    <row r="66" spans="1:32" s="163" customFormat="1" ht="168.75" customHeight="1">
      <c r="A66" s="161"/>
      <c r="B66" s="21">
        <v>46204</v>
      </c>
      <c r="C66" s="21">
        <v>46217</v>
      </c>
      <c r="D66" s="23">
        <v>46218</v>
      </c>
      <c r="E66" s="23">
        <v>46231</v>
      </c>
      <c r="F66" s="24" t="s">
        <v>23</v>
      </c>
      <c r="G66" s="25" t="s">
        <v>105</v>
      </c>
      <c r="H66" s="24" t="s">
        <v>32</v>
      </c>
      <c r="I66" s="161"/>
      <c r="J66" s="26" t="s">
        <v>34</v>
      </c>
      <c r="K66" s="33">
        <v>47776</v>
      </c>
      <c r="L66" s="24">
        <v>160</v>
      </c>
      <c r="M66" s="24" t="s">
        <v>60</v>
      </c>
      <c r="N66" s="37" t="s">
        <v>113</v>
      </c>
      <c r="O66" s="26" t="s">
        <v>20</v>
      </c>
      <c r="P66" s="85">
        <f>2126+1215+133</f>
        <v>3474</v>
      </c>
      <c r="Q66" s="25">
        <f t="shared" si="16"/>
        <v>-19</v>
      </c>
      <c r="R66" s="182">
        <f>789+680+497+1365+162</f>
        <v>3493</v>
      </c>
      <c r="S66" s="183">
        <f t="shared" si="17"/>
        <v>-19</v>
      </c>
      <c r="T66" s="184" t="s">
        <v>799</v>
      </c>
      <c r="U66" s="184" t="s">
        <v>800</v>
      </c>
      <c r="V66" s="183">
        <f>683+487+785+648+638+176</f>
        <v>3417</v>
      </c>
      <c r="W66" s="183">
        <f t="shared" si="18"/>
        <v>-57</v>
      </c>
      <c r="X66" s="184" t="s">
        <v>834</v>
      </c>
      <c r="Y66" s="184" t="s">
        <v>835</v>
      </c>
      <c r="Z66" s="185">
        <f t="shared" si="19"/>
        <v>1.6407599309153711E-2</v>
      </c>
      <c r="AA66" s="162" t="s">
        <v>971</v>
      </c>
      <c r="AB66" s="159"/>
      <c r="AC66" s="159"/>
      <c r="AD66" s="159"/>
      <c r="AE66" s="159"/>
      <c r="AF66" s="159"/>
    </row>
    <row r="67" spans="1:32" s="163" customFormat="1" ht="163.5" customHeight="1">
      <c r="A67" s="161"/>
      <c r="B67" s="21">
        <v>46204</v>
      </c>
      <c r="C67" s="21">
        <v>46216</v>
      </c>
      <c r="D67" s="23">
        <v>46217</v>
      </c>
      <c r="E67" s="23">
        <v>46228</v>
      </c>
      <c r="F67" s="24" t="s">
        <v>23</v>
      </c>
      <c r="G67" s="25" t="s">
        <v>105</v>
      </c>
      <c r="H67" s="24" t="s">
        <v>31</v>
      </c>
      <c r="I67" s="161"/>
      <c r="J67" s="26" t="s">
        <v>34</v>
      </c>
      <c r="K67" s="33">
        <v>47702</v>
      </c>
      <c r="L67" s="24">
        <v>200</v>
      </c>
      <c r="M67" s="24" t="s">
        <v>19</v>
      </c>
      <c r="N67" s="37" t="s">
        <v>113</v>
      </c>
      <c r="O67" s="26" t="s">
        <v>455</v>
      </c>
      <c r="P67" s="24">
        <v>1679</v>
      </c>
      <c r="Q67" s="25">
        <f t="shared" si="16"/>
        <v>0</v>
      </c>
      <c r="R67" s="182">
        <f>710+679+290</f>
        <v>1679</v>
      </c>
      <c r="S67" s="183">
        <f t="shared" si="17"/>
        <v>0</v>
      </c>
      <c r="T67" s="184" t="s">
        <v>636</v>
      </c>
      <c r="U67" s="184" t="s">
        <v>637</v>
      </c>
      <c r="V67" s="183">
        <f>679+692+191+84</f>
        <v>1646</v>
      </c>
      <c r="W67" s="183">
        <f t="shared" si="18"/>
        <v>-33</v>
      </c>
      <c r="X67" s="184" t="s">
        <v>807</v>
      </c>
      <c r="Y67" s="184" t="s">
        <v>808</v>
      </c>
      <c r="Z67" s="185">
        <f t="shared" si="19"/>
        <v>1.9654556283502087E-2</v>
      </c>
      <c r="AA67" s="162" t="s">
        <v>621</v>
      </c>
      <c r="AB67" s="159"/>
      <c r="AC67" s="159"/>
      <c r="AD67" s="159"/>
      <c r="AE67" s="159"/>
      <c r="AF67" s="159"/>
    </row>
    <row r="68" spans="1:32" s="163" customFormat="1" ht="98.25" customHeight="1">
      <c r="A68" s="161"/>
      <c r="B68" s="21">
        <v>46204</v>
      </c>
      <c r="C68" s="21">
        <v>46216</v>
      </c>
      <c r="D68" s="23">
        <v>46217</v>
      </c>
      <c r="E68" s="23">
        <v>46228</v>
      </c>
      <c r="F68" s="24" t="s">
        <v>23</v>
      </c>
      <c r="G68" s="25" t="s">
        <v>105</v>
      </c>
      <c r="H68" s="24" t="s">
        <v>31</v>
      </c>
      <c r="I68" s="161"/>
      <c r="J68" s="26" t="s">
        <v>34</v>
      </c>
      <c r="K68" s="33">
        <v>47702</v>
      </c>
      <c r="L68" s="24">
        <v>200</v>
      </c>
      <c r="M68" s="24" t="s">
        <v>19</v>
      </c>
      <c r="N68" s="37" t="s">
        <v>456</v>
      </c>
      <c r="O68" s="26" t="s">
        <v>455</v>
      </c>
      <c r="P68" s="28">
        <v>1185</v>
      </c>
      <c r="Q68" s="25">
        <f t="shared" si="16"/>
        <v>-34</v>
      </c>
      <c r="R68" s="182">
        <f>591+628</f>
        <v>1219</v>
      </c>
      <c r="S68" s="183">
        <f t="shared" si="17"/>
        <v>-34</v>
      </c>
      <c r="T68" s="184" t="s">
        <v>610</v>
      </c>
      <c r="U68" s="184" t="s">
        <v>611</v>
      </c>
      <c r="V68" s="183">
        <f>590+565</f>
        <v>1155</v>
      </c>
      <c r="W68" s="183">
        <f t="shared" si="18"/>
        <v>-30</v>
      </c>
      <c r="X68" s="184">
        <v>1665</v>
      </c>
      <c r="Y68" s="184" t="s">
        <v>734</v>
      </c>
      <c r="Z68" s="185">
        <f t="shared" si="19"/>
        <v>2.5316455696202535E-2</v>
      </c>
      <c r="AA68" s="162" t="s">
        <v>615</v>
      </c>
      <c r="AB68" s="159"/>
      <c r="AC68" s="159"/>
      <c r="AD68" s="159"/>
      <c r="AE68" s="159"/>
      <c r="AF68" s="159"/>
    </row>
    <row r="69" spans="1:32" s="163" customFormat="1" ht="96.75" customHeight="1">
      <c r="A69" s="161"/>
      <c r="B69" s="21">
        <v>46204</v>
      </c>
      <c r="C69" s="21">
        <v>46216</v>
      </c>
      <c r="D69" s="23">
        <v>46217</v>
      </c>
      <c r="E69" s="23">
        <v>46228</v>
      </c>
      <c r="F69" s="24" t="s">
        <v>23</v>
      </c>
      <c r="G69" s="25" t="s">
        <v>105</v>
      </c>
      <c r="H69" s="24" t="s">
        <v>31</v>
      </c>
      <c r="I69" s="161"/>
      <c r="J69" s="26" t="s">
        <v>34</v>
      </c>
      <c r="K69" s="33">
        <v>47703</v>
      </c>
      <c r="L69" s="24">
        <v>200</v>
      </c>
      <c r="M69" s="24" t="s">
        <v>19</v>
      </c>
      <c r="N69" s="37" t="s">
        <v>456</v>
      </c>
      <c r="O69" s="26" t="s">
        <v>455</v>
      </c>
      <c r="P69" s="24">
        <v>2052</v>
      </c>
      <c r="Q69" s="25">
        <f t="shared" si="16"/>
        <v>-1</v>
      </c>
      <c r="R69" s="182">
        <f>665+746+642</f>
        <v>2053</v>
      </c>
      <c r="S69" s="183">
        <f t="shared" si="17"/>
        <v>-1</v>
      </c>
      <c r="T69" s="184" t="s">
        <v>643</v>
      </c>
      <c r="U69" s="184" t="s">
        <v>644</v>
      </c>
      <c r="V69" s="183">
        <f>63+650+684+112+423+116+19</f>
        <v>2067</v>
      </c>
      <c r="W69" s="183">
        <f t="shared" si="18"/>
        <v>15</v>
      </c>
      <c r="X69" s="184" t="s">
        <v>803</v>
      </c>
      <c r="Y69" s="184" t="s">
        <v>804</v>
      </c>
      <c r="Z69" s="185">
        <f t="shared" si="19"/>
        <v>-7.3099415204678367E-3</v>
      </c>
      <c r="AA69" s="162" t="s">
        <v>617</v>
      </c>
      <c r="AB69" s="159"/>
      <c r="AC69" s="159"/>
      <c r="AD69" s="159"/>
      <c r="AE69" s="159"/>
      <c r="AF69" s="159"/>
    </row>
    <row r="70" spans="1:32" s="163" customFormat="1" ht="109.5" customHeight="1">
      <c r="A70" s="161"/>
      <c r="B70" s="21">
        <v>46204</v>
      </c>
      <c r="C70" s="21">
        <v>46216</v>
      </c>
      <c r="D70" s="23">
        <v>46217</v>
      </c>
      <c r="E70" s="23">
        <v>46228</v>
      </c>
      <c r="F70" s="24" t="s">
        <v>23</v>
      </c>
      <c r="G70" s="25" t="s">
        <v>105</v>
      </c>
      <c r="H70" s="24" t="s">
        <v>31</v>
      </c>
      <c r="I70" s="161"/>
      <c r="J70" s="26" t="s">
        <v>34</v>
      </c>
      <c r="K70" s="33">
        <v>47703</v>
      </c>
      <c r="L70" s="24">
        <v>200</v>
      </c>
      <c r="M70" s="24" t="s">
        <v>19</v>
      </c>
      <c r="N70" s="37" t="s">
        <v>113</v>
      </c>
      <c r="O70" s="26" t="s">
        <v>455</v>
      </c>
      <c r="P70" s="24">
        <v>1444</v>
      </c>
      <c r="Q70" s="25">
        <f t="shared" si="16"/>
        <v>-11</v>
      </c>
      <c r="R70" s="182">
        <f>743+712</f>
        <v>1455</v>
      </c>
      <c r="S70" s="183">
        <f t="shared" si="17"/>
        <v>-11</v>
      </c>
      <c r="T70" s="184">
        <v>4737</v>
      </c>
      <c r="U70" s="184" t="s">
        <v>462</v>
      </c>
      <c r="V70" s="183">
        <f>484+212+521+140+55</f>
        <v>1412</v>
      </c>
      <c r="W70" s="183">
        <f t="shared" si="18"/>
        <v>-32</v>
      </c>
      <c r="X70" s="184" t="s">
        <v>809</v>
      </c>
      <c r="Y70" s="184" t="s">
        <v>810</v>
      </c>
      <c r="Z70" s="185">
        <f t="shared" si="19"/>
        <v>2.2160664819944598E-2</v>
      </c>
      <c r="AA70" s="162" t="s">
        <v>616</v>
      </c>
      <c r="AB70" s="159"/>
      <c r="AC70" s="159"/>
      <c r="AD70" s="159"/>
      <c r="AE70" s="159"/>
      <c r="AF70" s="159"/>
    </row>
    <row r="71" spans="1:32" s="163" customFormat="1" ht="72.75" customHeight="1">
      <c r="A71" s="161"/>
      <c r="B71" s="21">
        <v>46204</v>
      </c>
      <c r="C71" s="21">
        <v>46216</v>
      </c>
      <c r="D71" s="23">
        <v>46217</v>
      </c>
      <c r="E71" s="23">
        <v>46228</v>
      </c>
      <c r="F71" s="24" t="s">
        <v>23</v>
      </c>
      <c r="G71" s="25" t="s">
        <v>105</v>
      </c>
      <c r="H71" s="24" t="s">
        <v>31</v>
      </c>
      <c r="I71" s="161"/>
      <c r="J71" s="26" t="s">
        <v>34</v>
      </c>
      <c r="K71" s="33">
        <v>47701</v>
      </c>
      <c r="L71" s="24">
        <v>200</v>
      </c>
      <c r="M71" s="24" t="s">
        <v>19</v>
      </c>
      <c r="N71" s="37" t="s">
        <v>113</v>
      </c>
      <c r="O71" s="26" t="s">
        <v>455</v>
      </c>
      <c r="P71" s="24">
        <v>751</v>
      </c>
      <c r="Q71" s="25">
        <f t="shared" si="16"/>
        <v>-9</v>
      </c>
      <c r="R71" s="182">
        <f>688+72</f>
        <v>760</v>
      </c>
      <c r="S71" s="183">
        <f t="shared" si="17"/>
        <v>-9</v>
      </c>
      <c r="T71" s="184" t="s">
        <v>636</v>
      </c>
      <c r="U71" s="184" t="s">
        <v>637</v>
      </c>
      <c r="V71" s="183">
        <f>582+190</f>
        <v>772</v>
      </c>
      <c r="W71" s="183">
        <f t="shared" si="18"/>
        <v>21</v>
      </c>
      <c r="X71" s="184" t="s">
        <v>805</v>
      </c>
      <c r="Y71" s="184" t="s">
        <v>806</v>
      </c>
      <c r="Z71" s="185">
        <f t="shared" si="19"/>
        <v>-2.7962716378162451E-2</v>
      </c>
      <c r="AA71" s="162" t="s">
        <v>623</v>
      </c>
      <c r="AB71" s="159"/>
      <c r="AC71" s="159"/>
      <c r="AD71" s="159"/>
      <c r="AE71" s="159"/>
      <c r="AF71" s="159"/>
    </row>
    <row r="72" spans="1:32" s="163" customFormat="1" ht="73.5" customHeight="1">
      <c r="A72" s="161"/>
      <c r="B72" s="21">
        <v>46204</v>
      </c>
      <c r="C72" s="21">
        <v>46216</v>
      </c>
      <c r="D72" s="23">
        <v>46217</v>
      </c>
      <c r="E72" s="23">
        <v>46228</v>
      </c>
      <c r="F72" s="24" t="s">
        <v>23</v>
      </c>
      <c r="G72" s="25" t="s">
        <v>105</v>
      </c>
      <c r="H72" s="24" t="s">
        <v>31</v>
      </c>
      <c r="I72" s="161"/>
      <c r="J72" s="26" t="s">
        <v>34</v>
      </c>
      <c r="K72" s="33">
        <v>47701</v>
      </c>
      <c r="L72" s="24">
        <v>200</v>
      </c>
      <c r="M72" s="24" t="s">
        <v>19</v>
      </c>
      <c r="N72" s="37" t="s">
        <v>456</v>
      </c>
      <c r="O72" s="26" t="s">
        <v>455</v>
      </c>
      <c r="P72" s="24">
        <v>751</v>
      </c>
      <c r="Q72" s="25">
        <f t="shared" si="16"/>
        <v>0</v>
      </c>
      <c r="R72" s="182">
        <f>678+73</f>
        <v>751</v>
      </c>
      <c r="S72" s="183">
        <f t="shared" si="17"/>
        <v>0</v>
      </c>
      <c r="T72" s="184" t="s">
        <v>641</v>
      </c>
      <c r="U72" s="184" t="s">
        <v>642</v>
      </c>
      <c r="V72" s="183">
        <f>70+510+156</f>
        <v>736</v>
      </c>
      <c r="W72" s="183">
        <f t="shared" si="18"/>
        <v>-15</v>
      </c>
      <c r="X72" s="184" t="s">
        <v>758</v>
      </c>
      <c r="Y72" s="184" t="s">
        <v>759</v>
      </c>
      <c r="Z72" s="185">
        <f t="shared" si="19"/>
        <v>1.9973368841544607E-2</v>
      </c>
      <c r="AA72" s="162" t="s">
        <v>614</v>
      </c>
      <c r="AB72" s="159"/>
      <c r="AC72" s="159"/>
      <c r="AD72" s="159"/>
      <c r="AE72" s="159"/>
      <c r="AF72" s="159"/>
    </row>
    <row r="73" spans="1:32" s="163" customFormat="1" ht="109.5" customHeight="1">
      <c r="A73" s="161"/>
      <c r="B73" s="21">
        <v>46204</v>
      </c>
      <c r="C73" s="21">
        <v>46216</v>
      </c>
      <c r="D73" s="23">
        <v>46217</v>
      </c>
      <c r="E73" s="23">
        <v>46227</v>
      </c>
      <c r="F73" s="24" t="s">
        <v>23</v>
      </c>
      <c r="G73" s="25" t="s">
        <v>105</v>
      </c>
      <c r="H73" s="24" t="s">
        <v>31</v>
      </c>
      <c r="I73" s="161"/>
      <c r="J73" s="26" t="s">
        <v>34</v>
      </c>
      <c r="K73" s="33">
        <v>47633</v>
      </c>
      <c r="L73" s="24">
        <v>160</v>
      </c>
      <c r="M73" s="24" t="s">
        <v>67</v>
      </c>
      <c r="N73" s="37" t="s">
        <v>174</v>
      </c>
      <c r="O73" s="26" t="s">
        <v>20</v>
      </c>
      <c r="P73" s="24">
        <v>1190</v>
      </c>
      <c r="Q73" s="25">
        <f t="shared" si="16"/>
        <v>-5</v>
      </c>
      <c r="R73" s="182">
        <f>232+655+21+287</f>
        <v>1195</v>
      </c>
      <c r="S73" s="183">
        <f t="shared" si="17"/>
        <v>-5</v>
      </c>
      <c r="T73" s="184" t="s">
        <v>779</v>
      </c>
      <c r="U73" s="184" t="s">
        <v>780</v>
      </c>
      <c r="V73" s="183">
        <f>234+641+22+280</f>
        <v>1177</v>
      </c>
      <c r="W73" s="183">
        <f t="shared" si="18"/>
        <v>-13</v>
      </c>
      <c r="X73" s="184" t="s">
        <v>829</v>
      </c>
      <c r="Y73" s="184" t="s">
        <v>830</v>
      </c>
      <c r="Z73" s="185">
        <f t="shared" si="19"/>
        <v>1.0924369747899159E-2</v>
      </c>
      <c r="AA73" s="162" t="s">
        <v>620</v>
      </c>
      <c r="AB73" s="159"/>
      <c r="AC73" s="159"/>
      <c r="AD73" s="159"/>
      <c r="AE73" s="159"/>
      <c r="AF73" s="159"/>
    </row>
    <row r="74" spans="1:32" s="163" customFormat="1" ht="88.5" customHeight="1">
      <c r="A74" s="161"/>
      <c r="B74" s="21">
        <v>46204</v>
      </c>
      <c r="C74" s="21">
        <v>46216</v>
      </c>
      <c r="D74" s="23">
        <v>46217</v>
      </c>
      <c r="E74" s="23">
        <v>46227</v>
      </c>
      <c r="F74" s="26" t="s">
        <v>121</v>
      </c>
      <c r="G74" s="25" t="s">
        <v>105</v>
      </c>
      <c r="H74" s="24" t="s">
        <v>31</v>
      </c>
      <c r="I74" s="161"/>
      <c r="J74" s="26" t="s">
        <v>34</v>
      </c>
      <c r="K74" s="33">
        <v>47633</v>
      </c>
      <c r="L74" s="24">
        <v>160</v>
      </c>
      <c r="M74" s="24" t="s">
        <v>67</v>
      </c>
      <c r="N74" s="37" t="s">
        <v>457</v>
      </c>
      <c r="O74" s="26" t="s">
        <v>20</v>
      </c>
      <c r="P74" s="24">
        <v>1190</v>
      </c>
      <c r="Q74" s="25">
        <f t="shared" si="16"/>
        <v>-2</v>
      </c>
      <c r="R74" s="182">
        <f>591+601</f>
        <v>1192</v>
      </c>
      <c r="S74" s="183">
        <f t="shared" si="17"/>
        <v>-2</v>
      </c>
      <c r="T74" s="184">
        <v>377</v>
      </c>
      <c r="U74" s="184" t="s">
        <v>733</v>
      </c>
      <c r="V74" s="183">
        <f>583+600</f>
        <v>1183</v>
      </c>
      <c r="W74" s="183">
        <f t="shared" si="18"/>
        <v>-7</v>
      </c>
      <c r="X74" s="184" t="s">
        <v>787</v>
      </c>
      <c r="Y74" s="184" t="s">
        <v>788</v>
      </c>
      <c r="Z74" s="185">
        <f t="shared" si="19"/>
        <v>5.8823529411764705E-3</v>
      </c>
      <c r="AA74" s="162" t="s">
        <v>963</v>
      </c>
      <c r="AB74" s="159"/>
      <c r="AC74" s="159"/>
      <c r="AD74" s="159"/>
      <c r="AE74" s="159"/>
      <c r="AF74" s="159"/>
    </row>
    <row r="75" spans="1:32" s="163" customFormat="1" ht="117.75" customHeight="1">
      <c r="A75" s="161"/>
      <c r="B75" s="21">
        <v>46204</v>
      </c>
      <c r="C75" s="21">
        <v>46216</v>
      </c>
      <c r="D75" s="23">
        <v>46217</v>
      </c>
      <c r="E75" s="23">
        <v>46224</v>
      </c>
      <c r="F75" s="26" t="s">
        <v>50</v>
      </c>
      <c r="G75" s="25" t="s">
        <v>105</v>
      </c>
      <c r="H75" s="24" t="s">
        <v>31</v>
      </c>
      <c r="I75" s="161"/>
      <c r="J75" s="26" t="s">
        <v>34</v>
      </c>
      <c r="K75" s="33">
        <v>47632</v>
      </c>
      <c r="L75" s="24">
        <v>160</v>
      </c>
      <c r="M75" s="24" t="s">
        <v>67</v>
      </c>
      <c r="N75" s="37" t="s">
        <v>124</v>
      </c>
      <c r="O75" s="26" t="s">
        <v>20</v>
      </c>
      <c r="P75" s="24">
        <v>1255</v>
      </c>
      <c r="Q75" s="25">
        <f t="shared" si="16"/>
        <v>-2</v>
      </c>
      <c r="R75" s="182">
        <f>351+880+26</f>
        <v>1257</v>
      </c>
      <c r="S75" s="183">
        <f t="shared" si="17"/>
        <v>-2</v>
      </c>
      <c r="T75" s="184" t="s">
        <v>819</v>
      </c>
      <c r="U75" s="184" t="s">
        <v>820</v>
      </c>
      <c r="V75" s="183">
        <f>582+355+281+25</f>
        <v>1243</v>
      </c>
      <c r="W75" s="183">
        <f t="shared" si="18"/>
        <v>-12</v>
      </c>
      <c r="X75" s="184" t="s">
        <v>850</v>
      </c>
      <c r="Y75" s="184" t="s">
        <v>851</v>
      </c>
      <c r="Z75" s="185">
        <f t="shared" si="19"/>
        <v>9.56175298804781E-3</v>
      </c>
      <c r="AA75" s="162" t="s">
        <v>821</v>
      </c>
      <c r="AB75" s="159"/>
      <c r="AC75" s="159"/>
      <c r="AD75" s="159"/>
      <c r="AE75" s="159"/>
      <c r="AF75" s="159"/>
    </row>
    <row r="76" spans="1:32" s="163" customFormat="1" ht="87" customHeight="1">
      <c r="A76" s="161"/>
      <c r="B76" s="21">
        <v>46204</v>
      </c>
      <c r="C76" s="21">
        <v>46216</v>
      </c>
      <c r="D76" s="23">
        <v>46217</v>
      </c>
      <c r="E76" s="23">
        <v>46224</v>
      </c>
      <c r="F76" s="26" t="s">
        <v>23</v>
      </c>
      <c r="G76" s="25" t="s">
        <v>105</v>
      </c>
      <c r="H76" s="24" t="s">
        <v>31</v>
      </c>
      <c r="I76" s="161"/>
      <c r="J76" s="26" t="s">
        <v>34</v>
      </c>
      <c r="K76" s="33">
        <v>47632</v>
      </c>
      <c r="L76" s="24">
        <v>160</v>
      </c>
      <c r="M76" s="24" t="s">
        <v>67</v>
      </c>
      <c r="N76" s="37" t="s">
        <v>174</v>
      </c>
      <c r="O76" s="26" t="s">
        <v>20</v>
      </c>
      <c r="P76" s="24">
        <v>1255</v>
      </c>
      <c r="Q76" s="25">
        <f t="shared" si="16"/>
        <v>-6</v>
      </c>
      <c r="R76" s="182">
        <f>501+760</f>
        <v>1261</v>
      </c>
      <c r="S76" s="183">
        <f t="shared" si="17"/>
        <v>-6</v>
      </c>
      <c r="T76" s="184" t="s">
        <v>479</v>
      </c>
      <c r="U76" s="184" t="s">
        <v>480</v>
      </c>
      <c r="V76" s="183">
        <f>471+730</f>
        <v>1201</v>
      </c>
      <c r="W76" s="186">
        <f t="shared" si="18"/>
        <v>-54</v>
      </c>
      <c r="X76" s="184" t="s">
        <v>774</v>
      </c>
      <c r="Y76" s="184" t="s">
        <v>773</v>
      </c>
      <c r="Z76" s="187">
        <f t="shared" si="19"/>
        <v>4.3027888446215135E-2</v>
      </c>
      <c r="AA76" s="162" t="s">
        <v>619</v>
      </c>
      <c r="AB76" s="159"/>
      <c r="AC76" s="159"/>
      <c r="AD76" s="159"/>
      <c r="AE76" s="159"/>
      <c r="AF76" s="159"/>
    </row>
    <row r="77" spans="1:32" s="163" customFormat="1" ht="93" customHeight="1">
      <c r="A77" s="161"/>
      <c r="B77" s="21">
        <v>46204</v>
      </c>
      <c r="C77" s="21">
        <v>46216</v>
      </c>
      <c r="D77" s="23">
        <v>46217</v>
      </c>
      <c r="E77" s="23">
        <v>46224</v>
      </c>
      <c r="F77" s="26" t="s">
        <v>121</v>
      </c>
      <c r="G77" s="25" t="s">
        <v>105</v>
      </c>
      <c r="H77" s="24" t="s">
        <v>31</v>
      </c>
      <c r="I77" s="161"/>
      <c r="J77" s="26" t="s">
        <v>34</v>
      </c>
      <c r="K77" s="33">
        <v>47631</v>
      </c>
      <c r="L77" s="24">
        <v>160</v>
      </c>
      <c r="M77" s="24" t="s">
        <v>67</v>
      </c>
      <c r="N77" s="37" t="s">
        <v>457</v>
      </c>
      <c r="O77" s="26" t="s">
        <v>20</v>
      </c>
      <c r="P77" s="24">
        <v>607</v>
      </c>
      <c r="Q77" s="25">
        <f t="shared" si="16"/>
        <v>-5</v>
      </c>
      <c r="R77" s="182">
        <v>612</v>
      </c>
      <c r="S77" s="183">
        <f t="shared" si="17"/>
        <v>-5</v>
      </c>
      <c r="T77" s="184">
        <v>377</v>
      </c>
      <c r="U77" s="184" t="s">
        <v>733</v>
      </c>
      <c r="V77" s="183">
        <f>593</f>
        <v>593</v>
      </c>
      <c r="W77" s="183">
        <f t="shared" si="18"/>
        <v>-14</v>
      </c>
      <c r="X77" s="184">
        <v>1753</v>
      </c>
      <c r="Y77" s="184" t="s">
        <v>786</v>
      </c>
      <c r="Z77" s="185">
        <f t="shared" si="19"/>
        <v>2.3064250411861616E-2</v>
      </c>
      <c r="AA77" s="162" t="s">
        <v>940</v>
      </c>
      <c r="AB77" s="159"/>
      <c r="AC77" s="159"/>
      <c r="AD77" s="159"/>
      <c r="AE77" s="159"/>
      <c r="AF77" s="159"/>
    </row>
    <row r="78" spans="1:32" s="163" customFormat="1" ht="143.25" customHeight="1">
      <c r="A78" s="161"/>
      <c r="B78" s="21">
        <v>46204</v>
      </c>
      <c r="C78" s="21">
        <v>46216</v>
      </c>
      <c r="D78" s="23">
        <v>46217</v>
      </c>
      <c r="E78" s="23">
        <v>46224</v>
      </c>
      <c r="F78" s="26" t="s">
        <v>50</v>
      </c>
      <c r="G78" s="25" t="s">
        <v>105</v>
      </c>
      <c r="H78" s="24" t="s">
        <v>31</v>
      </c>
      <c r="I78" s="161"/>
      <c r="J78" s="26" t="s">
        <v>34</v>
      </c>
      <c r="K78" s="33">
        <v>47631</v>
      </c>
      <c r="L78" s="24">
        <v>160</v>
      </c>
      <c r="M78" s="24" t="s">
        <v>67</v>
      </c>
      <c r="N78" s="37" t="s">
        <v>124</v>
      </c>
      <c r="O78" s="26" t="s">
        <v>20</v>
      </c>
      <c r="P78" s="24">
        <v>607</v>
      </c>
      <c r="Q78" s="25">
        <f t="shared" si="16"/>
        <v>-3</v>
      </c>
      <c r="R78" s="182">
        <f>578+32</f>
        <v>610</v>
      </c>
      <c r="S78" s="183">
        <f t="shared" si="17"/>
        <v>-3</v>
      </c>
      <c r="T78" s="184" t="s">
        <v>817</v>
      </c>
      <c r="U78" s="184" t="s">
        <v>818</v>
      </c>
      <c r="V78" s="183">
        <f>566+31</f>
        <v>597</v>
      </c>
      <c r="W78" s="186">
        <f t="shared" si="18"/>
        <v>-10</v>
      </c>
      <c r="X78" s="184" t="s">
        <v>852</v>
      </c>
      <c r="Y78" s="184" t="s">
        <v>853</v>
      </c>
      <c r="Z78" s="187">
        <f t="shared" si="19"/>
        <v>1.6474464579901153E-2</v>
      </c>
      <c r="AA78" s="162" t="s">
        <v>986</v>
      </c>
      <c r="AB78" s="159"/>
      <c r="AC78" s="159"/>
      <c r="AD78" s="159"/>
      <c r="AE78" s="159"/>
      <c r="AF78" s="159"/>
    </row>
    <row r="79" spans="1:32" s="163" customFormat="1" ht="54.75" customHeight="1">
      <c r="A79" s="161"/>
      <c r="B79" s="21"/>
      <c r="C79" s="21"/>
      <c r="D79" s="21"/>
      <c r="E79" s="21"/>
      <c r="F79" s="25"/>
      <c r="G79" s="25"/>
      <c r="H79" s="25"/>
      <c r="I79" s="161"/>
      <c r="J79" s="162"/>
      <c r="K79" s="162"/>
      <c r="L79" s="45"/>
      <c r="M79" s="45"/>
      <c r="N79" s="45"/>
      <c r="O79" s="45"/>
      <c r="P79" s="45">
        <v>0</v>
      </c>
      <c r="Q79" s="25">
        <f t="shared" si="16"/>
        <v>0</v>
      </c>
      <c r="R79" s="182">
        <v>0</v>
      </c>
      <c r="S79" s="183">
        <f t="shared" si="17"/>
        <v>0</v>
      </c>
      <c r="T79" s="184"/>
      <c r="U79" s="184"/>
      <c r="V79" s="183">
        <v>0</v>
      </c>
      <c r="W79" s="183">
        <f t="shared" si="18"/>
        <v>0</v>
      </c>
      <c r="X79" s="184"/>
      <c r="Y79" s="184"/>
      <c r="Z79" s="185"/>
      <c r="AA79" s="162"/>
      <c r="AB79" s="159"/>
      <c r="AC79" s="159"/>
      <c r="AD79" s="159"/>
      <c r="AE79" s="159"/>
      <c r="AF79" s="159"/>
    </row>
    <row r="80" spans="1:32" s="163" customFormat="1" ht="54.75" hidden="1" customHeight="1">
      <c r="A80" s="161"/>
      <c r="B80" s="21"/>
      <c r="C80" s="21"/>
      <c r="D80" s="21"/>
      <c r="E80" s="21"/>
      <c r="F80" s="25"/>
      <c r="G80" s="25"/>
      <c r="H80" s="25"/>
      <c r="I80" s="161"/>
      <c r="J80" s="162"/>
      <c r="K80" s="162"/>
      <c r="L80" s="45"/>
      <c r="M80" s="45"/>
      <c r="N80" s="45"/>
      <c r="O80" s="45"/>
      <c r="P80" s="45">
        <v>0</v>
      </c>
      <c r="Q80" s="25">
        <f t="shared" si="16"/>
        <v>0</v>
      </c>
      <c r="R80" s="182">
        <v>0</v>
      </c>
      <c r="S80" s="183">
        <f t="shared" si="17"/>
        <v>0</v>
      </c>
      <c r="T80" s="184"/>
      <c r="U80" s="184"/>
      <c r="V80" s="183">
        <v>0</v>
      </c>
      <c r="W80" s="183">
        <f t="shared" si="18"/>
        <v>0</v>
      </c>
      <c r="X80" s="184"/>
      <c r="Y80" s="184"/>
      <c r="Z80" s="185" t="e">
        <f t="shared" si="19"/>
        <v>#DIV/0!</v>
      </c>
      <c r="AA80" s="162"/>
      <c r="AB80" s="159"/>
      <c r="AC80" s="159"/>
      <c r="AD80" s="159"/>
      <c r="AE80" s="159"/>
      <c r="AF80" s="159"/>
    </row>
    <row r="81" spans="1:32" s="163" customFormat="1" ht="54.75" hidden="1" customHeight="1">
      <c r="A81" s="161"/>
      <c r="B81" s="21"/>
      <c r="C81" s="21"/>
      <c r="D81" s="21"/>
      <c r="E81" s="21"/>
      <c r="F81" s="25"/>
      <c r="G81" s="25"/>
      <c r="H81" s="25"/>
      <c r="I81" s="161"/>
      <c r="J81" s="162"/>
      <c r="K81" s="162"/>
      <c r="L81" s="45"/>
      <c r="M81" s="45"/>
      <c r="N81" s="45"/>
      <c r="O81" s="45"/>
      <c r="P81" s="45">
        <v>0</v>
      </c>
      <c r="Q81" s="25">
        <f t="shared" si="16"/>
        <v>0</v>
      </c>
      <c r="R81" s="182">
        <v>0</v>
      </c>
      <c r="S81" s="183">
        <f t="shared" si="17"/>
        <v>0</v>
      </c>
      <c r="T81" s="184"/>
      <c r="U81" s="184"/>
      <c r="V81" s="183">
        <v>0</v>
      </c>
      <c r="W81" s="183">
        <f t="shared" si="18"/>
        <v>0</v>
      </c>
      <c r="X81" s="184"/>
      <c r="Y81" s="184"/>
      <c r="Z81" s="185" t="e">
        <f t="shared" si="19"/>
        <v>#DIV/0!</v>
      </c>
      <c r="AA81" s="162"/>
      <c r="AB81" s="159"/>
      <c r="AC81" s="159"/>
      <c r="AD81" s="159"/>
      <c r="AE81" s="159"/>
      <c r="AF81" s="159"/>
    </row>
    <row r="82" spans="1:32" s="163" customFormat="1" ht="54.75" hidden="1" customHeight="1">
      <c r="A82" s="161"/>
      <c r="B82" s="21"/>
      <c r="C82" s="21"/>
      <c r="D82" s="21"/>
      <c r="E82" s="21"/>
      <c r="F82" s="25"/>
      <c r="G82" s="25"/>
      <c r="H82" s="25"/>
      <c r="I82" s="161"/>
      <c r="J82" s="162"/>
      <c r="K82" s="162"/>
      <c r="L82" s="45"/>
      <c r="M82" s="45"/>
      <c r="N82" s="45"/>
      <c r="O82" s="45"/>
      <c r="P82" s="45">
        <v>0</v>
      </c>
      <c r="Q82" s="25">
        <f t="shared" si="16"/>
        <v>0</v>
      </c>
      <c r="R82" s="182">
        <v>0</v>
      </c>
      <c r="S82" s="183">
        <f t="shared" si="17"/>
        <v>0</v>
      </c>
      <c r="T82" s="184"/>
      <c r="U82" s="184"/>
      <c r="V82" s="183">
        <v>0</v>
      </c>
      <c r="W82" s="183">
        <f t="shared" si="18"/>
        <v>0</v>
      </c>
      <c r="X82" s="184"/>
      <c r="Y82" s="184"/>
      <c r="Z82" s="185" t="e">
        <f t="shared" si="19"/>
        <v>#DIV/0!</v>
      </c>
      <c r="AA82" s="162"/>
      <c r="AB82" s="159"/>
      <c r="AC82" s="159"/>
      <c r="AD82" s="159"/>
      <c r="AE82" s="159"/>
      <c r="AF82" s="159"/>
    </row>
    <row r="83" spans="1:32" s="163" customFormat="1" ht="54.75" hidden="1" customHeight="1">
      <c r="A83" s="161"/>
      <c r="B83" s="21"/>
      <c r="C83" s="21"/>
      <c r="D83" s="21"/>
      <c r="E83" s="21"/>
      <c r="F83" s="25"/>
      <c r="G83" s="25"/>
      <c r="H83" s="25"/>
      <c r="I83" s="161"/>
      <c r="J83" s="162"/>
      <c r="K83" s="162"/>
      <c r="L83" s="45"/>
      <c r="M83" s="45"/>
      <c r="N83" s="45"/>
      <c r="O83" s="45"/>
      <c r="P83" s="45">
        <v>0</v>
      </c>
      <c r="Q83" s="25">
        <f t="shared" si="16"/>
        <v>0</v>
      </c>
      <c r="R83" s="182">
        <v>0</v>
      </c>
      <c r="S83" s="183">
        <f t="shared" si="17"/>
        <v>0</v>
      </c>
      <c r="T83" s="184"/>
      <c r="U83" s="184"/>
      <c r="V83" s="183">
        <v>0</v>
      </c>
      <c r="W83" s="183">
        <f t="shared" si="18"/>
        <v>0</v>
      </c>
      <c r="X83" s="184"/>
      <c r="Y83" s="184"/>
      <c r="Z83" s="185" t="e">
        <f t="shared" si="19"/>
        <v>#DIV/0!</v>
      </c>
      <c r="AA83" s="162"/>
      <c r="AB83" s="159"/>
      <c r="AC83" s="159"/>
      <c r="AD83" s="159"/>
      <c r="AE83" s="159"/>
      <c r="AF83" s="159"/>
    </row>
    <row r="84" spans="1:32" s="163" customFormat="1" ht="54.75" hidden="1" customHeight="1">
      <c r="A84" s="161"/>
      <c r="B84" s="21"/>
      <c r="C84" s="21"/>
      <c r="D84" s="21"/>
      <c r="E84" s="21"/>
      <c r="F84" s="25"/>
      <c r="G84" s="25"/>
      <c r="H84" s="25"/>
      <c r="I84" s="161"/>
      <c r="J84" s="162"/>
      <c r="K84" s="162"/>
      <c r="L84" s="45"/>
      <c r="M84" s="45"/>
      <c r="N84" s="45"/>
      <c r="O84" s="45"/>
      <c r="P84" s="45">
        <v>0</v>
      </c>
      <c r="Q84" s="25">
        <f t="shared" si="16"/>
        <v>0</v>
      </c>
      <c r="R84" s="182">
        <v>0</v>
      </c>
      <c r="S84" s="183">
        <f t="shared" si="17"/>
        <v>0</v>
      </c>
      <c r="T84" s="184"/>
      <c r="U84" s="184"/>
      <c r="V84" s="183">
        <v>0</v>
      </c>
      <c r="W84" s="183">
        <f t="shared" si="18"/>
        <v>0</v>
      </c>
      <c r="X84" s="184"/>
      <c r="Y84" s="184"/>
      <c r="Z84" s="185" t="e">
        <f t="shared" si="19"/>
        <v>#DIV/0!</v>
      </c>
      <c r="AA84" s="162"/>
      <c r="AB84" s="159"/>
      <c r="AC84" s="159"/>
      <c r="AD84" s="159"/>
      <c r="AE84" s="159"/>
      <c r="AF84" s="159"/>
    </row>
    <row r="85" spans="1:32" s="163" customFormat="1" ht="54.75" hidden="1" customHeight="1">
      <c r="A85" s="161"/>
      <c r="B85" s="21"/>
      <c r="C85" s="21"/>
      <c r="D85" s="21"/>
      <c r="E85" s="21"/>
      <c r="F85" s="25"/>
      <c r="G85" s="25"/>
      <c r="H85" s="25"/>
      <c r="I85" s="161"/>
      <c r="J85" s="162"/>
      <c r="K85" s="162"/>
      <c r="L85" s="45"/>
      <c r="M85" s="45"/>
      <c r="N85" s="45"/>
      <c r="O85" s="45"/>
      <c r="P85" s="45">
        <v>0</v>
      </c>
      <c r="Q85" s="25">
        <f t="shared" si="16"/>
        <v>0</v>
      </c>
      <c r="R85" s="182">
        <v>0</v>
      </c>
      <c r="S85" s="183">
        <f t="shared" si="17"/>
        <v>0</v>
      </c>
      <c r="T85" s="184"/>
      <c r="U85" s="184"/>
      <c r="V85" s="183">
        <v>0</v>
      </c>
      <c r="W85" s="183">
        <f t="shared" si="18"/>
        <v>0</v>
      </c>
      <c r="X85" s="184"/>
      <c r="Y85" s="184"/>
      <c r="Z85" s="185" t="e">
        <f t="shared" si="19"/>
        <v>#DIV/0!</v>
      </c>
      <c r="AA85" s="162"/>
      <c r="AB85" s="159"/>
      <c r="AC85" s="159"/>
      <c r="AD85" s="159"/>
      <c r="AE85" s="159"/>
      <c r="AF85" s="159"/>
    </row>
    <row r="86" spans="1:32" s="163" customFormat="1" ht="54.75" hidden="1" customHeight="1">
      <c r="A86" s="161"/>
      <c r="B86" s="21"/>
      <c r="C86" s="21"/>
      <c r="D86" s="21"/>
      <c r="E86" s="21"/>
      <c r="F86" s="25"/>
      <c r="G86" s="25"/>
      <c r="H86" s="25"/>
      <c r="I86" s="161"/>
      <c r="J86" s="162"/>
      <c r="K86" s="162"/>
      <c r="L86" s="45"/>
      <c r="M86" s="45"/>
      <c r="N86" s="45"/>
      <c r="O86" s="45"/>
      <c r="P86" s="45">
        <v>0</v>
      </c>
      <c r="Q86" s="25">
        <f t="shared" si="16"/>
        <v>0</v>
      </c>
      <c r="R86" s="182">
        <v>0</v>
      </c>
      <c r="S86" s="183">
        <f t="shared" si="17"/>
        <v>0</v>
      </c>
      <c r="T86" s="184"/>
      <c r="U86" s="184"/>
      <c r="V86" s="183">
        <v>0</v>
      </c>
      <c r="W86" s="183">
        <f t="shared" si="18"/>
        <v>0</v>
      </c>
      <c r="X86" s="184"/>
      <c r="Y86" s="184"/>
      <c r="Z86" s="185" t="e">
        <f t="shared" si="19"/>
        <v>#DIV/0!</v>
      </c>
      <c r="AA86" s="162"/>
      <c r="AB86" s="159"/>
      <c r="AC86" s="159"/>
      <c r="AD86" s="159"/>
      <c r="AE86" s="159"/>
      <c r="AF86" s="159"/>
    </row>
    <row r="87" spans="1:32" s="163" customFormat="1" ht="54.75" hidden="1" customHeight="1">
      <c r="A87" s="161"/>
      <c r="B87" s="21"/>
      <c r="C87" s="21"/>
      <c r="D87" s="21"/>
      <c r="E87" s="21"/>
      <c r="F87" s="25"/>
      <c r="G87" s="25"/>
      <c r="H87" s="25"/>
      <c r="I87" s="161"/>
      <c r="J87" s="162"/>
      <c r="K87" s="162"/>
      <c r="L87" s="45"/>
      <c r="M87" s="45"/>
      <c r="N87" s="45"/>
      <c r="O87" s="45"/>
      <c r="P87" s="45">
        <v>0</v>
      </c>
      <c r="Q87" s="25">
        <f t="shared" si="16"/>
        <v>0</v>
      </c>
      <c r="R87" s="182">
        <v>0</v>
      </c>
      <c r="S87" s="183">
        <f t="shared" si="17"/>
        <v>0</v>
      </c>
      <c r="T87" s="184"/>
      <c r="U87" s="184"/>
      <c r="V87" s="183">
        <v>0</v>
      </c>
      <c r="W87" s="183">
        <f t="shared" si="18"/>
        <v>0</v>
      </c>
      <c r="X87" s="184"/>
      <c r="Y87" s="184"/>
      <c r="Z87" s="185" t="e">
        <f t="shared" si="19"/>
        <v>#DIV/0!</v>
      </c>
      <c r="AA87" s="162"/>
      <c r="AB87" s="159"/>
      <c r="AC87" s="159"/>
      <c r="AD87" s="159"/>
      <c r="AE87" s="159"/>
      <c r="AF87" s="159"/>
    </row>
    <row r="88" spans="1:32" s="163" customFormat="1" ht="54.75" hidden="1" customHeight="1">
      <c r="A88" s="161"/>
      <c r="B88" s="21"/>
      <c r="C88" s="21"/>
      <c r="D88" s="21"/>
      <c r="E88" s="21"/>
      <c r="F88" s="25"/>
      <c r="G88" s="25"/>
      <c r="H88" s="25"/>
      <c r="I88" s="161"/>
      <c r="J88" s="162"/>
      <c r="K88" s="162"/>
      <c r="L88" s="45"/>
      <c r="M88" s="45"/>
      <c r="N88" s="45"/>
      <c r="O88" s="45"/>
      <c r="P88" s="45">
        <v>0</v>
      </c>
      <c r="Q88" s="25">
        <f t="shared" si="16"/>
        <v>0</v>
      </c>
      <c r="R88" s="182">
        <v>0</v>
      </c>
      <c r="S88" s="183">
        <f t="shared" si="17"/>
        <v>0</v>
      </c>
      <c r="T88" s="184"/>
      <c r="U88" s="184"/>
      <c r="V88" s="183">
        <v>0</v>
      </c>
      <c r="W88" s="183">
        <f t="shared" si="18"/>
        <v>0</v>
      </c>
      <c r="X88" s="184"/>
      <c r="Y88" s="184"/>
      <c r="Z88" s="185" t="e">
        <f t="shared" si="19"/>
        <v>#DIV/0!</v>
      </c>
      <c r="AA88" s="162"/>
      <c r="AB88" s="159"/>
      <c r="AC88" s="159"/>
      <c r="AD88" s="159"/>
      <c r="AE88" s="159"/>
      <c r="AF88" s="159"/>
    </row>
    <row r="89" spans="1:32" s="163" customFormat="1" ht="54.75" hidden="1" customHeight="1">
      <c r="A89" s="161"/>
      <c r="B89" s="21"/>
      <c r="C89" s="21"/>
      <c r="D89" s="21"/>
      <c r="E89" s="21"/>
      <c r="F89" s="25"/>
      <c r="G89" s="25"/>
      <c r="H89" s="25"/>
      <c r="I89" s="161"/>
      <c r="J89" s="162"/>
      <c r="K89" s="162"/>
      <c r="L89" s="45"/>
      <c r="M89" s="45"/>
      <c r="N89" s="45"/>
      <c r="O89" s="45"/>
      <c r="P89" s="45">
        <v>0</v>
      </c>
      <c r="Q89" s="25">
        <f t="shared" si="16"/>
        <v>0</v>
      </c>
      <c r="R89" s="182">
        <v>0</v>
      </c>
      <c r="S89" s="183">
        <f t="shared" si="17"/>
        <v>0</v>
      </c>
      <c r="T89" s="184"/>
      <c r="U89" s="184"/>
      <c r="V89" s="183">
        <v>0</v>
      </c>
      <c r="W89" s="183">
        <f t="shared" si="18"/>
        <v>0</v>
      </c>
      <c r="X89" s="184"/>
      <c r="Y89" s="184"/>
      <c r="Z89" s="185" t="e">
        <f t="shared" si="19"/>
        <v>#DIV/0!</v>
      </c>
      <c r="AA89" s="162"/>
      <c r="AB89" s="159"/>
      <c r="AC89" s="159"/>
      <c r="AD89" s="159"/>
      <c r="AE89" s="159"/>
      <c r="AF89" s="159"/>
    </row>
    <row r="90" spans="1:32" s="163" customFormat="1" ht="54.75" hidden="1" customHeight="1">
      <c r="A90" s="161"/>
      <c r="B90" s="21"/>
      <c r="C90" s="21"/>
      <c r="D90" s="21"/>
      <c r="E90" s="21"/>
      <c r="F90" s="25"/>
      <c r="G90" s="25"/>
      <c r="H90" s="25"/>
      <c r="I90" s="161"/>
      <c r="J90" s="162"/>
      <c r="K90" s="162"/>
      <c r="L90" s="45"/>
      <c r="M90" s="45"/>
      <c r="N90" s="45"/>
      <c r="O90" s="45"/>
      <c r="P90" s="45">
        <v>0</v>
      </c>
      <c r="Q90" s="25">
        <f t="shared" si="16"/>
        <v>0</v>
      </c>
      <c r="R90" s="182">
        <v>0</v>
      </c>
      <c r="S90" s="183">
        <f t="shared" si="17"/>
        <v>0</v>
      </c>
      <c r="T90" s="184"/>
      <c r="U90" s="184"/>
      <c r="V90" s="183">
        <v>0</v>
      </c>
      <c r="W90" s="183">
        <f t="shared" si="18"/>
        <v>0</v>
      </c>
      <c r="X90" s="184"/>
      <c r="Y90" s="184"/>
      <c r="Z90" s="185" t="e">
        <f t="shared" si="19"/>
        <v>#DIV/0!</v>
      </c>
      <c r="AA90" s="162"/>
      <c r="AB90" s="159"/>
      <c r="AC90" s="159"/>
      <c r="AD90" s="159"/>
      <c r="AE90" s="159"/>
      <c r="AF90" s="159"/>
    </row>
    <row r="91" spans="1:32" s="159" customFormat="1" ht="27.75" customHeight="1">
      <c r="A91" s="161"/>
      <c r="B91" s="21"/>
      <c r="C91" s="21"/>
      <c r="D91" s="21"/>
      <c r="E91" s="21"/>
      <c r="F91" s="25"/>
      <c r="G91" s="25"/>
      <c r="H91" s="25"/>
      <c r="I91" s="161"/>
      <c r="J91" s="162"/>
      <c r="K91" s="162"/>
      <c r="L91" s="45"/>
      <c r="M91" s="45"/>
      <c r="N91" s="45"/>
      <c r="O91" s="45"/>
      <c r="P91" s="142">
        <f>SUM(P62:P90)</f>
        <v>23812</v>
      </c>
      <c r="Q91" s="142">
        <f t="shared" ref="Q91:S91" si="20">SUM(Q62:Q90)</f>
        <v>-170</v>
      </c>
      <c r="R91" s="142">
        <f t="shared" si="20"/>
        <v>23982</v>
      </c>
      <c r="S91" s="142">
        <f t="shared" si="20"/>
        <v>-170</v>
      </c>
      <c r="T91" s="142"/>
      <c r="U91" s="142"/>
      <c r="V91" s="142">
        <f t="shared" ref="V91:W91" si="21">SUM(V62:V90)</f>
        <v>23434</v>
      </c>
      <c r="W91" s="142">
        <f t="shared" si="21"/>
        <v>-378</v>
      </c>
      <c r="X91" s="142"/>
      <c r="Y91" s="142"/>
      <c r="Z91" s="185">
        <f t="shared" si="19"/>
        <v>1.5874349067696959E-2</v>
      </c>
      <c r="AA91" s="162"/>
    </row>
    <row r="92" spans="1:32" s="159" customFormat="1" ht="23.25" customHeight="1">
      <c r="A92" s="165"/>
      <c r="B92" s="320" t="s">
        <v>120</v>
      </c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142">
        <f>P91+P59+P32</f>
        <v>33880</v>
      </c>
      <c r="Q92" s="142">
        <f>Q91+Q59+Q32</f>
        <v>-68</v>
      </c>
      <c r="R92" s="142">
        <f>R91+R59+R32</f>
        <v>33948</v>
      </c>
      <c r="S92" s="142">
        <f>S91+S59+S32</f>
        <v>-68</v>
      </c>
      <c r="T92" s="142"/>
      <c r="U92" s="142"/>
      <c r="V92" s="142">
        <f>V91+V59+V32</f>
        <v>33290</v>
      </c>
      <c r="W92" s="142">
        <f>W91+W59+W32</f>
        <v>-590</v>
      </c>
      <c r="X92" s="142"/>
      <c r="Y92" s="142"/>
      <c r="Z92" s="185">
        <f t="shared" ref="Z92" si="22">(P92-V92)*100/P92/100</f>
        <v>1.7414403778040141E-2</v>
      </c>
      <c r="AA92" s="162"/>
    </row>
    <row r="93" spans="1:32" ht="27.75" customHeight="1">
      <c r="A93" s="154"/>
      <c r="B93" s="330" t="s">
        <v>699</v>
      </c>
      <c r="C93" s="330"/>
      <c r="D93" s="330"/>
      <c r="E93" s="330"/>
      <c r="F93" s="330"/>
      <c r="G93" s="154"/>
      <c r="H93" s="154"/>
      <c r="I93" s="154"/>
      <c r="J93" s="327"/>
      <c r="K93" s="327"/>
      <c r="L93" s="327"/>
      <c r="M93" s="327"/>
      <c r="N93" s="327"/>
    </row>
    <row r="94" spans="1:32" ht="27.75" customHeight="1">
      <c r="A94" s="154"/>
      <c r="B94" s="331" t="s">
        <v>701</v>
      </c>
      <c r="C94" s="331"/>
      <c r="D94" s="332" t="s">
        <v>724</v>
      </c>
      <c r="E94" s="332"/>
      <c r="F94" s="332"/>
      <c r="G94" s="168"/>
      <c r="H94" s="168"/>
      <c r="I94" s="168"/>
      <c r="J94" s="327"/>
      <c r="K94" s="327"/>
      <c r="L94" s="328"/>
      <c r="M94" s="328"/>
      <c r="N94" s="328"/>
    </row>
    <row r="95" spans="1:32" ht="27.75" customHeight="1">
      <c r="A95" s="169"/>
      <c r="B95" s="331" t="s">
        <v>105</v>
      </c>
      <c r="C95" s="331"/>
      <c r="D95" s="170"/>
      <c r="E95" s="333">
        <v>32099</v>
      </c>
      <c r="F95" s="334"/>
      <c r="G95" s="168"/>
      <c r="H95" s="168"/>
      <c r="I95" s="168"/>
      <c r="J95" s="329"/>
      <c r="K95" s="329"/>
      <c r="L95" s="171"/>
      <c r="M95" s="168"/>
      <c r="N95" s="168"/>
    </row>
    <row r="96" spans="1:32" ht="27.75" customHeight="1">
      <c r="A96" s="169"/>
      <c r="B96" s="331" t="s">
        <v>702</v>
      </c>
      <c r="C96" s="331"/>
      <c r="D96" s="170"/>
      <c r="E96" s="333">
        <v>1781</v>
      </c>
      <c r="F96" s="334"/>
      <c r="G96" s="168"/>
      <c r="H96" s="168"/>
      <c r="I96" s="168"/>
      <c r="J96" s="329"/>
      <c r="K96" s="329"/>
      <c r="L96" s="171"/>
      <c r="M96" s="168"/>
      <c r="N96" s="168"/>
    </row>
    <row r="97" spans="1:14" ht="27.75" customHeight="1">
      <c r="A97" s="169"/>
      <c r="B97" s="331" t="s">
        <v>62</v>
      </c>
      <c r="C97" s="331"/>
      <c r="D97" s="170"/>
      <c r="E97" s="333">
        <v>0</v>
      </c>
      <c r="F97" s="334"/>
      <c r="G97" s="168"/>
      <c r="H97" s="168"/>
      <c r="I97" s="168"/>
      <c r="J97" s="329"/>
      <c r="K97" s="329"/>
      <c r="L97" s="171"/>
      <c r="M97" s="168"/>
      <c r="N97" s="168"/>
    </row>
    <row r="98" spans="1:14" ht="27" customHeight="1">
      <c r="B98" s="335" t="s">
        <v>70</v>
      </c>
      <c r="C98" s="336"/>
      <c r="D98" s="172"/>
      <c r="E98" s="333">
        <f>SUM(E95:F97)</f>
        <v>33880</v>
      </c>
      <c r="F98" s="334"/>
    </row>
  </sheetData>
  <autoFilter ref="A1:AA98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</autoFilter>
  <mergeCells count="23">
    <mergeCell ref="E97:F97"/>
    <mergeCell ref="B98:C98"/>
    <mergeCell ref="E98:F98"/>
    <mergeCell ref="J96:K96"/>
    <mergeCell ref="J97:K97"/>
    <mergeCell ref="B96:C96"/>
    <mergeCell ref="B97:C97"/>
    <mergeCell ref="E96:F96"/>
    <mergeCell ref="J93:N93"/>
    <mergeCell ref="J94:K94"/>
    <mergeCell ref="L94:N94"/>
    <mergeCell ref="J95:K95"/>
    <mergeCell ref="B93:F93"/>
    <mergeCell ref="B94:C94"/>
    <mergeCell ref="D94:F94"/>
    <mergeCell ref="B95:C95"/>
    <mergeCell ref="E95:F95"/>
    <mergeCell ref="B92:O92"/>
    <mergeCell ref="A3:Z3"/>
    <mergeCell ref="A2:AA2"/>
    <mergeCell ref="A1:AA1"/>
    <mergeCell ref="A33:AA33"/>
    <mergeCell ref="A60:AA60"/>
  </mergeCells>
  <dataValidations count="6">
    <dataValidation type="list" allowBlank="1" showInputMessage="1" showErrorMessage="1" sqref="J62">
      <formula1>$A$79:$A$94</formula1>
    </dataValidation>
    <dataValidation type="list" allowBlank="1" showInputMessage="1" showErrorMessage="1" sqref="J14:J15 J35:J37">
      <formula1>$A$119:$A$131</formula1>
    </dataValidation>
    <dataValidation type="list" allowBlank="1" showInputMessage="1" showErrorMessage="1" sqref="J63">
      <formula1>$A$211:$A$225</formula1>
    </dataValidation>
    <dataValidation type="list" allowBlank="1" showInputMessage="1" showErrorMessage="1" sqref="J67:J72">
      <formula1>$A$177:$A$192</formula1>
    </dataValidation>
    <dataValidation type="list" allowBlank="1" showInputMessage="1" showErrorMessage="1" sqref="J73:J78">
      <formula1>$A$182:$A$196</formula1>
    </dataValidation>
    <dataValidation type="list" allowBlank="1" showInputMessage="1" showErrorMessage="1" sqref="J17:J18">
      <formula1>$A$126:$A$138</formula1>
    </dataValidation>
  </dataValidations>
  <pageMargins left="0.7" right="0.7" top="0.75" bottom="0.75" header="0.3" footer="0.3"/>
  <pageSetup paperSize="9" scale="48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'C:\Users\salman\Desktop\[New Posting.xlsm]Summary'!#REF!</xm:f>
          </x14:formula1>
          <xm:sqref>J5:J10 H5:H10 F62 H35:H37 H14:H15 H62:H63 H67:H78 H17:H18</xm:sqref>
        </x14:dataValidation>
        <x14:dataValidation type="list" allowBlank="1" showInputMessage="1" showErrorMessage="1">
          <x14:formula1>
            <xm:f>'C:\Users\shekor\Desktop\[New Job Posting.xlsm]Summary'!#REF!</xm:f>
          </x14:formula1>
          <xm:sqref>J11:J13 H11:H13 H16 J16 F38:F39 J64:J66 H64:H66 J38:J40 H38:H40</xm:sqref>
        </x14:dataValidation>
        <x14:dataValidation type="list" allowBlank="1" showInputMessage="1" showErrorMessage="1">
          <x14:formula1>
            <xm:f>'C:\Users\rokibul\Desktop\[20.06.26 Finish Fabric Plan &amp; Execution Status.xlsm]Summary'!#REF!</xm:f>
          </x14:formula1>
          <xm:sqref>F63:F78 F35:F37 F5:F13 F15:F16</xm:sqref>
        </x14:dataValidation>
        <x14:dataValidation type="list" allowBlank="1" showInputMessage="1" showErrorMessage="1">
          <x14:formula1>
            <xm:f>'C:\Users\rokibul\Desktop\[30.06.26 Finish Fabric Plan &amp; Execution Status.xlsm]Summary'!#REF!</xm:f>
          </x14:formula1>
          <xm:sqref>F40</xm:sqref>
        </x14:dataValidation>
        <x14:dataValidation type="list" allowBlank="1" showInputMessage="1" showErrorMessage="1">
          <x14:formula1>
            <xm:f>'C:\Users\rokibul\Desktop\[07.07.26 Finish Fabric Plan &amp; Execution Status.xlsm]Summary'!#REF!</xm:f>
          </x14:formula1>
          <xm:sqref>F17:F18</xm:sqref>
        </x14:dataValidation>
        <x14:dataValidation type="list" allowBlank="1" showInputMessage="1" showErrorMessage="1">
          <x14:formula1>
            <xm:f>'C:\Users\rokibul\Desktop\[24.07.26 Finish Fabric Plan &amp; Execution Status.xlsm]Summary'!#REF!</xm:f>
          </x14:formula1>
          <xm:sqref>F14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35"/>
  <sheetViews>
    <sheetView view="pageBreakPreview" topLeftCell="B1" zoomScale="80" zoomScaleNormal="80" zoomScaleSheetLayoutView="80" workbookViewId="0">
      <pane ySplit="4" topLeftCell="A81" activePane="bottomLeft" state="frozen"/>
      <selection pane="bottomLeft" activeCell="K82" sqref="K82"/>
    </sheetView>
  </sheetViews>
  <sheetFormatPr defaultRowHeight="15"/>
  <cols>
    <col min="1" max="1" width="0" hidden="1" customWidth="1"/>
    <col min="2" max="2" width="8.42578125" style="1" customWidth="1"/>
    <col min="3" max="3" width="7.85546875" customWidth="1"/>
    <col min="4" max="4" width="8.140625" customWidth="1"/>
    <col min="5" max="5" width="7.85546875" style="14" customWidth="1"/>
    <col min="6" max="6" width="5.140625" style="14" customWidth="1"/>
    <col min="7" max="7" width="6" style="9" customWidth="1"/>
    <col min="8" max="8" width="6.28515625" style="14" customWidth="1"/>
    <col min="9" max="9" width="13.42578125" style="9" customWidth="1"/>
    <col min="10" max="10" width="6.42578125" style="9" customWidth="1"/>
    <col min="11" max="11" width="13.42578125" style="9" customWidth="1"/>
    <col min="12" max="12" width="4.42578125" customWidth="1"/>
    <col min="13" max="13" width="3.42578125" customWidth="1"/>
    <col min="14" max="14" width="10.140625" customWidth="1"/>
    <col min="15" max="15" width="5.42578125" style="1" customWidth="1"/>
    <col min="17" max="17" width="6.7109375" customWidth="1"/>
    <col min="18" max="18" width="9.28515625" customWidth="1"/>
    <col min="19" max="19" width="6.85546875" customWidth="1"/>
    <col min="20" max="20" width="7" customWidth="1"/>
    <col min="22" max="22" width="8.140625" customWidth="1"/>
    <col min="23" max="23" width="8.5703125" customWidth="1"/>
    <col min="24" max="24" width="9.7109375" style="1" customWidth="1"/>
    <col min="25" max="25" width="5.5703125" customWidth="1"/>
    <col min="26" max="26" width="7.140625" customWidth="1"/>
    <col min="27" max="27" width="27.28515625" customWidth="1"/>
  </cols>
  <sheetData>
    <row r="1" spans="1:45" s="49" customFormat="1" ht="27.75" customHeight="1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</row>
    <row r="2" spans="1:45" s="50" customFormat="1" ht="20.25" customHeight="1">
      <c r="A2" s="348" t="s">
        <v>765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</row>
    <row r="3" spans="1:45" s="47" customFormat="1" ht="23.25" customHeight="1">
      <c r="A3" s="343" t="s">
        <v>763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189" t="s">
        <v>1364</v>
      </c>
      <c r="AB3" s="48"/>
    </row>
    <row r="4" spans="1:45" s="35" customFormat="1" ht="80.25" customHeight="1">
      <c r="A4" s="203" t="s">
        <v>1</v>
      </c>
      <c r="B4" s="230" t="s">
        <v>140</v>
      </c>
      <c r="C4" s="230" t="s">
        <v>141</v>
      </c>
      <c r="D4" s="230" t="s">
        <v>142</v>
      </c>
      <c r="E4" s="56" t="s">
        <v>143</v>
      </c>
      <c r="F4" s="204" t="s">
        <v>115</v>
      </c>
      <c r="G4" s="203" t="s">
        <v>117</v>
      </c>
      <c r="H4" s="205" t="s">
        <v>48</v>
      </c>
      <c r="I4" s="203" t="s">
        <v>2</v>
      </c>
      <c r="J4" s="203" t="s">
        <v>3</v>
      </c>
      <c r="K4" s="203" t="s">
        <v>4</v>
      </c>
      <c r="L4" s="206" t="s">
        <v>5</v>
      </c>
      <c r="M4" s="207" t="s">
        <v>6</v>
      </c>
      <c r="N4" s="203" t="s">
        <v>7</v>
      </c>
      <c r="O4" s="207" t="s">
        <v>8</v>
      </c>
      <c r="P4" s="207" t="s">
        <v>9</v>
      </c>
      <c r="Q4" s="207" t="s">
        <v>10</v>
      </c>
      <c r="R4" s="207" t="s">
        <v>11</v>
      </c>
      <c r="S4" s="207" t="s">
        <v>12</v>
      </c>
      <c r="T4" s="207" t="s">
        <v>119</v>
      </c>
      <c r="U4" s="207" t="s">
        <v>13</v>
      </c>
      <c r="V4" s="207" t="s">
        <v>14</v>
      </c>
      <c r="W4" s="207" t="s">
        <v>15</v>
      </c>
      <c r="X4" s="207" t="s">
        <v>119</v>
      </c>
      <c r="Y4" s="203" t="s">
        <v>118</v>
      </c>
      <c r="Z4" s="236" t="s">
        <v>16</v>
      </c>
      <c r="AA4" s="202" t="s">
        <v>17</v>
      </c>
      <c r="AB4" s="159"/>
      <c r="AC4" s="160"/>
      <c r="AD4" s="160"/>
      <c r="AE4" s="160"/>
      <c r="AF4" s="160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 s="16" customFormat="1" ht="79.5" customHeight="1">
      <c r="A5" s="231"/>
      <c r="B5" s="242">
        <v>46217</v>
      </c>
      <c r="C5" s="18">
        <v>46231</v>
      </c>
      <c r="D5" s="53">
        <v>46235</v>
      </c>
      <c r="E5" s="20">
        <v>46241</v>
      </c>
      <c r="F5" s="56" t="s">
        <v>23</v>
      </c>
      <c r="G5" s="25" t="s">
        <v>105</v>
      </c>
      <c r="H5" s="56" t="s">
        <v>24</v>
      </c>
      <c r="I5" s="161"/>
      <c r="J5" s="56" t="s">
        <v>18</v>
      </c>
      <c r="K5" s="140">
        <v>47908</v>
      </c>
      <c r="L5" s="17">
        <v>240</v>
      </c>
      <c r="M5" s="17" t="s">
        <v>35</v>
      </c>
      <c r="N5" s="59" t="s">
        <v>129</v>
      </c>
      <c r="O5" s="52" t="s">
        <v>53</v>
      </c>
      <c r="P5" s="17">
        <v>116</v>
      </c>
      <c r="Q5" s="25">
        <f t="shared" ref="Q5:Q27" si="0">P5-R5</f>
        <v>-15</v>
      </c>
      <c r="R5" s="191">
        <f>5+126</f>
        <v>131</v>
      </c>
      <c r="S5" s="192">
        <f t="shared" ref="S5:S27" si="1">P5-R5</f>
        <v>-15</v>
      </c>
      <c r="T5" s="193" t="s">
        <v>913</v>
      </c>
      <c r="U5" s="193" t="s">
        <v>914</v>
      </c>
      <c r="V5" s="192">
        <f>130</f>
        <v>130</v>
      </c>
      <c r="W5" s="192">
        <f t="shared" ref="W5:W27" si="2">+V5-P5</f>
        <v>14</v>
      </c>
      <c r="X5" s="193">
        <v>1906</v>
      </c>
      <c r="Y5" s="193" t="s">
        <v>1000</v>
      </c>
      <c r="Z5" s="235">
        <f t="shared" ref="Z5:Z27" si="3">(P5-V5)*100/P5/100</f>
        <v>-0.12068965517241378</v>
      </c>
      <c r="AA5" s="162" t="s">
        <v>889</v>
      </c>
      <c r="AB5" s="159"/>
      <c r="AC5" s="159"/>
      <c r="AD5" s="159"/>
      <c r="AE5" s="159"/>
      <c r="AF5" s="159"/>
    </row>
    <row r="6" spans="1:45" s="16" customFormat="1" ht="79.5" customHeight="1">
      <c r="A6" s="231"/>
      <c r="B6" s="242">
        <v>46217</v>
      </c>
      <c r="C6" s="18">
        <v>46231</v>
      </c>
      <c r="D6" s="53">
        <v>46235</v>
      </c>
      <c r="E6" s="20">
        <v>46244</v>
      </c>
      <c r="F6" s="56" t="s">
        <v>50</v>
      </c>
      <c r="G6" s="25" t="s">
        <v>105</v>
      </c>
      <c r="H6" s="56" t="s">
        <v>24</v>
      </c>
      <c r="I6" s="161"/>
      <c r="J6" s="56" t="s">
        <v>18</v>
      </c>
      <c r="K6" s="140">
        <v>47903</v>
      </c>
      <c r="L6" s="17">
        <v>180</v>
      </c>
      <c r="M6" s="17" t="s">
        <v>35</v>
      </c>
      <c r="N6" s="59" t="s">
        <v>129</v>
      </c>
      <c r="O6" s="52" t="s">
        <v>52</v>
      </c>
      <c r="P6" s="17">
        <v>218</v>
      </c>
      <c r="Q6" s="25">
        <f t="shared" si="0"/>
        <v>1</v>
      </c>
      <c r="R6" s="191">
        <f>217</f>
        <v>217</v>
      </c>
      <c r="S6" s="192">
        <f t="shared" si="1"/>
        <v>1</v>
      </c>
      <c r="T6" s="193">
        <v>1043</v>
      </c>
      <c r="U6" s="193" t="s">
        <v>915</v>
      </c>
      <c r="V6" s="192">
        <f>217</f>
        <v>217</v>
      </c>
      <c r="W6" s="192">
        <f t="shared" si="2"/>
        <v>-1</v>
      </c>
      <c r="X6" s="193">
        <v>1972</v>
      </c>
      <c r="Y6" s="193" t="s">
        <v>1082</v>
      </c>
      <c r="Z6" s="235">
        <f t="shared" si="3"/>
        <v>4.5871559633027525E-3</v>
      </c>
      <c r="AA6" s="162" t="s">
        <v>964</v>
      </c>
      <c r="AB6" s="159"/>
      <c r="AC6" s="159"/>
      <c r="AD6" s="159"/>
      <c r="AE6" s="159"/>
      <c r="AF6" s="159"/>
    </row>
    <row r="7" spans="1:45" s="16" customFormat="1" ht="79.5" customHeight="1">
      <c r="A7" s="231"/>
      <c r="B7" s="242">
        <v>46215</v>
      </c>
      <c r="C7" s="18">
        <v>46228</v>
      </c>
      <c r="D7" s="53">
        <v>46230</v>
      </c>
      <c r="E7" s="20">
        <v>46238</v>
      </c>
      <c r="F7" s="56" t="s">
        <v>23</v>
      </c>
      <c r="G7" s="25" t="s">
        <v>105</v>
      </c>
      <c r="H7" s="56" t="s">
        <v>24</v>
      </c>
      <c r="I7" s="161"/>
      <c r="J7" s="56" t="s">
        <v>18</v>
      </c>
      <c r="K7" s="140">
        <v>47900</v>
      </c>
      <c r="L7" s="17">
        <v>180</v>
      </c>
      <c r="M7" s="17" t="s">
        <v>35</v>
      </c>
      <c r="N7" s="59" t="s">
        <v>27</v>
      </c>
      <c r="O7" s="52" t="s">
        <v>52</v>
      </c>
      <c r="P7" s="17">
        <v>245</v>
      </c>
      <c r="Q7" s="25">
        <f t="shared" si="0"/>
        <v>-3</v>
      </c>
      <c r="R7" s="191">
        <f>248</f>
        <v>248</v>
      </c>
      <c r="S7" s="192">
        <f t="shared" si="1"/>
        <v>-3</v>
      </c>
      <c r="T7" s="193">
        <v>1247</v>
      </c>
      <c r="U7" s="193" t="s">
        <v>899</v>
      </c>
      <c r="V7" s="192">
        <f>233</f>
        <v>233</v>
      </c>
      <c r="W7" s="192">
        <f t="shared" si="2"/>
        <v>-12</v>
      </c>
      <c r="X7" s="193">
        <v>1788</v>
      </c>
      <c r="Y7" s="193" t="s">
        <v>923</v>
      </c>
      <c r="Z7" s="235">
        <f t="shared" si="3"/>
        <v>4.8979591836734698E-2</v>
      </c>
      <c r="AA7" s="162" t="s">
        <v>1170</v>
      </c>
      <c r="AB7" s="159"/>
      <c r="AC7" s="159"/>
      <c r="AD7" s="159"/>
      <c r="AE7" s="159"/>
      <c r="AF7" s="159"/>
    </row>
    <row r="8" spans="1:45" s="16" customFormat="1" ht="96.75" customHeight="1">
      <c r="A8" s="231"/>
      <c r="B8" s="242">
        <v>46218</v>
      </c>
      <c r="C8" s="18">
        <v>46232</v>
      </c>
      <c r="D8" s="53">
        <v>46235</v>
      </c>
      <c r="E8" s="20">
        <v>46244</v>
      </c>
      <c r="F8" s="56" t="s">
        <v>121</v>
      </c>
      <c r="G8" s="25" t="s">
        <v>62</v>
      </c>
      <c r="H8" s="56" t="s">
        <v>39</v>
      </c>
      <c r="I8" s="161"/>
      <c r="J8" s="56" t="s">
        <v>18</v>
      </c>
      <c r="K8" s="140" t="s">
        <v>653</v>
      </c>
      <c r="L8" s="17">
        <v>240</v>
      </c>
      <c r="M8" s="17" t="s">
        <v>56</v>
      </c>
      <c r="N8" s="59" t="s">
        <v>657</v>
      </c>
      <c r="O8" s="52" t="s">
        <v>41</v>
      </c>
      <c r="P8" s="17">
        <v>806</v>
      </c>
      <c r="Q8" s="25">
        <f t="shared" si="0"/>
        <v>22</v>
      </c>
      <c r="R8" s="191">
        <f>784</f>
        <v>784</v>
      </c>
      <c r="S8" s="195">
        <f t="shared" si="1"/>
        <v>22</v>
      </c>
      <c r="T8" s="193">
        <v>119</v>
      </c>
      <c r="U8" s="193" t="s">
        <v>682</v>
      </c>
      <c r="V8" s="192">
        <f>4.5+762</f>
        <v>766.5</v>
      </c>
      <c r="W8" s="192">
        <f t="shared" si="2"/>
        <v>-39.5</v>
      </c>
      <c r="X8" s="193">
        <v>42157</v>
      </c>
      <c r="Y8" s="193" t="s">
        <v>892</v>
      </c>
      <c r="Z8" s="235">
        <f t="shared" si="3"/>
        <v>4.9007444168734489E-2</v>
      </c>
      <c r="AA8" s="162" t="s">
        <v>931</v>
      </c>
      <c r="AB8" s="159"/>
      <c r="AC8" s="159"/>
      <c r="AD8" s="159"/>
      <c r="AE8" s="159"/>
      <c r="AF8" s="159"/>
    </row>
    <row r="9" spans="1:45" s="16" customFormat="1" ht="79.5" customHeight="1">
      <c r="A9" s="231"/>
      <c r="B9" s="242">
        <v>46219</v>
      </c>
      <c r="C9" s="18">
        <v>46231</v>
      </c>
      <c r="D9" s="53">
        <v>46235</v>
      </c>
      <c r="E9" s="20">
        <v>46244</v>
      </c>
      <c r="F9" s="56" t="s">
        <v>38</v>
      </c>
      <c r="G9" s="25" t="s">
        <v>62</v>
      </c>
      <c r="H9" s="56" t="s">
        <v>39</v>
      </c>
      <c r="I9" s="161"/>
      <c r="J9" s="56" t="s">
        <v>18</v>
      </c>
      <c r="K9" s="140" t="s">
        <v>654</v>
      </c>
      <c r="L9" s="17">
        <v>200</v>
      </c>
      <c r="M9" s="17" t="s">
        <v>45</v>
      </c>
      <c r="N9" s="59" t="s">
        <v>658</v>
      </c>
      <c r="O9" s="52" t="s">
        <v>28</v>
      </c>
      <c r="P9" s="17">
        <v>332</v>
      </c>
      <c r="Q9" s="25">
        <f t="shared" si="0"/>
        <v>4</v>
      </c>
      <c r="R9" s="191">
        <f>328</f>
        <v>328</v>
      </c>
      <c r="S9" s="192">
        <f t="shared" si="1"/>
        <v>4</v>
      </c>
      <c r="T9" s="193">
        <v>355</v>
      </c>
      <c r="U9" s="193" t="s">
        <v>646</v>
      </c>
      <c r="V9" s="192">
        <f>321</f>
        <v>321</v>
      </c>
      <c r="W9" s="192">
        <f t="shared" si="2"/>
        <v>-11</v>
      </c>
      <c r="X9" s="193">
        <v>42085</v>
      </c>
      <c r="Y9" s="193" t="s">
        <v>847</v>
      </c>
      <c r="Z9" s="235">
        <f t="shared" si="3"/>
        <v>3.3132530120481923E-2</v>
      </c>
      <c r="AA9" s="162" t="s">
        <v>984</v>
      </c>
      <c r="AB9" s="159"/>
      <c r="AC9" s="159"/>
      <c r="AD9" s="159"/>
      <c r="AE9" s="159"/>
      <c r="AF9" s="159"/>
    </row>
    <row r="10" spans="1:45" s="16" customFormat="1" ht="119.25" customHeight="1">
      <c r="A10" s="231"/>
      <c r="B10" s="242">
        <v>46220</v>
      </c>
      <c r="C10" s="18">
        <v>46233</v>
      </c>
      <c r="D10" s="53">
        <v>46235</v>
      </c>
      <c r="E10" s="20">
        <v>46244</v>
      </c>
      <c r="F10" s="56" t="s">
        <v>23</v>
      </c>
      <c r="G10" s="25" t="s">
        <v>62</v>
      </c>
      <c r="H10" s="56" t="s">
        <v>39</v>
      </c>
      <c r="I10" s="161"/>
      <c r="J10" s="56" t="s">
        <v>18</v>
      </c>
      <c r="K10" s="140" t="s">
        <v>655</v>
      </c>
      <c r="L10" s="17">
        <v>200</v>
      </c>
      <c r="M10" s="17" t="s">
        <v>45</v>
      </c>
      <c r="N10" s="59" t="s">
        <v>323</v>
      </c>
      <c r="O10" s="52" t="s">
        <v>28</v>
      </c>
      <c r="P10" s="17">
        <v>78</v>
      </c>
      <c r="Q10" s="25">
        <f t="shared" si="0"/>
        <v>-9</v>
      </c>
      <c r="R10" s="191">
        <f>87</f>
        <v>87</v>
      </c>
      <c r="S10" s="192">
        <f t="shared" si="1"/>
        <v>-9</v>
      </c>
      <c r="T10" s="193">
        <v>807</v>
      </c>
      <c r="U10" s="193" t="s">
        <v>732</v>
      </c>
      <c r="V10" s="192">
        <f>86</f>
        <v>86</v>
      </c>
      <c r="W10" s="192">
        <f t="shared" si="2"/>
        <v>8</v>
      </c>
      <c r="X10" s="193">
        <v>42056</v>
      </c>
      <c r="Y10" s="193" t="s">
        <v>831</v>
      </c>
      <c r="Z10" s="235">
        <f t="shared" si="3"/>
        <v>-0.10256410256410257</v>
      </c>
      <c r="AA10" s="162" t="s">
        <v>970</v>
      </c>
      <c r="AB10" s="159"/>
      <c r="AC10" s="159"/>
      <c r="AD10" s="159"/>
      <c r="AE10" s="159"/>
      <c r="AF10" s="159"/>
    </row>
    <row r="11" spans="1:45" s="16" customFormat="1" ht="79.5" customHeight="1">
      <c r="A11" s="231"/>
      <c r="B11" s="242">
        <v>46220</v>
      </c>
      <c r="C11" s="18">
        <v>46233</v>
      </c>
      <c r="D11" s="233">
        <v>46235</v>
      </c>
      <c r="E11" s="20">
        <v>46244</v>
      </c>
      <c r="F11" s="17" t="s">
        <v>23</v>
      </c>
      <c r="G11" s="25" t="s">
        <v>62</v>
      </c>
      <c r="H11" s="56" t="s">
        <v>39</v>
      </c>
      <c r="I11" s="161"/>
      <c r="J11" s="56" t="s">
        <v>18</v>
      </c>
      <c r="K11" s="140" t="s">
        <v>655</v>
      </c>
      <c r="L11" s="17">
        <v>200</v>
      </c>
      <c r="M11" s="17" t="s">
        <v>45</v>
      </c>
      <c r="N11" s="59" t="s">
        <v>54</v>
      </c>
      <c r="O11" s="52" t="s">
        <v>28</v>
      </c>
      <c r="P11" s="17">
        <v>86</v>
      </c>
      <c r="Q11" s="25">
        <f t="shared" si="0"/>
        <v>-1</v>
      </c>
      <c r="R11" s="191">
        <f>87</f>
        <v>87</v>
      </c>
      <c r="S11" s="192">
        <f t="shared" si="1"/>
        <v>-1</v>
      </c>
      <c r="T11" s="193">
        <v>1226</v>
      </c>
      <c r="U11" s="193" t="s">
        <v>847</v>
      </c>
      <c r="V11" s="192">
        <f>86</f>
        <v>86</v>
      </c>
      <c r="W11" s="192">
        <f t="shared" si="2"/>
        <v>0</v>
      </c>
      <c r="X11" s="193">
        <v>42192</v>
      </c>
      <c r="Y11" s="193" t="s">
        <v>910</v>
      </c>
      <c r="Z11" s="235">
        <f t="shared" si="3"/>
        <v>0</v>
      </c>
      <c r="AA11" s="162" t="s">
        <v>937</v>
      </c>
      <c r="AB11" s="159"/>
      <c r="AC11" s="159"/>
      <c r="AD11" s="159"/>
      <c r="AE11" s="159"/>
      <c r="AF11" s="159"/>
    </row>
    <row r="12" spans="1:45" s="16" customFormat="1" ht="79.5" customHeight="1">
      <c r="A12" s="231"/>
      <c r="B12" s="242">
        <v>46220</v>
      </c>
      <c r="C12" s="18">
        <v>46233</v>
      </c>
      <c r="D12" s="233">
        <v>46235</v>
      </c>
      <c r="E12" s="20">
        <v>46244</v>
      </c>
      <c r="F12" s="56" t="s">
        <v>38</v>
      </c>
      <c r="G12" s="25" t="s">
        <v>62</v>
      </c>
      <c r="H12" s="56" t="s">
        <v>39</v>
      </c>
      <c r="I12" s="161"/>
      <c r="J12" s="56" t="s">
        <v>18</v>
      </c>
      <c r="K12" s="140" t="s">
        <v>655</v>
      </c>
      <c r="L12" s="17">
        <v>200</v>
      </c>
      <c r="M12" s="17" t="s">
        <v>45</v>
      </c>
      <c r="N12" s="59" t="s">
        <v>658</v>
      </c>
      <c r="O12" s="52" t="s">
        <v>28</v>
      </c>
      <c r="P12" s="17">
        <v>313</v>
      </c>
      <c r="Q12" s="25">
        <f t="shared" si="0"/>
        <v>-6</v>
      </c>
      <c r="R12" s="191">
        <f>319</f>
        <v>319</v>
      </c>
      <c r="S12" s="192">
        <f t="shared" si="1"/>
        <v>-6</v>
      </c>
      <c r="T12" s="193">
        <v>119</v>
      </c>
      <c r="U12" s="193" t="s">
        <v>682</v>
      </c>
      <c r="V12" s="192">
        <f>313</f>
        <v>313</v>
      </c>
      <c r="W12" s="192">
        <f t="shared" si="2"/>
        <v>0</v>
      </c>
      <c r="X12" s="193">
        <v>42085</v>
      </c>
      <c r="Y12" s="193" t="s">
        <v>847</v>
      </c>
      <c r="Z12" s="235">
        <f t="shared" si="3"/>
        <v>0</v>
      </c>
      <c r="AA12" s="162" t="s">
        <v>962</v>
      </c>
      <c r="AB12" s="159"/>
      <c r="AC12" s="159"/>
      <c r="AD12" s="159"/>
      <c r="AE12" s="159"/>
      <c r="AF12" s="159"/>
    </row>
    <row r="13" spans="1:45" s="16" customFormat="1" ht="79.5" customHeight="1">
      <c r="A13" s="231"/>
      <c r="B13" s="242">
        <v>46217</v>
      </c>
      <c r="C13" s="18">
        <v>46230</v>
      </c>
      <c r="D13" s="233">
        <v>46235</v>
      </c>
      <c r="E13" s="20">
        <v>46244</v>
      </c>
      <c r="F13" s="17" t="s">
        <v>23</v>
      </c>
      <c r="G13" s="25" t="s">
        <v>62</v>
      </c>
      <c r="H13" s="56" t="s">
        <v>39</v>
      </c>
      <c r="I13" s="161"/>
      <c r="J13" s="56" t="s">
        <v>18</v>
      </c>
      <c r="K13" s="140" t="s">
        <v>656</v>
      </c>
      <c r="L13" s="17">
        <v>200</v>
      </c>
      <c r="M13" s="17" t="s">
        <v>45</v>
      </c>
      <c r="N13" s="59" t="s">
        <v>54</v>
      </c>
      <c r="O13" s="52" t="s">
        <v>28</v>
      </c>
      <c r="P13" s="17">
        <v>294</v>
      </c>
      <c r="Q13" s="25">
        <f t="shared" si="0"/>
        <v>-1</v>
      </c>
      <c r="R13" s="191">
        <f>295</f>
        <v>295</v>
      </c>
      <c r="S13" s="192">
        <f t="shared" si="1"/>
        <v>-1</v>
      </c>
      <c r="T13" s="193">
        <v>1226</v>
      </c>
      <c r="U13" s="193" t="s">
        <v>847</v>
      </c>
      <c r="V13" s="192">
        <f>290+19</f>
        <v>309</v>
      </c>
      <c r="W13" s="192">
        <f t="shared" si="2"/>
        <v>15</v>
      </c>
      <c r="X13" s="193" t="s">
        <v>911</v>
      </c>
      <c r="Y13" s="193" t="s">
        <v>912</v>
      </c>
      <c r="Z13" s="235">
        <f t="shared" si="3"/>
        <v>-5.1020408163265307E-2</v>
      </c>
      <c r="AA13" s="162" t="s">
        <v>938</v>
      </c>
      <c r="AB13" s="159"/>
      <c r="AC13" s="159"/>
      <c r="AD13" s="159"/>
      <c r="AE13" s="159"/>
      <c r="AF13" s="159"/>
    </row>
    <row r="14" spans="1:45" s="16" customFormat="1" ht="79.5" customHeight="1">
      <c r="A14" s="231"/>
      <c r="B14" s="242">
        <v>46217</v>
      </c>
      <c r="C14" s="18">
        <v>46230</v>
      </c>
      <c r="D14" s="233">
        <v>46235</v>
      </c>
      <c r="E14" s="20">
        <v>46244</v>
      </c>
      <c r="F14" s="56" t="s">
        <v>38</v>
      </c>
      <c r="G14" s="25" t="s">
        <v>62</v>
      </c>
      <c r="H14" s="56" t="s">
        <v>39</v>
      </c>
      <c r="I14" s="161"/>
      <c r="J14" s="56" t="s">
        <v>18</v>
      </c>
      <c r="K14" s="140" t="s">
        <v>656</v>
      </c>
      <c r="L14" s="17">
        <v>200</v>
      </c>
      <c r="M14" s="17" t="s">
        <v>45</v>
      </c>
      <c r="N14" s="59" t="s">
        <v>658</v>
      </c>
      <c r="O14" s="52" t="s">
        <v>28</v>
      </c>
      <c r="P14" s="17">
        <v>788</v>
      </c>
      <c r="Q14" s="25">
        <f t="shared" si="0"/>
        <v>-8</v>
      </c>
      <c r="R14" s="191">
        <f>796</f>
        <v>796</v>
      </c>
      <c r="S14" s="192">
        <f t="shared" si="1"/>
        <v>-8</v>
      </c>
      <c r="T14" s="193">
        <v>355</v>
      </c>
      <c r="U14" s="193" t="s">
        <v>646</v>
      </c>
      <c r="V14" s="192">
        <f>784</f>
        <v>784</v>
      </c>
      <c r="W14" s="192">
        <f t="shared" si="2"/>
        <v>-4</v>
      </c>
      <c r="X14" s="193">
        <v>42085</v>
      </c>
      <c r="Y14" s="193" t="s">
        <v>847</v>
      </c>
      <c r="Z14" s="235">
        <f t="shared" si="3"/>
        <v>5.076142131979695E-3</v>
      </c>
      <c r="AA14" s="162" t="s">
        <v>985</v>
      </c>
      <c r="AB14" s="159"/>
      <c r="AC14" s="159"/>
      <c r="AD14" s="159"/>
      <c r="AE14" s="159"/>
      <c r="AF14" s="159"/>
    </row>
    <row r="15" spans="1:45" s="16" customFormat="1" ht="79.5" customHeight="1">
      <c r="A15" s="231"/>
      <c r="B15" s="242">
        <v>46216</v>
      </c>
      <c r="C15" s="18">
        <v>46228</v>
      </c>
      <c r="D15" s="233">
        <v>46230</v>
      </c>
      <c r="E15" s="20">
        <v>46242</v>
      </c>
      <c r="F15" s="56" t="s">
        <v>23</v>
      </c>
      <c r="G15" s="25" t="s">
        <v>105</v>
      </c>
      <c r="H15" s="56" t="s">
        <v>32</v>
      </c>
      <c r="I15" s="161"/>
      <c r="J15" s="56" t="s">
        <v>34</v>
      </c>
      <c r="K15" s="57">
        <v>47727</v>
      </c>
      <c r="L15" s="17">
        <v>280</v>
      </c>
      <c r="M15" s="17" t="s">
        <v>35</v>
      </c>
      <c r="N15" s="59" t="s">
        <v>137</v>
      </c>
      <c r="O15" s="52" t="s">
        <v>146</v>
      </c>
      <c r="P15" s="17">
        <f>727-46</f>
        <v>681</v>
      </c>
      <c r="Q15" s="25">
        <f t="shared" si="0"/>
        <v>-55</v>
      </c>
      <c r="R15" s="191">
        <f>736</f>
        <v>736</v>
      </c>
      <c r="S15" s="192">
        <f t="shared" si="1"/>
        <v>-55</v>
      </c>
      <c r="T15" s="193">
        <v>99</v>
      </c>
      <c r="U15" s="193" t="s">
        <v>651</v>
      </c>
      <c r="V15" s="192">
        <f>716</f>
        <v>716</v>
      </c>
      <c r="W15" s="192">
        <f t="shared" si="2"/>
        <v>35</v>
      </c>
      <c r="X15" s="193">
        <v>1774</v>
      </c>
      <c r="Y15" s="193" t="s">
        <v>859</v>
      </c>
      <c r="Z15" s="235">
        <f t="shared" si="3"/>
        <v>-5.1395007342143903E-2</v>
      </c>
      <c r="AA15" s="162" t="s">
        <v>954</v>
      </c>
      <c r="AB15" s="159"/>
      <c r="AC15" s="159"/>
      <c r="AD15" s="159"/>
      <c r="AE15" s="159"/>
      <c r="AF15" s="159"/>
    </row>
    <row r="16" spans="1:45" s="16" customFormat="1" ht="79.5" customHeight="1">
      <c r="A16" s="231"/>
      <c r="B16" s="242">
        <v>46220</v>
      </c>
      <c r="C16" s="18">
        <v>46232</v>
      </c>
      <c r="D16" s="233">
        <v>46235</v>
      </c>
      <c r="E16" s="53">
        <v>46242</v>
      </c>
      <c r="F16" s="56" t="s">
        <v>23</v>
      </c>
      <c r="G16" s="25" t="s">
        <v>62</v>
      </c>
      <c r="H16" s="52" t="s">
        <v>179</v>
      </c>
      <c r="I16" s="161"/>
      <c r="J16" s="56" t="s">
        <v>18</v>
      </c>
      <c r="K16" s="140">
        <v>47988</v>
      </c>
      <c r="L16" s="17">
        <v>240</v>
      </c>
      <c r="M16" s="17" t="s">
        <v>35</v>
      </c>
      <c r="N16" s="59" t="s">
        <v>840</v>
      </c>
      <c r="O16" s="52" t="s">
        <v>167</v>
      </c>
      <c r="P16" s="17">
        <v>99</v>
      </c>
      <c r="Q16" s="25">
        <f t="shared" si="0"/>
        <v>-5</v>
      </c>
      <c r="R16" s="191">
        <f>104</f>
        <v>104</v>
      </c>
      <c r="S16" s="192">
        <f t="shared" si="1"/>
        <v>-5</v>
      </c>
      <c r="T16" s="193">
        <v>1246</v>
      </c>
      <c r="U16" s="193" t="s">
        <v>915</v>
      </c>
      <c r="V16" s="192">
        <f>130-31</f>
        <v>99</v>
      </c>
      <c r="W16" s="192">
        <f t="shared" si="2"/>
        <v>0</v>
      </c>
      <c r="X16" s="193">
        <v>42398</v>
      </c>
      <c r="Y16" s="193" t="s">
        <v>1086</v>
      </c>
      <c r="Z16" s="235">
        <f t="shared" si="3"/>
        <v>0</v>
      </c>
      <c r="AA16" s="162" t="s">
        <v>1107</v>
      </c>
      <c r="AB16" s="159"/>
      <c r="AC16" s="159"/>
      <c r="AD16" s="159"/>
      <c r="AE16" s="159"/>
      <c r="AF16" s="159"/>
    </row>
    <row r="17" spans="1:32" s="16" customFormat="1" ht="89.25" customHeight="1">
      <c r="A17" s="231"/>
      <c r="B17" s="242">
        <v>46220</v>
      </c>
      <c r="C17" s="18">
        <v>46232</v>
      </c>
      <c r="D17" s="233">
        <v>46235</v>
      </c>
      <c r="E17" s="53">
        <v>46242</v>
      </c>
      <c r="F17" s="56" t="s">
        <v>23</v>
      </c>
      <c r="G17" s="25" t="s">
        <v>62</v>
      </c>
      <c r="H17" s="52" t="s">
        <v>179</v>
      </c>
      <c r="I17" s="161"/>
      <c r="J17" s="56" t="s">
        <v>18</v>
      </c>
      <c r="K17" s="140">
        <v>47988</v>
      </c>
      <c r="L17" s="17">
        <v>240</v>
      </c>
      <c r="M17" s="17" t="s">
        <v>35</v>
      </c>
      <c r="N17" s="59" t="s">
        <v>841</v>
      </c>
      <c r="O17" s="52" t="s">
        <v>167</v>
      </c>
      <c r="P17" s="17">
        <v>98</v>
      </c>
      <c r="Q17" s="25">
        <f t="shared" si="0"/>
        <v>-5</v>
      </c>
      <c r="R17" s="191">
        <f>103</f>
        <v>103</v>
      </c>
      <c r="S17" s="192">
        <f t="shared" si="1"/>
        <v>-5</v>
      </c>
      <c r="T17" s="193">
        <v>1246</v>
      </c>
      <c r="U17" s="193" t="s">
        <v>915</v>
      </c>
      <c r="V17" s="192">
        <f>83+32</f>
        <v>115</v>
      </c>
      <c r="W17" s="192">
        <f t="shared" si="2"/>
        <v>17</v>
      </c>
      <c r="X17" s="193" t="s">
        <v>1166</v>
      </c>
      <c r="Y17" s="193" t="s">
        <v>1167</v>
      </c>
      <c r="Z17" s="235">
        <f t="shared" si="3"/>
        <v>-0.17346938775510204</v>
      </c>
      <c r="AA17" s="162" t="s">
        <v>1113</v>
      </c>
      <c r="AB17" s="159"/>
      <c r="AC17" s="159"/>
      <c r="AD17" s="159"/>
      <c r="AE17" s="159"/>
      <c r="AF17" s="159"/>
    </row>
    <row r="18" spans="1:32" s="16" customFormat="1" ht="79.5" customHeight="1">
      <c r="A18" s="231"/>
      <c r="B18" s="243"/>
      <c r="C18" s="21"/>
      <c r="D18" s="232"/>
      <c r="E18" s="21"/>
      <c r="F18" s="43"/>
      <c r="G18" s="25"/>
      <c r="H18" s="44"/>
      <c r="I18" s="161"/>
      <c r="J18" s="162"/>
      <c r="K18" s="162"/>
      <c r="L18" s="45"/>
      <c r="M18" s="45"/>
      <c r="N18" s="45"/>
      <c r="O18" s="45"/>
      <c r="P18" s="45">
        <v>0</v>
      </c>
      <c r="Q18" s="25">
        <f t="shared" si="0"/>
        <v>0</v>
      </c>
      <c r="R18" s="191">
        <v>0</v>
      </c>
      <c r="S18" s="192">
        <f t="shared" si="1"/>
        <v>0</v>
      </c>
      <c r="T18" s="193"/>
      <c r="U18" s="193"/>
      <c r="V18" s="192">
        <v>0</v>
      </c>
      <c r="W18" s="192">
        <f t="shared" si="2"/>
        <v>0</v>
      </c>
      <c r="X18" s="193"/>
      <c r="Y18" s="193"/>
      <c r="Z18" s="234" t="e">
        <f t="shared" si="3"/>
        <v>#DIV/0!</v>
      </c>
      <c r="AA18" s="162"/>
      <c r="AB18" s="159"/>
      <c r="AC18" s="159"/>
      <c r="AD18" s="159"/>
      <c r="AE18" s="159"/>
      <c r="AF18" s="159"/>
    </row>
    <row r="19" spans="1:32" s="16" customFormat="1" ht="79.5" hidden="1" customHeight="1">
      <c r="A19" s="231"/>
      <c r="B19" s="243"/>
      <c r="C19" s="21"/>
      <c r="D19" s="232"/>
      <c r="E19" s="21"/>
      <c r="F19" s="43"/>
      <c r="G19" s="25"/>
      <c r="H19" s="44"/>
      <c r="I19" s="161"/>
      <c r="J19" s="162"/>
      <c r="K19" s="162"/>
      <c r="L19" s="45"/>
      <c r="M19" s="45"/>
      <c r="N19" s="45"/>
      <c r="O19" s="45"/>
      <c r="P19" s="45">
        <v>0</v>
      </c>
      <c r="Q19" s="25">
        <f t="shared" si="0"/>
        <v>0</v>
      </c>
      <c r="R19" s="191">
        <v>0</v>
      </c>
      <c r="S19" s="192">
        <f t="shared" si="1"/>
        <v>0</v>
      </c>
      <c r="T19" s="193"/>
      <c r="U19" s="193"/>
      <c r="V19" s="192">
        <v>0</v>
      </c>
      <c r="W19" s="192">
        <f t="shared" si="2"/>
        <v>0</v>
      </c>
      <c r="X19" s="193"/>
      <c r="Y19" s="193"/>
      <c r="Z19" s="234" t="e">
        <f t="shared" si="3"/>
        <v>#DIV/0!</v>
      </c>
      <c r="AA19" s="162"/>
      <c r="AB19" s="159"/>
      <c r="AC19" s="159"/>
      <c r="AD19" s="159"/>
      <c r="AE19" s="159"/>
      <c r="AF19" s="159"/>
    </row>
    <row r="20" spans="1:32" s="16" customFormat="1" ht="79.5" hidden="1" customHeight="1">
      <c r="A20" s="231"/>
      <c r="B20" s="243"/>
      <c r="C20" s="21"/>
      <c r="D20" s="232"/>
      <c r="E20" s="21"/>
      <c r="F20" s="43"/>
      <c r="G20" s="25"/>
      <c r="H20" s="44"/>
      <c r="I20" s="161"/>
      <c r="J20" s="162"/>
      <c r="K20" s="162"/>
      <c r="L20" s="45"/>
      <c r="M20" s="45"/>
      <c r="N20" s="45"/>
      <c r="O20" s="45"/>
      <c r="P20" s="45">
        <v>0</v>
      </c>
      <c r="Q20" s="25">
        <f t="shared" si="0"/>
        <v>0</v>
      </c>
      <c r="R20" s="191">
        <v>0</v>
      </c>
      <c r="S20" s="192">
        <f t="shared" si="1"/>
        <v>0</v>
      </c>
      <c r="T20" s="193"/>
      <c r="U20" s="193"/>
      <c r="V20" s="192">
        <v>0</v>
      </c>
      <c r="W20" s="192">
        <f t="shared" si="2"/>
        <v>0</v>
      </c>
      <c r="X20" s="193"/>
      <c r="Y20" s="193"/>
      <c r="Z20" s="194" t="e">
        <f t="shared" si="3"/>
        <v>#DIV/0!</v>
      </c>
      <c r="AA20" s="162"/>
      <c r="AB20" s="159"/>
      <c r="AC20" s="159"/>
      <c r="AD20" s="159"/>
      <c r="AE20" s="159"/>
      <c r="AF20" s="159"/>
    </row>
    <row r="21" spans="1:32" s="16" customFormat="1" ht="79.5" hidden="1" customHeight="1">
      <c r="A21" s="231"/>
      <c r="B21" s="243"/>
      <c r="C21" s="21"/>
      <c r="D21" s="232"/>
      <c r="E21" s="21"/>
      <c r="F21" s="43"/>
      <c r="G21" s="25"/>
      <c r="H21" s="44"/>
      <c r="I21" s="161"/>
      <c r="J21" s="162"/>
      <c r="K21" s="162"/>
      <c r="L21" s="45"/>
      <c r="M21" s="45"/>
      <c r="N21" s="45"/>
      <c r="O21" s="45"/>
      <c r="P21" s="45">
        <v>0</v>
      </c>
      <c r="Q21" s="25">
        <f t="shared" si="0"/>
        <v>0</v>
      </c>
      <c r="R21" s="191">
        <v>0</v>
      </c>
      <c r="S21" s="192">
        <f t="shared" si="1"/>
        <v>0</v>
      </c>
      <c r="T21" s="193"/>
      <c r="U21" s="193"/>
      <c r="V21" s="192">
        <v>0</v>
      </c>
      <c r="W21" s="192">
        <f t="shared" si="2"/>
        <v>0</v>
      </c>
      <c r="X21" s="193"/>
      <c r="Y21" s="193"/>
      <c r="Z21" s="194" t="e">
        <f t="shared" si="3"/>
        <v>#DIV/0!</v>
      </c>
      <c r="AA21" s="162"/>
      <c r="AB21" s="159"/>
      <c r="AC21" s="159"/>
      <c r="AD21" s="159"/>
      <c r="AE21" s="159"/>
      <c r="AF21" s="159"/>
    </row>
    <row r="22" spans="1:32" s="16" customFormat="1" ht="79.5" hidden="1" customHeight="1">
      <c r="A22" s="231"/>
      <c r="B22" s="243"/>
      <c r="C22" s="21"/>
      <c r="D22" s="232"/>
      <c r="E22" s="21"/>
      <c r="F22" s="43"/>
      <c r="G22" s="25"/>
      <c r="H22" s="44"/>
      <c r="I22" s="161"/>
      <c r="J22" s="162"/>
      <c r="K22" s="162"/>
      <c r="L22" s="45"/>
      <c r="M22" s="45"/>
      <c r="N22" s="45"/>
      <c r="O22" s="45"/>
      <c r="P22" s="45">
        <v>0</v>
      </c>
      <c r="Q22" s="25">
        <f t="shared" si="0"/>
        <v>0</v>
      </c>
      <c r="R22" s="191">
        <v>0</v>
      </c>
      <c r="S22" s="192">
        <f t="shared" si="1"/>
        <v>0</v>
      </c>
      <c r="T22" s="193"/>
      <c r="U22" s="193"/>
      <c r="V22" s="192">
        <v>0</v>
      </c>
      <c r="W22" s="192">
        <f t="shared" si="2"/>
        <v>0</v>
      </c>
      <c r="X22" s="193"/>
      <c r="Y22" s="193"/>
      <c r="Z22" s="194" t="e">
        <f t="shared" si="3"/>
        <v>#DIV/0!</v>
      </c>
      <c r="AA22" s="162"/>
      <c r="AB22" s="159"/>
      <c r="AC22" s="159"/>
      <c r="AD22" s="159"/>
      <c r="AE22" s="159"/>
      <c r="AF22" s="159"/>
    </row>
    <row r="23" spans="1:32" s="16" customFormat="1" ht="79.5" hidden="1" customHeight="1">
      <c r="A23" s="231"/>
      <c r="B23" s="243"/>
      <c r="C23" s="21"/>
      <c r="D23" s="232"/>
      <c r="E23" s="21"/>
      <c r="F23" s="43"/>
      <c r="G23" s="25"/>
      <c r="H23" s="44"/>
      <c r="I23" s="161"/>
      <c r="J23" s="162"/>
      <c r="K23" s="162"/>
      <c r="L23" s="45"/>
      <c r="M23" s="45"/>
      <c r="N23" s="45"/>
      <c r="O23" s="45"/>
      <c r="P23" s="45">
        <v>0</v>
      </c>
      <c r="Q23" s="25">
        <f t="shared" si="0"/>
        <v>0</v>
      </c>
      <c r="R23" s="191">
        <v>0</v>
      </c>
      <c r="S23" s="192">
        <f t="shared" si="1"/>
        <v>0</v>
      </c>
      <c r="T23" s="193"/>
      <c r="U23" s="193"/>
      <c r="V23" s="192">
        <v>0</v>
      </c>
      <c r="W23" s="192">
        <f t="shared" si="2"/>
        <v>0</v>
      </c>
      <c r="X23" s="193"/>
      <c r="Y23" s="193"/>
      <c r="Z23" s="194" t="e">
        <f t="shared" si="3"/>
        <v>#DIV/0!</v>
      </c>
      <c r="AA23" s="162"/>
      <c r="AB23" s="159"/>
      <c r="AC23" s="159"/>
      <c r="AD23" s="159"/>
      <c r="AE23" s="159"/>
      <c r="AF23" s="159"/>
    </row>
    <row r="24" spans="1:32" s="16" customFormat="1" ht="79.5" hidden="1" customHeight="1">
      <c r="A24" s="231"/>
      <c r="B24" s="243"/>
      <c r="C24" s="21"/>
      <c r="D24" s="232"/>
      <c r="E24" s="21"/>
      <c r="F24" s="43"/>
      <c r="G24" s="25"/>
      <c r="H24" s="44"/>
      <c r="I24" s="161"/>
      <c r="J24" s="162"/>
      <c r="K24" s="162"/>
      <c r="L24" s="45"/>
      <c r="M24" s="45"/>
      <c r="N24" s="45"/>
      <c r="O24" s="45"/>
      <c r="P24" s="45">
        <v>0</v>
      </c>
      <c r="Q24" s="25">
        <f t="shared" si="0"/>
        <v>0</v>
      </c>
      <c r="R24" s="191">
        <v>0</v>
      </c>
      <c r="S24" s="192">
        <f t="shared" si="1"/>
        <v>0</v>
      </c>
      <c r="T24" s="193"/>
      <c r="U24" s="193"/>
      <c r="V24" s="192">
        <v>0</v>
      </c>
      <c r="W24" s="192">
        <f t="shared" si="2"/>
        <v>0</v>
      </c>
      <c r="X24" s="193"/>
      <c r="Y24" s="193"/>
      <c r="Z24" s="194" t="e">
        <f t="shared" si="3"/>
        <v>#DIV/0!</v>
      </c>
      <c r="AA24" s="162"/>
      <c r="AB24" s="159"/>
      <c r="AC24" s="159"/>
      <c r="AD24" s="159"/>
      <c r="AE24" s="159"/>
      <c r="AF24" s="159"/>
    </row>
    <row r="25" spans="1:32" s="16" customFormat="1" ht="79.5" hidden="1" customHeight="1">
      <c r="A25" s="231"/>
      <c r="B25" s="243"/>
      <c r="C25" s="21"/>
      <c r="D25" s="232"/>
      <c r="E25" s="21"/>
      <c r="F25" s="43"/>
      <c r="G25" s="25"/>
      <c r="H25" s="44"/>
      <c r="I25" s="161"/>
      <c r="J25" s="162"/>
      <c r="K25" s="162"/>
      <c r="L25" s="45"/>
      <c r="M25" s="45"/>
      <c r="N25" s="45"/>
      <c r="O25" s="45"/>
      <c r="P25" s="45">
        <v>0</v>
      </c>
      <c r="Q25" s="25">
        <f t="shared" si="0"/>
        <v>0</v>
      </c>
      <c r="R25" s="191">
        <v>0</v>
      </c>
      <c r="S25" s="192">
        <f t="shared" si="1"/>
        <v>0</v>
      </c>
      <c r="T25" s="193"/>
      <c r="U25" s="193"/>
      <c r="V25" s="192">
        <v>0</v>
      </c>
      <c r="W25" s="192">
        <f t="shared" si="2"/>
        <v>0</v>
      </c>
      <c r="X25" s="193"/>
      <c r="Y25" s="193"/>
      <c r="Z25" s="194" t="e">
        <f t="shared" si="3"/>
        <v>#DIV/0!</v>
      </c>
      <c r="AA25" s="162"/>
      <c r="AB25" s="159"/>
      <c r="AC25" s="159"/>
      <c r="AD25" s="159"/>
      <c r="AE25" s="159"/>
      <c r="AF25" s="159"/>
    </row>
    <row r="26" spans="1:32" s="16" customFormat="1" ht="79.5" hidden="1" customHeight="1">
      <c r="A26" s="231"/>
      <c r="B26" s="243"/>
      <c r="C26" s="21"/>
      <c r="D26" s="232"/>
      <c r="E26" s="21"/>
      <c r="F26" s="43"/>
      <c r="G26" s="25"/>
      <c r="H26" s="44"/>
      <c r="I26" s="161"/>
      <c r="J26" s="162"/>
      <c r="K26" s="162"/>
      <c r="L26" s="45"/>
      <c r="M26" s="45"/>
      <c r="N26" s="45"/>
      <c r="O26" s="45"/>
      <c r="P26" s="45">
        <v>0</v>
      </c>
      <c r="Q26" s="25">
        <f t="shared" si="0"/>
        <v>0</v>
      </c>
      <c r="R26" s="191">
        <v>0</v>
      </c>
      <c r="S26" s="192">
        <f t="shared" si="1"/>
        <v>0</v>
      </c>
      <c r="T26" s="193"/>
      <c r="U26" s="193"/>
      <c r="V26" s="192">
        <v>0</v>
      </c>
      <c r="W26" s="192">
        <f t="shared" si="2"/>
        <v>0</v>
      </c>
      <c r="X26" s="193"/>
      <c r="Y26" s="193"/>
      <c r="Z26" s="194" t="e">
        <f t="shared" si="3"/>
        <v>#DIV/0!</v>
      </c>
      <c r="AA26" s="162"/>
      <c r="AB26" s="159"/>
      <c r="AC26" s="159"/>
      <c r="AD26" s="159"/>
      <c r="AE26" s="159"/>
      <c r="AF26" s="159"/>
    </row>
    <row r="27" spans="1:32" s="16" customFormat="1" ht="79.5" hidden="1" customHeight="1">
      <c r="A27" s="231"/>
      <c r="B27" s="243"/>
      <c r="C27" s="21"/>
      <c r="D27" s="232"/>
      <c r="E27" s="21"/>
      <c r="F27" s="43"/>
      <c r="G27" s="25"/>
      <c r="H27" s="44"/>
      <c r="I27" s="161"/>
      <c r="J27" s="162"/>
      <c r="K27" s="162"/>
      <c r="L27" s="45"/>
      <c r="M27" s="45"/>
      <c r="N27" s="45"/>
      <c r="O27" s="45"/>
      <c r="P27" s="45">
        <v>0</v>
      </c>
      <c r="Q27" s="25">
        <f t="shared" si="0"/>
        <v>0</v>
      </c>
      <c r="R27" s="191">
        <v>0</v>
      </c>
      <c r="S27" s="192">
        <f t="shared" si="1"/>
        <v>0</v>
      </c>
      <c r="T27" s="193"/>
      <c r="U27" s="193"/>
      <c r="V27" s="192">
        <v>0</v>
      </c>
      <c r="W27" s="192">
        <f t="shared" si="2"/>
        <v>0</v>
      </c>
      <c r="X27" s="193"/>
      <c r="Y27" s="193"/>
      <c r="Z27" s="194" t="e">
        <f t="shared" si="3"/>
        <v>#DIV/0!</v>
      </c>
      <c r="AA27" s="162"/>
      <c r="AB27" s="159"/>
      <c r="AC27" s="159"/>
      <c r="AD27" s="159"/>
      <c r="AE27" s="159"/>
      <c r="AF27" s="159"/>
    </row>
    <row r="28" spans="1:32" s="35" customFormat="1" ht="54.75" customHeight="1">
      <c r="A28" s="231"/>
      <c r="B28" s="243"/>
      <c r="C28" s="21"/>
      <c r="D28" s="232"/>
      <c r="E28" s="21"/>
      <c r="F28" s="43"/>
      <c r="G28" s="25"/>
      <c r="H28" s="44"/>
      <c r="I28" s="161"/>
      <c r="J28" s="162"/>
      <c r="K28" s="162"/>
      <c r="L28" s="45"/>
      <c r="M28" s="45"/>
      <c r="N28" s="45"/>
      <c r="O28" s="45"/>
      <c r="P28" s="142">
        <f>SUM(P5:P27)</f>
        <v>4154</v>
      </c>
      <c r="Q28" s="142">
        <f>SUM(Q5:Q27)</f>
        <v>-81</v>
      </c>
      <c r="R28" s="142">
        <f>SUM(R5:R27)</f>
        <v>4235</v>
      </c>
      <c r="S28" s="142">
        <f>SUM(S5:S27)</f>
        <v>-81</v>
      </c>
      <c r="T28" s="142"/>
      <c r="U28" s="142"/>
      <c r="V28" s="142">
        <f>SUM(V5:V27)</f>
        <v>4175.5</v>
      </c>
      <c r="W28" s="142">
        <f>SUM(W5:W27)</f>
        <v>21.5</v>
      </c>
      <c r="X28" s="142">
        <f>SUM(X17:X27)</f>
        <v>0</v>
      </c>
      <c r="Y28" s="142">
        <f>SUM(Y17:Y27)</f>
        <v>0</v>
      </c>
      <c r="Z28" s="142" t="e">
        <f>SUM(Z5:Z27)</f>
        <v>#DIV/0!</v>
      </c>
      <c r="AA28" s="162"/>
      <c r="AB28" s="159"/>
      <c r="AC28" s="159"/>
      <c r="AD28" s="159"/>
      <c r="AE28" s="159"/>
      <c r="AF28" s="159"/>
    </row>
    <row r="29" spans="1:32" s="35" customFormat="1" ht="35.25" customHeight="1">
      <c r="A29" s="345" t="s">
        <v>652</v>
      </c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  <c r="AB29" s="346"/>
      <c r="AC29" s="346"/>
      <c r="AD29" s="346"/>
      <c r="AE29" s="346"/>
      <c r="AF29" s="347"/>
    </row>
    <row r="30" spans="1:32" s="16" customFormat="1" ht="80.25" customHeight="1">
      <c r="A30" s="196" t="s">
        <v>1</v>
      </c>
      <c r="B30" s="25" t="s">
        <v>140</v>
      </c>
      <c r="C30" s="25" t="s">
        <v>141</v>
      </c>
      <c r="D30" s="25" t="s">
        <v>142</v>
      </c>
      <c r="E30" s="25" t="s">
        <v>143</v>
      </c>
      <c r="F30" s="199" t="s">
        <v>115</v>
      </c>
      <c r="G30" s="196" t="s">
        <v>117</v>
      </c>
      <c r="H30" s="200" t="s">
        <v>48</v>
      </c>
      <c r="I30" s="196" t="s">
        <v>2</v>
      </c>
      <c r="J30" s="196" t="s">
        <v>3</v>
      </c>
      <c r="K30" s="196" t="s">
        <v>4</v>
      </c>
      <c r="L30" s="197" t="s">
        <v>5</v>
      </c>
      <c r="M30" s="198" t="s">
        <v>6</v>
      </c>
      <c r="N30" s="196" t="s">
        <v>7</v>
      </c>
      <c r="O30" s="198" t="s">
        <v>8</v>
      </c>
      <c r="P30" s="198" t="s">
        <v>9</v>
      </c>
      <c r="Q30" s="198" t="s">
        <v>10</v>
      </c>
      <c r="R30" s="198" t="s">
        <v>11</v>
      </c>
      <c r="S30" s="198" t="s">
        <v>12</v>
      </c>
      <c r="T30" s="198" t="s">
        <v>119</v>
      </c>
      <c r="U30" s="198" t="s">
        <v>13</v>
      </c>
      <c r="V30" s="198" t="s">
        <v>14</v>
      </c>
      <c r="W30" s="198" t="s">
        <v>15</v>
      </c>
      <c r="X30" s="196" t="s">
        <v>119</v>
      </c>
      <c r="Y30" s="198" t="s">
        <v>118</v>
      </c>
      <c r="Z30" s="201" t="s">
        <v>16</v>
      </c>
      <c r="AA30" s="161" t="s">
        <v>17</v>
      </c>
      <c r="AB30" s="159"/>
      <c r="AC30" s="159"/>
      <c r="AD30" s="159"/>
      <c r="AE30" s="159"/>
      <c r="AF30" s="159"/>
    </row>
    <row r="31" spans="1:32" s="16" customFormat="1" ht="114.75" customHeight="1">
      <c r="A31" s="161"/>
      <c r="B31" s="20">
        <v>46217</v>
      </c>
      <c r="C31" s="18">
        <v>46234</v>
      </c>
      <c r="D31" s="53">
        <v>46236</v>
      </c>
      <c r="E31" s="20">
        <v>46246</v>
      </c>
      <c r="F31" s="56" t="s">
        <v>121</v>
      </c>
      <c r="G31" s="25" t="s">
        <v>62</v>
      </c>
      <c r="H31" s="56" t="s">
        <v>39</v>
      </c>
      <c r="I31" s="161"/>
      <c r="J31" s="56" t="s">
        <v>18</v>
      </c>
      <c r="K31" s="140" t="s">
        <v>659</v>
      </c>
      <c r="L31" s="17">
        <v>240</v>
      </c>
      <c r="M31" s="17" t="s">
        <v>56</v>
      </c>
      <c r="N31" s="59" t="s">
        <v>657</v>
      </c>
      <c r="O31" s="52" t="s">
        <v>41</v>
      </c>
      <c r="P31" s="17">
        <v>1061</v>
      </c>
      <c r="Q31" s="25">
        <f t="shared" ref="Q31:Q70" si="4">P31-R31</f>
        <v>6</v>
      </c>
      <c r="R31" s="191">
        <f>506+549</f>
        <v>1055</v>
      </c>
      <c r="S31" s="192">
        <f t="shared" ref="S31:S70" si="5">P31-R31</f>
        <v>6</v>
      </c>
      <c r="T31" s="193" t="s">
        <v>755</v>
      </c>
      <c r="U31" s="193" t="s">
        <v>756</v>
      </c>
      <c r="V31" s="192">
        <f>543+495</f>
        <v>1038</v>
      </c>
      <c r="W31" s="192">
        <f t="shared" ref="W31:W70" si="6">+V31-P31</f>
        <v>-23</v>
      </c>
      <c r="X31" s="193">
        <v>42226</v>
      </c>
      <c r="Y31" s="193" t="s">
        <v>917</v>
      </c>
      <c r="Z31" s="194">
        <f t="shared" ref="Z31:Z70" si="7">(P31-V31)*100/P31/100</f>
        <v>2.1677662582469372E-2</v>
      </c>
      <c r="AA31" s="162" t="s">
        <v>930</v>
      </c>
      <c r="AB31" s="159"/>
      <c r="AC31" s="159"/>
      <c r="AD31" s="159"/>
      <c r="AE31" s="159"/>
      <c r="AF31" s="159"/>
    </row>
    <row r="32" spans="1:32" s="16" customFormat="1" ht="79.5" customHeight="1">
      <c r="A32" s="161"/>
      <c r="B32" s="20">
        <v>46217</v>
      </c>
      <c r="C32" s="18">
        <v>46234</v>
      </c>
      <c r="D32" s="53">
        <v>46236</v>
      </c>
      <c r="E32" s="20">
        <v>46246</v>
      </c>
      <c r="F32" s="56" t="s">
        <v>38</v>
      </c>
      <c r="G32" s="25" t="s">
        <v>62</v>
      </c>
      <c r="H32" s="56" t="s">
        <v>39</v>
      </c>
      <c r="I32" s="161"/>
      <c r="J32" s="56" t="s">
        <v>18</v>
      </c>
      <c r="K32" s="140" t="s">
        <v>659</v>
      </c>
      <c r="L32" s="17">
        <v>240</v>
      </c>
      <c r="M32" s="17" t="s">
        <v>56</v>
      </c>
      <c r="N32" s="59" t="s">
        <v>165</v>
      </c>
      <c r="O32" s="52" t="s">
        <v>41</v>
      </c>
      <c r="P32" s="17">
        <v>188</v>
      </c>
      <c r="Q32" s="25">
        <f t="shared" si="4"/>
        <v>-7</v>
      </c>
      <c r="R32" s="191">
        <f>195</f>
        <v>195</v>
      </c>
      <c r="S32" s="192">
        <f t="shared" si="5"/>
        <v>-7</v>
      </c>
      <c r="T32" s="193">
        <v>394</v>
      </c>
      <c r="U32" s="193" t="s">
        <v>769</v>
      </c>
      <c r="V32" s="192">
        <f>191</f>
        <v>191</v>
      </c>
      <c r="W32" s="192">
        <f t="shared" si="6"/>
        <v>3</v>
      </c>
      <c r="X32" s="193">
        <v>42072</v>
      </c>
      <c r="Y32" s="193" t="s">
        <v>837</v>
      </c>
      <c r="Z32" s="194">
        <f t="shared" si="7"/>
        <v>-1.5957446808510637E-2</v>
      </c>
      <c r="AA32" s="162" t="s">
        <v>983</v>
      </c>
      <c r="AB32" s="159"/>
      <c r="AC32" s="159"/>
      <c r="AD32" s="159"/>
      <c r="AE32" s="159"/>
      <c r="AF32" s="159"/>
    </row>
    <row r="33" spans="1:32" s="16" customFormat="1" ht="79.5" customHeight="1">
      <c r="A33" s="161"/>
      <c r="B33" s="20">
        <v>46223</v>
      </c>
      <c r="C33" s="18">
        <v>46238</v>
      </c>
      <c r="D33" s="53">
        <v>46242</v>
      </c>
      <c r="E33" s="20">
        <v>46252</v>
      </c>
      <c r="F33" s="56" t="s">
        <v>25</v>
      </c>
      <c r="G33" s="25" t="s">
        <v>62</v>
      </c>
      <c r="H33" s="56" t="s">
        <v>179</v>
      </c>
      <c r="I33" s="161"/>
      <c r="J33" s="56" t="s">
        <v>18</v>
      </c>
      <c r="K33" s="140">
        <v>47983</v>
      </c>
      <c r="L33" s="17">
        <v>240</v>
      </c>
      <c r="M33" s="17" t="s">
        <v>42</v>
      </c>
      <c r="N33" s="59" t="s">
        <v>660</v>
      </c>
      <c r="O33" s="52" t="s">
        <v>661</v>
      </c>
      <c r="P33" s="17">
        <v>84</v>
      </c>
      <c r="Q33" s="25">
        <f t="shared" si="4"/>
        <v>-12</v>
      </c>
      <c r="R33" s="191">
        <f>83+13</f>
        <v>96</v>
      </c>
      <c r="S33" s="192">
        <f t="shared" si="5"/>
        <v>-12</v>
      </c>
      <c r="T33" s="193" t="s">
        <v>893</v>
      </c>
      <c r="U33" s="193" t="s">
        <v>894</v>
      </c>
      <c r="V33" s="192">
        <f>90</f>
        <v>90</v>
      </c>
      <c r="W33" s="192">
        <f t="shared" si="6"/>
        <v>6</v>
      </c>
      <c r="X33" s="193">
        <v>42398</v>
      </c>
      <c r="Y33" s="193" t="s">
        <v>1086</v>
      </c>
      <c r="Z33" s="194">
        <f t="shared" si="7"/>
        <v>-7.1428571428571438E-2</v>
      </c>
      <c r="AA33" s="162" t="s">
        <v>1032</v>
      </c>
      <c r="AB33" s="159"/>
      <c r="AC33" s="159"/>
      <c r="AD33" s="159"/>
      <c r="AE33" s="159"/>
      <c r="AF33" s="159"/>
    </row>
    <row r="34" spans="1:32" s="16" customFormat="1" ht="100.5" customHeight="1">
      <c r="A34" s="161"/>
      <c r="B34" s="20">
        <v>46223</v>
      </c>
      <c r="C34" s="18">
        <v>46238</v>
      </c>
      <c r="D34" s="53">
        <v>46242</v>
      </c>
      <c r="E34" s="20">
        <v>46252</v>
      </c>
      <c r="F34" s="56" t="s">
        <v>25</v>
      </c>
      <c r="G34" s="25" t="s">
        <v>62</v>
      </c>
      <c r="H34" s="56" t="s">
        <v>179</v>
      </c>
      <c r="I34" s="161"/>
      <c r="J34" s="56" t="s">
        <v>18</v>
      </c>
      <c r="K34" s="140">
        <v>47983</v>
      </c>
      <c r="L34" s="17">
        <v>240</v>
      </c>
      <c r="M34" s="17" t="s">
        <v>42</v>
      </c>
      <c r="N34" s="59" t="s">
        <v>662</v>
      </c>
      <c r="O34" s="52" t="s">
        <v>661</v>
      </c>
      <c r="P34" s="17">
        <v>122</v>
      </c>
      <c r="Q34" s="25">
        <f t="shared" si="4"/>
        <v>-6</v>
      </c>
      <c r="R34" s="191">
        <f>128</f>
        <v>128</v>
      </c>
      <c r="S34" s="192">
        <f t="shared" si="5"/>
        <v>-6</v>
      </c>
      <c r="T34" s="193">
        <v>1026</v>
      </c>
      <c r="U34" s="193" t="s">
        <v>847</v>
      </c>
      <c r="V34" s="192">
        <f>131</f>
        <v>131</v>
      </c>
      <c r="W34" s="192">
        <f t="shared" si="6"/>
        <v>9</v>
      </c>
      <c r="X34" s="193">
        <v>42208</v>
      </c>
      <c r="Y34" s="193" t="s">
        <v>915</v>
      </c>
      <c r="Z34" s="194">
        <f t="shared" si="7"/>
        <v>-7.3770491803278687E-2</v>
      </c>
      <c r="AA34" s="162" t="s">
        <v>1125</v>
      </c>
      <c r="AB34" s="159"/>
      <c r="AC34" s="159"/>
      <c r="AD34" s="159"/>
      <c r="AE34" s="159"/>
      <c r="AF34" s="159"/>
    </row>
    <row r="35" spans="1:32" s="16" customFormat="1" ht="79.5" customHeight="1">
      <c r="A35" s="161"/>
      <c r="B35" s="20">
        <v>46223</v>
      </c>
      <c r="C35" s="18">
        <v>46236</v>
      </c>
      <c r="D35" s="53">
        <v>46240</v>
      </c>
      <c r="E35" s="20">
        <v>46249</v>
      </c>
      <c r="F35" s="56" t="s">
        <v>25</v>
      </c>
      <c r="G35" s="25" t="s">
        <v>62</v>
      </c>
      <c r="H35" s="56" t="s">
        <v>179</v>
      </c>
      <c r="I35" s="161"/>
      <c r="J35" s="56" t="s">
        <v>18</v>
      </c>
      <c r="K35" s="140">
        <v>47984</v>
      </c>
      <c r="L35" s="17">
        <v>240</v>
      </c>
      <c r="M35" s="17" t="s">
        <v>35</v>
      </c>
      <c r="N35" s="59" t="s">
        <v>662</v>
      </c>
      <c r="O35" s="52" t="s">
        <v>661</v>
      </c>
      <c r="P35" s="17">
        <v>98</v>
      </c>
      <c r="Q35" s="25">
        <f t="shared" si="4"/>
        <v>-3</v>
      </c>
      <c r="R35" s="191">
        <v>101</v>
      </c>
      <c r="S35" s="192">
        <f t="shared" si="5"/>
        <v>-3</v>
      </c>
      <c r="T35" s="193">
        <v>1217</v>
      </c>
      <c r="U35" s="193" t="s">
        <v>837</v>
      </c>
      <c r="V35" s="192">
        <f>97</f>
        <v>97</v>
      </c>
      <c r="W35" s="192">
        <f t="shared" si="6"/>
        <v>-1</v>
      </c>
      <c r="X35" s="193">
        <v>42208</v>
      </c>
      <c r="Y35" s="193" t="s">
        <v>915</v>
      </c>
      <c r="Z35" s="194">
        <f t="shared" si="7"/>
        <v>1.0204081632653062E-2</v>
      </c>
      <c r="AA35" s="162" t="s">
        <v>965</v>
      </c>
      <c r="AB35" s="159"/>
      <c r="AC35" s="159"/>
      <c r="AD35" s="159"/>
      <c r="AE35" s="159"/>
      <c r="AF35" s="159"/>
    </row>
    <row r="36" spans="1:32" s="16" customFormat="1" ht="93" customHeight="1">
      <c r="A36" s="161"/>
      <c r="B36" s="20">
        <v>46223</v>
      </c>
      <c r="C36" s="18">
        <v>46237</v>
      </c>
      <c r="D36" s="53">
        <v>46240</v>
      </c>
      <c r="E36" s="20">
        <v>46247</v>
      </c>
      <c r="F36" s="56" t="s">
        <v>23</v>
      </c>
      <c r="G36" s="25" t="s">
        <v>62</v>
      </c>
      <c r="H36" s="56" t="s">
        <v>179</v>
      </c>
      <c r="I36" s="161"/>
      <c r="J36" s="56" t="s">
        <v>18</v>
      </c>
      <c r="K36" s="140">
        <v>47985</v>
      </c>
      <c r="L36" s="17">
        <v>240</v>
      </c>
      <c r="M36" s="17" t="s">
        <v>35</v>
      </c>
      <c r="N36" s="59" t="s">
        <v>126</v>
      </c>
      <c r="O36" s="52" t="s">
        <v>61</v>
      </c>
      <c r="P36" s="17">
        <v>244</v>
      </c>
      <c r="Q36" s="25">
        <f t="shared" si="4"/>
        <v>-2</v>
      </c>
      <c r="R36" s="191">
        <f>246</f>
        <v>246</v>
      </c>
      <c r="S36" s="192">
        <f t="shared" si="5"/>
        <v>-2</v>
      </c>
      <c r="T36" s="193">
        <v>1026</v>
      </c>
      <c r="U36" s="193" t="s">
        <v>847</v>
      </c>
      <c r="V36" s="192">
        <f>238</f>
        <v>238</v>
      </c>
      <c r="W36" s="192">
        <f t="shared" si="6"/>
        <v>-6</v>
      </c>
      <c r="X36" s="193">
        <v>42350</v>
      </c>
      <c r="Y36" s="193" t="s">
        <v>1046</v>
      </c>
      <c r="Z36" s="194">
        <f t="shared" si="7"/>
        <v>2.4590163934426229E-2</v>
      </c>
      <c r="AA36" s="162" t="s">
        <v>1034</v>
      </c>
      <c r="AB36" s="159"/>
      <c r="AC36" s="159"/>
      <c r="AD36" s="159"/>
      <c r="AE36" s="159"/>
      <c r="AF36" s="159"/>
    </row>
    <row r="37" spans="1:32" s="16" customFormat="1" ht="79.5" customHeight="1">
      <c r="A37" s="161"/>
      <c r="B37" s="20">
        <v>46223</v>
      </c>
      <c r="C37" s="18">
        <v>46238</v>
      </c>
      <c r="D37" s="53">
        <v>46241</v>
      </c>
      <c r="E37" s="20">
        <v>46249</v>
      </c>
      <c r="F37" s="56" t="s">
        <v>23</v>
      </c>
      <c r="G37" s="25" t="s">
        <v>62</v>
      </c>
      <c r="H37" s="56" t="s">
        <v>179</v>
      </c>
      <c r="I37" s="161"/>
      <c r="J37" s="56" t="s">
        <v>18</v>
      </c>
      <c r="K37" s="140">
        <v>47987</v>
      </c>
      <c r="L37" s="17">
        <v>240</v>
      </c>
      <c r="M37" s="17" t="s">
        <v>42</v>
      </c>
      <c r="N37" s="59" t="s">
        <v>843</v>
      </c>
      <c r="O37" s="52" t="s">
        <v>167</v>
      </c>
      <c r="P37" s="17">
        <v>122</v>
      </c>
      <c r="Q37" s="25">
        <f t="shared" si="4"/>
        <v>-6</v>
      </c>
      <c r="R37" s="191">
        <f>128</f>
        <v>128</v>
      </c>
      <c r="S37" s="192">
        <f t="shared" si="5"/>
        <v>-6</v>
      </c>
      <c r="T37" s="193">
        <v>1226</v>
      </c>
      <c r="U37" s="193" t="s">
        <v>847</v>
      </c>
      <c r="V37" s="192">
        <f>122</f>
        <v>122</v>
      </c>
      <c r="W37" s="192">
        <f t="shared" si="6"/>
        <v>0</v>
      </c>
      <c r="X37" s="193">
        <v>42398</v>
      </c>
      <c r="Y37" s="193" t="s">
        <v>1086</v>
      </c>
      <c r="Z37" s="194">
        <f t="shared" si="7"/>
        <v>0</v>
      </c>
      <c r="AA37" s="162" t="s">
        <v>1056</v>
      </c>
      <c r="AB37" s="159"/>
      <c r="AC37" s="159"/>
      <c r="AD37" s="159"/>
      <c r="AE37" s="159"/>
      <c r="AF37" s="159"/>
    </row>
    <row r="38" spans="1:32" s="16" customFormat="1" ht="79.5" customHeight="1">
      <c r="A38" s="161"/>
      <c r="B38" s="20">
        <v>46223</v>
      </c>
      <c r="C38" s="18">
        <v>46238</v>
      </c>
      <c r="D38" s="53">
        <v>46241</v>
      </c>
      <c r="E38" s="20">
        <v>46249</v>
      </c>
      <c r="F38" s="56" t="s">
        <v>23</v>
      </c>
      <c r="G38" s="25" t="s">
        <v>62</v>
      </c>
      <c r="H38" s="56" t="s">
        <v>179</v>
      </c>
      <c r="I38" s="161"/>
      <c r="J38" s="56" t="s">
        <v>18</v>
      </c>
      <c r="K38" s="140">
        <v>47987</v>
      </c>
      <c r="L38" s="17">
        <v>240</v>
      </c>
      <c r="M38" s="17" t="s">
        <v>42</v>
      </c>
      <c r="N38" s="59" t="s">
        <v>842</v>
      </c>
      <c r="O38" s="52" t="s">
        <v>167</v>
      </c>
      <c r="P38" s="17">
        <v>32</v>
      </c>
      <c r="Q38" s="25">
        <f t="shared" si="4"/>
        <v>-5</v>
      </c>
      <c r="R38" s="191">
        <f>37</f>
        <v>37</v>
      </c>
      <c r="S38" s="192">
        <f t="shared" si="5"/>
        <v>-5</v>
      </c>
      <c r="T38" s="193">
        <v>1226</v>
      </c>
      <c r="U38" s="193" t="s">
        <v>847</v>
      </c>
      <c r="V38" s="192">
        <f>34</f>
        <v>34</v>
      </c>
      <c r="W38" s="192">
        <f t="shared" si="6"/>
        <v>2</v>
      </c>
      <c r="X38" s="193">
        <v>42488</v>
      </c>
      <c r="Y38" s="193" t="s">
        <v>1129</v>
      </c>
      <c r="Z38" s="194">
        <f t="shared" si="7"/>
        <v>-6.25E-2</v>
      </c>
      <c r="AA38" s="162" t="s">
        <v>1057</v>
      </c>
      <c r="AB38" s="159"/>
      <c r="AC38" s="159"/>
      <c r="AD38" s="159"/>
      <c r="AE38" s="159"/>
      <c r="AF38" s="159"/>
    </row>
    <row r="39" spans="1:32" s="16" customFormat="1" ht="79.5" customHeight="1">
      <c r="A39" s="161"/>
      <c r="B39" s="20">
        <v>46223</v>
      </c>
      <c r="C39" s="18">
        <v>46238</v>
      </c>
      <c r="D39" s="53">
        <v>46241</v>
      </c>
      <c r="E39" s="20">
        <v>46249</v>
      </c>
      <c r="F39" s="56" t="s">
        <v>23</v>
      </c>
      <c r="G39" s="25" t="s">
        <v>62</v>
      </c>
      <c r="H39" s="56" t="s">
        <v>179</v>
      </c>
      <c r="I39" s="161"/>
      <c r="J39" s="56" t="s">
        <v>18</v>
      </c>
      <c r="K39" s="140">
        <v>47987</v>
      </c>
      <c r="L39" s="17">
        <v>240</v>
      </c>
      <c r="M39" s="17" t="s">
        <v>42</v>
      </c>
      <c r="N39" s="59" t="s">
        <v>845</v>
      </c>
      <c r="O39" s="52" t="s">
        <v>167</v>
      </c>
      <c r="P39" s="17">
        <v>32</v>
      </c>
      <c r="Q39" s="25">
        <f t="shared" si="4"/>
        <v>-5</v>
      </c>
      <c r="R39" s="191">
        <f>37</f>
        <v>37</v>
      </c>
      <c r="S39" s="192">
        <f t="shared" si="5"/>
        <v>-5</v>
      </c>
      <c r="T39" s="193">
        <v>1226</v>
      </c>
      <c r="U39" s="193" t="s">
        <v>847</v>
      </c>
      <c r="V39" s="192">
        <f>6+31</f>
        <v>37</v>
      </c>
      <c r="W39" s="192">
        <f t="shared" si="6"/>
        <v>5</v>
      </c>
      <c r="X39" s="193">
        <v>42398</v>
      </c>
      <c r="Y39" s="193" t="s">
        <v>1086</v>
      </c>
      <c r="Z39" s="194">
        <f t="shared" si="7"/>
        <v>-0.15625</v>
      </c>
      <c r="AA39" s="162" t="s">
        <v>1108</v>
      </c>
      <c r="AB39" s="159"/>
      <c r="AC39" s="159"/>
      <c r="AD39" s="159"/>
      <c r="AE39" s="159"/>
      <c r="AF39" s="159"/>
    </row>
    <row r="40" spans="1:32" s="16" customFormat="1" ht="79.5" customHeight="1">
      <c r="A40" s="161"/>
      <c r="B40" s="20">
        <v>46223</v>
      </c>
      <c r="C40" s="18">
        <v>46238</v>
      </c>
      <c r="D40" s="53">
        <v>46241</v>
      </c>
      <c r="E40" s="20">
        <v>46249</v>
      </c>
      <c r="F40" s="56" t="s">
        <v>23</v>
      </c>
      <c r="G40" s="25" t="s">
        <v>62</v>
      </c>
      <c r="H40" s="56" t="s">
        <v>179</v>
      </c>
      <c r="I40" s="161"/>
      <c r="J40" s="56" t="s">
        <v>18</v>
      </c>
      <c r="K40" s="140">
        <v>47987</v>
      </c>
      <c r="L40" s="17">
        <v>240</v>
      </c>
      <c r="M40" s="17" t="s">
        <v>42</v>
      </c>
      <c r="N40" s="59" t="s">
        <v>846</v>
      </c>
      <c r="O40" s="52" t="s">
        <v>167</v>
      </c>
      <c r="P40" s="17">
        <v>160</v>
      </c>
      <c r="Q40" s="25">
        <f t="shared" si="4"/>
        <v>-5</v>
      </c>
      <c r="R40" s="191">
        <f>165</f>
        <v>165</v>
      </c>
      <c r="S40" s="192">
        <f t="shared" si="5"/>
        <v>-5</v>
      </c>
      <c r="T40" s="193">
        <v>1226</v>
      </c>
      <c r="U40" s="193" t="s">
        <v>847</v>
      </c>
      <c r="V40" s="192">
        <f>4+154-154+153</f>
        <v>157</v>
      </c>
      <c r="W40" s="192">
        <f t="shared" si="6"/>
        <v>-3</v>
      </c>
      <c r="X40" s="193" t="s">
        <v>1114</v>
      </c>
      <c r="Y40" s="193" t="s">
        <v>1103</v>
      </c>
      <c r="Z40" s="194">
        <f t="shared" si="7"/>
        <v>1.8749999999999999E-2</v>
      </c>
      <c r="AA40" s="162" t="s">
        <v>1115</v>
      </c>
      <c r="AB40" s="159"/>
      <c r="AC40" s="159"/>
      <c r="AD40" s="159"/>
      <c r="AE40" s="159"/>
      <c r="AF40" s="159"/>
    </row>
    <row r="41" spans="1:32" s="16" customFormat="1" ht="79.5" customHeight="1">
      <c r="A41" s="161"/>
      <c r="B41" s="20">
        <v>46223</v>
      </c>
      <c r="C41" s="18">
        <v>46238</v>
      </c>
      <c r="D41" s="53">
        <v>46241</v>
      </c>
      <c r="E41" s="20">
        <v>46249</v>
      </c>
      <c r="F41" s="56" t="s">
        <v>23</v>
      </c>
      <c r="G41" s="25" t="s">
        <v>62</v>
      </c>
      <c r="H41" s="56" t="s">
        <v>179</v>
      </c>
      <c r="I41" s="161"/>
      <c r="J41" s="56" t="s">
        <v>18</v>
      </c>
      <c r="K41" s="140">
        <v>47987</v>
      </c>
      <c r="L41" s="17">
        <v>240</v>
      </c>
      <c r="M41" s="17" t="s">
        <v>42</v>
      </c>
      <c r="N41" s="59" t="s">
        <v>839</v>
      </c>
      <c r="O41" s="52" t="s">
        <v>167</v>
      </c>
      <c r="P41" s="17">
        <v>41</v>
      </c>
      <c r="Q41" s="25">
        <f t="shared" si="4"/>
        <v>-12</v>
      </c>
      <c r="R41" s="191">
        <f>53</f>
        <v>53</v>
      </c>
      <c r="S41" s="192">
        <f t="shared" si="5"/>
        <v>-12</v>
      </c>
      <c r="T41" s="193">
        <v>1246</v>
      </c>
      <c r="U41" s="193" t="s">
        <v>915</v>
      </c>
      <c r="V41" s="192">
        <f>46</f>
        <v>46</v>
      </c>
      <c r="W41" s="192">
        <f t="shared" si="6"/>
        <v>5</v>
      </c>
      <c r="X41" s="193">
        <v>42488</v>
      </c>
      <c r="Y41" s="193" t="s">
        <v>1129</v>
      </c>
      <c r="Z41" s="194">
        <f t="shared" si="7"/>
        <v>-0.12195121951219512</v>
      </c>
      <c r="AA41" s="162" t="s">
        <v>1058</v>
      </c>
      <c r="AB41" s="159"/>
      <c r="AC41" s="159"/>
      <c r="AD41" s="159"/>
      <c r="AE41" s="159"/>
      <c r="AF41" s="159"/>
    </row>
    <row r="42" spans="1:32" s="16" customFormat="1" ht="79.5" customHeight="1">
      <c r="A42" s="161"/>
      <c r="B42" s="20">
        <v>46223</v>
      </c>
      <c r="C42" s="18">
        <v>46238</v>
      </c>
      <c r="D42" s="53">
        <v>46241</v>
      </c>
      <c r="E42" s="20">
        <v>46249</v>
      </c>
      <c r="F42" s="56" t="s">
        <v>23</v>
      </c>
      <c r="G42" s="25" t="s">
        <v>62</v>
      </c>
      <c r="H42" s="56" t="s">
        <v>179</v>
      </c>
      <c r="I42" s="161"/>
      <c r="J42" s="56" t="s">
        <v>18</v>
      </c>
      <c r="K42" s="140">
        <v>47987</v>
      </c>
      <c r="L42" s="17">
        <v>240</v>
      </c>
      <c r="M42" s="17" t="s">
        <v>42</v>
      </c>
      <c r="N42" s="59" t="s">
        <v>844</v>
      </c>
      <c r="O42" s="52" t="s">
        <v>167</v>
      </c>
      <c r="P42" s="17">
        <v>41</v>
      </c>
      <c r="Q42" s="25">
        <f t="shared" si="4"/>
        <v>-12</v>
      </c>
      <c r="R42" s="191">
        <f>53</f>
        <v>53</v>
      </c>
      <c r="S42" s="192">
        <f t="shared" si="5"/>
        <v>-12</v>
      </c>
      <c r="T42" s="193">
        <v>1246</v>
      </c>
      <c r="U42" s="193" t="s">
        <v>915</v>
      </c>
      <c r="V42" s="192">
        <f>41</f>
        <v>41</v>
      </c>
      <c r="W42" s="192">
        <f t="shared" si="6"/>
        <v>0</v>
      </c>
      <c r="X42" s="193">
        <v>42398</v>
      </c>
      <c r="Y42" s="193" t="s">
        <v>1086</v>
      </c>
      <c r="Z42" s="194">
        <f t="shared" si="7"/>
        <v>0</v>
      </c>
      <c r="AA42" s="162" t="s">
        <v>1058</v>
      </c>
      <c r="AB42" s="159"/>
      <c r="AC42" s="159"/>
      <c r="AD42" s="159"/>
      <c r="AE42" s="159"/>
      <c r="AF42" s="159"/>
    </row>
    <row r="43" spans="1:32" s="16" customFormat="1" ht="79.5" customHeight="1">
      <c r="A43" s="161"/>
      <c r="B43" s="20">
        <v>46223</v>
      </c>
      <c r="C43" s="18">
        <v>46238</v>
      </c>
      <c r="D43" s="53">
        <v>46238</v>
      </c>
      <c r="E43" s="20">
        <v>46245</v>
      </c>
      <c r="F43" s="56" t="s">
        <v>23</v>
      </c>
      <c r="G43" s="25" t="s">
        <v>105</v>
      </c>
      <c r="H43" s="56" t="s">
        <v>51</v>
      </c>
      <c r="I43" s="161"/>
      <c r="J43" s="56" t="s">
        <v>18</v>
      </c>
      <c r="K43" s="140">
        <v>48034</v>
      </c>
      <c r="L43" s="17">
        <v>240</v>
      </c>
      <c r="M43" s="17" t="s">
        <v>35</v>
      </c>
      <c r="N43" s="59" t="s">
        <v>160</v>
      </c>
      <c r="O43" s="52" t="s">
        <v>61</v>
      </c>
      <c r="P43" s="17">
        <v>74</v>
      </c>
      <c r="Q43" s="25">
        <f t="shared" si="4"/>
        <v>-4</v>
      </c>
      <c r="R43" s="191">
        <f>78</f>
        <v>78</v>
      </c>
      <c r="S43" s="192">
        <f t="shared" si="5"/>
        <v>-4</v>
      </c>
      <c r="T43" s="193">
        <v>1210</v>
      </c>
      <c r="U43" s="193" t="s">
        <v>824</v>
      </c>
      <c r="V43" s="192">
        <f>76</f>
        <v>76</v>
      </c>
      <c r="W43" s="192">
        <f t="shared" si="6"/>
        <v>2</v>
      </c>
      <c r="X43" s="193">
        <v>1906</v>
      </c>
      <c r="Y43" s="193" t="s">
        <v>1000</v>
      </c>
      <c r="Z43" s="194">
        <f t="shared" si="7"/>
        <v>-2.7027027027027025E-2</v>
      </c>
      <c r="AA43" s="162" t="s">
        <v>1009</v>
      </c>
      <c r="AB43" s="159"/>
      <c r="AC43" s="159"/>
      <c r="AD43" s="159"/>
      <c r="AE43" s="159"/>
      <c r="AF43" s="159"/>
    </row>
    <row r="44" spans="1:32" s="16" customFormat="1" ht="79.5" customHeight="1">
      <c r="A44" s="161"/>
      <c r="B44" s="20">
        <v>46226</v>
      </c>
      <c r="C44" s="18">
        <v>46241</v>
      </c>
      <c r="D44" s="53">
        <v>46244</v>
      </c>
      <c r="E44" s="20">
        <v>46252</v>
      </c>
      <c r="F44" s="56" t="s">
        <v>121</v>
      </c>
      <c r="G44" s="25" t="s">
        <v>62</v>
      </c>
      <c r="H44" s="56" t="s">
        <v>128</v>
      </c>
      <c r="I44" s="161"/>
      <c r="J44" s="56" t="s">
        <v>18</v>
      </c>
      <c r="K44" s="140">
        <v>48066</v>
      </c>
      <c r="L44" s="17">
        <v>220</v>
      </c>
      <c r="M44" s="17" t="s">
        <v>45</v>
      </c>
      <c r="N44" s="59" t="s">
        <v>145</v>
      </c>
      <c r="O44" s="52" t="s">
        <v>28</v>
      </c>
      <c r="P44" s="17">
        <v>139</v>
      </c>
      <c r="Q44" s="25">
        <f t="shared" si="4"/>
        <v>-8</v>
      </c>
      <c r="R44" s="191">
        <f>147</f>
        <v>147</v>
      </c>
      <c r="S44" s="192">
        <f t="shared" si="5"/>
        <v>-8</v>
      </c>
      <c r="T44" s="193">
        <v>1211</v>
      </c>
      <c r="U44" s="193" t="s">
        <v>824</v>
      </c>
      <c r="V44" s="192">
        <f>146</f>
        <v>146</v>
      </c>
      <c r="W44" s="192">
        <f t="shared" si="6"/>
        <v>7</v>
      </c>
      <c r="X44" s="193">
        <v>42390</v>
      </c>
      <c r="Y44" s="193">
        <v>25.08</v>
      </c>
      <c r="Z44" s="194">
        <f t="shared" si="7"/>
        <v>-5.0359712230215826E-2</v>
      </c>
      <c r="AA44" s="162" t="s">
        <v>941</v>
      </c>
      <c r="AB44" s="159"/>
      <c r="AC44" s="159"/>
      <c r="AD44" s="159"/>
      <c r="AE44" s="159"/>
      <c r="AF44" s="159"/>
    </row>
    <row r="45" spans="1:32" s="16" customFormat="1" ht="79.5" customHeight="1">
      <c r="A45" s="161"/>
      <c r="B45" s="20">
        <v>46226</v>
      </c>
      <c r="C45" s="18">
        <v>46241</v>
      </c>
      <c r="D45" s="53">
        <v>46244</v>
      </c>
      <c r="E45" s="20">
        <v>46252</v>
      </c>
      <c r="F45" s="56" t="s">
        <v>25</v>
      </c>
      <c r="G45" s="25" t="s">
        <v>62</v>
      </c>
      <c r="H45" s="56" t="s">
        <v>128</v>
      </c>
      <c r="I45" s="161"/>
      <c r="J45" s="56" t="s">
        <v>18</v>
      </c>
      <c r="K45" s="140">
        <v>48066</v>
      </c>
      <c r="L45" s="17">
        <v>220</v>
      </c>
      <c r="M45" s="17" t="s">
        <v>45</v>
      </c>
      <c r="N45" s="59" t="s">
        <v>663</v>
      </c>
      <c r="O45" s="52" t="s">
        <v>28</v>
      </c>
      <c r="P45" s="17">
        <v>139</v>
      </c>
      <c r="Q45" s="25">
        <f t="shared" si="4"/>
        <v>-16</v>
      </c>
      <c r="R45" s="191">
        <f>155</f>
        <v>155</v>
      </c>
      <c r="S45" s="192">
        <f t="shared" si="5"/>
        <v>-16</v>
      </c>
      <c r="T45" s="193">
        <v>394</v>
      </c>
      <c r="U45" s="193" t="s">
        <v>769</v>
      </c>
      <c r="V45" s="192">
        <v>155</v>
      </c>
      <c r="W45" s="192">
        <f t="shared" si="6"/>
        <v>16</v>
      </c>
      <c r="X45" s="193">
        <v>42390</v>
      </c>
      <c r="Y45" s="193">
        <v>25.08</v>
      </c>
      <c r="Z45" s="194">
        <f t="shared" si="7"/>
        <v>-0.11510791366906474</v>
      </c>
      <c r="AA45" s="162" t="s">
        <v>891</v>
      </c>
      <c r="AB45" s="159"/>
      <c r="AC45" s="159"/>
      <c r="AD45" s="159"/>
      <c r="AE45" s="159"/>
      <c r="AF45" s="159"/>
    </row>
    <row r="46" spans="1:32" s="16" customFormat="1" ht="163.5" customHeight="1">
      <c r="A46" s="161"/>
      <c r="B46" s="20">
        <v>46226</v>
      </c>
      <c r="C46" s="18">
        <v>46241</v>
      </c>
      <c r="D46" s="53">
        <v>46244</v>
      </c>
      <c r="E46" s="20">
        <v>46252</v>
      </c>
      <c r="F46" s="56" t="s">
        <v>25</v>
      </c>
      <c r="G46" s="25" t="s">
        <v>62</v>
      </c>
      <c r="H46" s="56" t="s">
        <v>128</v>
      </c>
      <c r="I46" s="161"/>
      <c r="J46" s="56" t="s">
        <v>18</v>
      </c>
      <c r="K46" s="140">
        <v>48066</v>
      </c>
      <c r="L46" s="17">
        <v>220</v>
      </c>
      <c r="M46" s="17" t="s">
        <v>45</v>
      </c>
      <c r="N46" s="59" t="s">
        <v>664</v>
      </c>
      <c r="O46" s="52" t="s">
        <v>28</v>
      </c>
      <c r="P46" s="17">
        <v>118</v>
      </c>
      <c r="Q46" s="25">
        <f t="shared" si="4"/>
        <v>-15</v>
      </c>
      <c r="R46" s="191">
        <f>133</f>
        <v>133</v>
      </c>
      <c r="S46" s="192">
        <f t="shared" si="5"/>
        <v>-15</v>
      </c>
      <c r="T46" s="193">
        <v>1018</v>
      </c>
      <c r="U46" s="193" t="s">
        <v>837</v>
      </c>
      <c r="V46" s="192">
        <f>134</f>
        <v>134</v>
      </c>
      <c r="W46" s="192">
        <f t="shared" si="6"/>
        <v>16</v>
      </c>
      <c r="X46" s="193">
        <v>42360</v>
      </c>
      <c r="Y46" s="193" t="s">
        <v>1055</v>
      </c>
      <c r="Z46" s="194">
        <f t="shared" si="7"/>
        <v>-0.13559322033898305</v>
      </c>
      <c r="AA46" s="162" t="s">
        <v>1016</v>
      </c>
      <c r="AB46" s="159"/>
      <c r="AC46" s="159"/>
      <c r="AD46" s="159"/>
      <c r="AE46" s="159"/>
      <c r="AF46" s="159"/>
    </row>
    <row r="47" spans="1:32" s="16" customFormat="1" ht="79.5" customHeight="1">
      <c r="A47" s="161"/>
      <c r="B47" s="20">
        <v>46225</v>
      </c>
      <c r="C47" s="18">
        <v>46236</v>
      </c>
      <c r="D47" s="53">
        <v>46238</v>
      </c>
      <c r="E47" s="20">
        <v>46246</v>
      </c>
      <c r="F47" s="56" t="s">
        <v>23</v>
      </c>
      <c r="G47" s="25" t="s">
        <v>62</v>
      </c>
      <c r="H47" s="56" t="s">
        <v>179</v>
      </c>
      <c r="I47" s="161"/>
      <c r="J47" s="56" t="s">
        <v>18</v>
      </c>
      <c r="K47" s="140">
        <v>47986</v>
      </c>
      <c r="L47" s="17">
        <v>240</v>
      </c>
      <c r="M47" s="17" t="s">
        <v>35</v>
      </c>
      <c r="N47" s="59" t="s">
        <v>126</v>
      </c>
      <c r="O47" s="52" t="s">
        <v>61</v>
      </c>
      <c r="P47" s="17">
        <v>174</v>
      </c>
      <c r="Q47" s="25">
        <f t="shared" si="4"/>
        <v>-3</v>
      </c>
      <c r="R47" s="191">
        <f>177</f>
        <v>177</v>
      </c>
      <c r="S47" s="192">
        <f t="shared" si="5"/>
        <v>-3</v>
      </c>
      <c r="T47" s="193">
        <v>1026</v>
      </c>
      <c r="U47" s="193" t="s">
        <v>847</v>
      </c>
      <c r="V47" s="192">
        <f>173</f>
        <v>173</v>
      </c>
      <c r="W47" s="192">
        <f t="shared" si="6"/>
        <v>-1</v>
      </c>
      <c r="X47" s="193">
        <v>42350</v>
      </c>
      <c r="Y47" s="193" t="s">
        <v>1046</v>
      </c>
      <c r="Z47" s="194">
        <f t="shared" si="7"/>
        <v>5.7471264367816091E-3</v>
      </c>
      <c r="AA47" s="162" t="s">
        <v>1035</v>
      </c>
      <c r="AB47" s="159"/>
      <c r="AC47" s="159"/>
      <c r="AD47" s="159"/>
      <c r="AE47" s="159"/>
      <c r="AF47" s="159"/>
    </row>
    <row r="48" spans="1:32" s="16" customFormat="1" ht="135.75" customHeight="1">
      <c r="A48" s="161"/>
      <c r="B48" s="20">
        <v>46227</v>
      </c>
      <c r="C48" s="18">
        <v>46238</v>
      </c>
      <c r="D48" s="53">
        <v>46241</v>
      </c>
      <c r="E48" s="20">
        <v>46248</v>
      </c>
      <c r="F48" s="56" t="s">
        <v>23</v>
      </c>
      <c r="G48" s="25" t="s">
        <v>62</v>
      </c>
      <c r="H48" s="56" t="s">
        <v>179</v>
      </c>
      <c r="I48" s="161"/>
      <c r="J48" s="56" t="s">
        <v>18</v>
      </c>
      <c r="K48" s="140">
        <v>47995</v>
      </c>
      <c r="L48" s="17">
        <v>240</v>
      </c>
      <c r="M48" s="17" t="s">
        <v>35</v>
      </c>
      <c r="N48" s="59" t="s">
        <v>126</v>
      </c>
      <c r="O48" s="52" t="s">
        <v>61</v>
      </c>
      <c r="P48" s="17">
        <v>38</v>
      </c>
      <c r="Q48" s="25">
        <f t="shared" si="4"/>
        <v>-2</v>
      </c>
      <c r="R48" s="191">
        <f>40</f>
        <v>40</v>
      </c>
      <c r="S48" s="192">
        <f t="shared" si="5"/>
        <v>-2</v>
      </c>
      <c r="T48" s="193">
        <v>1026</v>
      </c>
      <c r="U48" s="193" t="s">
        <v>847</v>
      </c>
      <c r="V48" s="192">
        <f>36</f>
        <v>36</v>
      </c>
      <c r="W48" s="192">
        <f t="shared" si="6"/>
        <v>-2</v>
      </c>
      <c r="X48" s="193">
        <v>42350</v>
      </c>
      <c r="Y48" s="193" t="s">
        <v>1046</v>
      </c>
      <c r="Z48" s="194">
        <f t="shared" si="7"/>
        <v>5.2631578947368425E-2</v>
      </c>
      <c r="AA48" s="162" t="s">
        <v>1036</v>
      </c>
      <c r="AB48" s="159"/>
      <c r="AC48" s="159"/>
      <c r="AD48" s="159"/>
      <c r="AE48" s="159"/>
      <c r="AF48" s="159"/>
    </row>
    <row r="49" spans="1:32" s="16" customFormat="1" ht="105" customHeight="1">
      <c r="A49" s="161"/>
      <c r="B49" s="20">
        <v>46227</v>
      </c>
      <c r="C49" s="18">
        <v>46238</v>
      </c>
      <c r="D49" s="53">
        <v>46241</v>
      </c>
      <c r="E49" s="20">
        <v>46248</v>
      </c>
      <c r="F49" s="56" t="s">
        <v>23</v>
      </c>
      <c r="G49" s="25" t="s">
        <v>62</v>
      </c>
      <c r="H49" s="56" t="s">
        <v>179</v>
      </c>
      <c r="I49" s="161"/>
      <c r="J49" s="56" t="s">
        <v>18</v>
      </c>
      <c r="K49" s="140">
        <v>47995</v>
      </c>
      <c r="L49" s="17">
        <v>240</v>
      </c>
      <c r="M49" s="17" t="s">
        <v>35</v>
      </c>
      <c r="N49" s="59" t="s">
        <v>126</v>
      </c>
      <c r="O49" s="52" t="s">
        <v>61</v>
      </c>
      <c r="P49" s="17">
        <v>36</v>
      </c>
      <c r="Q49" s="25">
        <f t="shared" si="4"/>
        <v>-3</v>
      </c>
      <c r="R49" s="191">
        <f>39</f>
        <v>39</v>
      </c>
      <c r="S49" s="192">
        <f t="shared" si="5"/>
        <v>-3</v>
      </c>
      <c r="T49" s="193">
        <v>1026</v>
      </c>
      <c r="U49" s="193" t="s">
        <v>847</v>
      </c>
      <c r="V49" s="192">
        <f>35</f>
        <v>35</v>
      </c>
      <c r="W49" s="192">
        <f t="shared" si="6"/>
        <v>-1</v>
      </c>
      <c r="X49" s="193">
        <v>42350</v>
      </c>
      <c r="Y49" s="193" t="s">
        <v>1046</v>
      </c>
      <c r="Z49" s="194">
        <f t="shared" si="7"/>
        <v>2.7777777777777776E-2</v>
      </c>
      <c r="AA49" s="162" t="s">
        <v>1037</v>
      </c>
      <c r="AB49" s="159"/>
      <c r="AC49" s="159"/>
      <c r="AD49" s="159"/>
      <c r="AE49" s="159"/>
      <c r="AF49" s="159"/>
    </row>
    <row r="50" spans="1:32" s="16" customFormat="1" ht="79.5" customHeight="1">
      <c r="A50" s="161"/>
      <c r="B50" s="20">
        <v>46228</v>
      </c>
      <c r="C50" s="18">
        <v>46241</v>
      </c>
      <c r="D50" s="53">
        <v>46244</v>
      </c>
      <c r="E50" s="20">
        <v>46251</v>
      </c>
      <c r="F50" s="56" t="s">
        <v>23</v>
      </c>
      <c r="G50" s="25" t="s">
        <v>105</v>
      </c>
      <c r="H50" s="56" t="s">
        <v>51</v>
      </c>
      <c r="I50" s="161"/>
      <c r="J50" s="56" t="s">
        <v>18</v>
      </c>
      <c r="K50" s="140">
        <v>48018</v>
      </c>
      <c r="L50" s="17">
        <v>180</v>
      </c>
      <c r="M50" s="17" t="s">
        <v>35</v>
      </c>
      <c r="N50" s="59" t="s">
        <v>160</v>
      </c>
      <c r="O50" s="52" t="s">
        <v>52</v>
      </c>
      <c r="P50" s="17">
        <v>40</v>
      </c>
      <c r="Q50" s="25">
        <f t="shared" si="4"/>
        <v>-2</v>
      </c>
      <c r="R50" s="191">
        <f>42</f>
        <v>42</v>
      </c>
      <c r="S50" s="192">
        <f t="shared" si="5"/>
        <v>-2</v>
      </c>
      <c r="T50" s="193">
        <v>1247</v>
      </c>
      <c r="U50" s="193" t="s">
        <v>899</v>
      </c>
      <c r="V50" s="192">
        <f>40</f>
        <v>40</v>
      </c>
      <c r="W50" s="192">
        <f t="shared" si="6"/>
        <v>0</v>
      </c>
      <c r="X50" s="193">
        <v>1901</v>
      </c>
      <c r="Y50" s="193" t="s">
        <v>990</v>
      </c>
      <c r="Z50" s="194">
        <f t="shared" si="7"/>
        <v>0</v>
      </c>
      <c r="AA50" s="162" t="s">
        <v>952</v>
      </c>
      <c r="AB50" s="159"/>
      <c r="AC50" s="159"/>
      <c r="AD50" s="159"/>
      <c r="AE50" s="159"/>
      <c r="AF50" s="159"/>
    </row>
    <row r="51" spans="1:32" s="16" customFormat="1" ht="79.5" customHeight="1">
      <c r="A51" s="161"/>
      <c r="B51" s="20">
        <v>46225</v>
      </c>
      <c r="C51" s="18">
        <v>46240</v>
      </c>
      <c r="D51" s="53">
        <v>46242</v>
      </c>
      <c r="E51" s="20">
        <v>46249</v>
      </c>
      <c r="F51" s="56" t="s">
        <v>25</v>
      </c>
      <c r="G51" s="25" t="s">
        <v>105</v>
      </c>
      <c r="H51" s="56" t="s">
        <v>51</v>
      </c>
      <c r="I51" s="161"/>
      <c r="J51" s="56" t="s">
        <v>18</v>
      </c>
      <c r="K51" s="140">
        <v>48021</v>
      </c>
      <c r="L51" s="17">
        <v>240</v>
      </c>
      <c r="M51" s="17" t="s">
        <v>35</v>
      </c>
      <c r="N51" s="59" t="s">
        <v>129</v>
      </c>
      <c r="O51" s="52" t="s">
        <v>61</v>
      </c>
      <c r="P51" s="17">
        <v>76</v>
      </c>
      <c r="Q51" s="25">
        <f t="shared" si="4"/>
        <v>-21</v>
      </c>
      <c r="R51" s="191">
        <f>76+21</f>
        <v>97</v>
      </c>
      <c r="S51" s="192">
        <f t="shared" si="5"/>
        <v>-21</v>
      </c>
      <c r="T51" s="193">
        <v>992</v>
      </c>
      <c r="U51" s="193" t="s">
        <v>847</v>
      </c>
      <c r="V51" s="192">
        <f>69+17</f>
        <v>86</v>
      </c>
      <c r="W51" s="192">
        <f>+V51-P51</f>
        <v>10</v>
      </c>
      <c r="X51" s="193">
        <v>1906</v>
      </c>
      <c r="Y51" s="193" t="s">
        <v>1000</v>
      </c>
      <c r="Z51" s="194">
        <f t="shared" si="7"/>
        <v>-0.13157894736842105</v>
      </c>
      <c r="AA51" s="162" t="s">
        <v>1171</v>
      </c>
      <c r="AB51" s="159"/>
      <c r="AC51" s="159"/>
      <c r="AD51" s="159"/>
      <c r="AE51" s="159"/>
      <c r="AF51" s="159"/>
    </row>
    <row r="52" spans="1:32" s="16" customFormat="1" ht="79.5" customHeight="1">
      <c r="A52" s="161"/>
      <c r="B52" s="20">
        <v>46225</v>
      </c>
      <c r="C52" s="18">
        <v>46240</v>
      </c>
      <c r="D52" s="53">
        <v>46242</v>
      </c>
      <c r="E52" s="20">
        <v>46249</v>
      </c>
      <c r="F52" s="56" t="s">
        <v>23</v>
      </c>
      <c r="G52" s="25" t="s">
        <v>105</v>
      </c>
      <c r="H52" s="56" t="s">
        <v>51</v>
      </c>
      <c r="I52" s="161"/>
      <c r="J52" s="56" t="s">
        <v>18</v>
      </c>
      <c r="K52" s="140">
        <v>48021</v>
      </c>
      <c r="L52" s="17">
        <v>240</v>
      </c>
      <c r="M52" s="17" t="s">
        <v>35</v>
      </c>
      <c r="N52" s="59" t="s">
        <v>160</v>
      </c>
      <c r="O52" s="52" t="s">
        <v>61</v>
      </c>
      <c r="P52" s="17">
        <v>53</v>
      </c>
      <c r="Q52" s="25">
        <f t="shared" si="4"/>
        <v>-3</v>
      </c>
      <c r="R52" s="191">
        <f>56</f>
        <v>56</v>
      </c>
      <c r="S52" s="192">
        <f t="shared" si="5"/>
        <v>-3</v>
      </c>
      <c r="T52" s="193">
        <v>1210</v>
      </c>
      <c r="U52" s="193" t="s">
        <v>824</v>
      </c>
      <c r="V52" s="192">
        <f>54</f>
        <v>54</v>
      </c>
      <c r="W52" s="192">
        <f t="shared" si="6"/>
        <v>1</v>
      </c>
      <c r="X52" s="193">
        <v>1906</v>
      </c>
      <c r="Y52" s="193" t="s">
        <v>1000</v>
      </c>
      <c r="Z52" s="194">
        <f t="shared" si="7"/>
        <v>-1.8867924528301886E-2</v>
      </c>
      <c r="AA52" s="162" t="s">
        <v>1005</v>
      </c>
      <c r="AB52" s="159"/>
      <c r="AC52" s="159"/>
      <c r="AD52" s="159"/>
      <c r="AE52" s="159"/>
      <c r="AF52" s="159"/>
    </row>
    <row r="53" spans="1:32" s="16" customFormat="1" ht="79.5" customHeight="1">
      <c r="A53" s="161"/>
      <c r="B53" s="20">
        <v>46226</v>
      </c>
      <c r="C53" s="18">
        <v>46241</v>
      </c>
      <c r="D53" s="53">
        <v>46244</v>
      </c>
      <c r="E53" s="20">
        <v>46251</v>
      </c>
      <c r="F53" s="56" t="s">
        <v>25</v>
      </c>
      <c r="G53" s="25" t="s">
        <v>105</v>
      </c>
      <c r="H53" s="56" t="s">
        <v>51</v>
      </c>
      <c r="I53" s="161"/>
      <c r="J53" s="56" t="s">
        <v>18</v>
      </c>
      <c r="K53" s="140">
        <v>48022</v>
      </c>
      <c r="L53" s="17">
        <v>240</v>
      </c>
      <c r="M53" s="17" t="s">
        <v>35</v>
      </c>
      <c r="N53" s="59" t="s">
        <v>665</v>
      </c>
      <c r="O53" s="52" t="s">
        <v>61</v>
      </c>
      <c r="P53" s="17">
        <v>61</v>
      </c>
      <c r="Q53" s="25">
        <f t="shared" si="4"/>
        <v>0</v>
      </c>
      <c r="R53" s="191">
        <f>61</f>
        <v>61</v>
      </c>
      <c r="S53" s="192">
        <f t="shared" si="5"/>
        <v>0</v>
      </c>
      <c r="T53" s="193">
        <v>2092</v>
      </c>
      <c r="U53" s="193" t="s">
        <v>1092</v>
      </c>
      <c r="V53" s="192">
        <f>56</f>
        <v>56</v>
      </c>
      <c r="W53" s="195">
        <f t="shared" si="6"/>
        <v>-5</v>
      </c>
      <c r="X53" s="193">
        <v>2006</v>
      </c>
      <c r="Y53" s="193" t="s">
        <v>1137</v>
      </c>
      <c r="Z53" s="226">
        <f t="shared" si="7"/>
        <v>8.1967213114754092E-2</v>
      </c>
      <c r="AA53" s="162" t="s">
        <v>1093</v>
      </c>
      <c r="AB53" s="159"/>
      <c r="AC53" s="159"/>
      <c r="AD53" s="159"/>
      <c r="AE53" s="159"/>
      <c r="AF53" s="159"/>
    </row>
    <row r="54" spans="1:32" s="16" customFormat="1" ht="79.5" customHeight="1">
      <c r="A54" s="161"/>
      <c r="B54" s="20">
        <v>46226</v>
      </c>
      <c r="C54" s="18">
        <v>46241</v>
      </c>
      <c r="D54" s="53">
        <v>46244</v>
      </c>
      <c r="E54" s="20">
        <v>46251</v>
      </c>
      <c r="F54" s="56" t="s">
        <v>23</v>
      </c>
      <c r="G54" s="25" t="s">
        <v>105</v>
      </c>
      <c r="H54" s="56" t="s">
        <v>51</v>
      </c>
      <c r="I54" s="161"/>
      <c r="J54" s="56" t="s">
        <v>18</v>
      </c>
      <c r="K54" s="140">
        <v>48022</v>
      </c>
      <c r="L54" s="17">
        <v>240</v>
      </c>
      <c r="M54" s="17" t="s">
        <v>35</v>
      </c>
      <c r="N54" s="59" t="s">
        <v>160</v>
      </c>
      <c r="O54" s="52" t="s">
        <v>61</v>
      </c>
      <c r="P54" s="17">
        <v>66</v>
      </c>
      <c r="Q54" s="25">
        <f t="shared" si="4"/>
        <v>-4</v>
      </c>
      <c r="R54" s="191">
        <f>70</f>
        <v>70</v>
      </c>
      <c r="S54" s="192">
        <f t="shared" si="5"/>
        <v>-4</v>
      </c>
      <c r="T54" s="193">
        <v>1210</v>
      </c>
      <c r="U54" s="193" t="s">
        <v>824</v>
      </c>
      <c r="V54" s="192">
        <f>69</f>
        <v>69</v>
      </c>
      <c r="W54" s="192">
        <f t="shared" si="6"/>
        <v>3</v>
      </c>
      <c r="X54" s="193">
        <v>1901</v>
      </c>
      <c r="Y54" s="193" t="s">
        <v>990</v>
      </c>
      <c r="Z54" s="194">
        <f t="shared" si="7"/>
        <v>-4.5454545454545456E-2</v>
      </c>
      <c r="AA54" s="162" t="s">
        <v>1006</v>
      </c>
      <c r="AB54" s="159"/>
      <c r="AC54" s="159"/>
      <c r="AD54" s="159"/>
      <c r="AE54" s="159"/>
      <c r="AF54" s="159"/>
    </row>
    <row r="55" spans="1:32" s="16" customFormat="1" ht="79.5" customHeight="1">
      <c r="A55" s="161"/>
      <c r="B55" s="20">
        <v>46225</v>
      </c>
      <c r="C55" s="18">
        <v>46240</v>
      </c>
      <c r="D55" s="53">
        <v>46242</v>
      </c>
      <c r="E55" s="20">
        <v>46251</v>
      </c>
      <c r="F55" s="56" t="s">
        <v>25</v>
      </c>
      <c r="G55" s="25" t="s">
        <v>105</v>
      </c>
      <c r="H55" s="56" t="s">
        <v>51</v>
      </c>
      <c r="I55" s="161"/>
      <c r="J55" s="56" t="s">
        <v>18</v>
      </c>
      <c r="K55" s="140">
        <v>48023</v>
      </c>
      <c r="L55" s="17">
        <v>180</v>
      </c>
      <c r="M55" s="17" t="s">
        <v>35</v>
      </c>
      <c r="N55" s="59" t="s">
        <v>665</v>
      </c>
      <c r="O55" s="52" t="s">
        <v>52</v>
      </c>
      <c r="P55" s="17">
        <v>89</v>
      </c>
      <c r="Q55" s="25">
        <f t="shared" si="4"/>
        <v>-3</v>
      </c>
      <c r="R55" s="191">
        <f>92</f>
        <v>92</v>
      </c>
      <c r="S55" s="192">
        <f t="shared" si="5"/>
        <v>-3</v>
      </c>
      <c r="T55" s="193">
        <v>2036</v>
      </c>
      <c r="U55" s="193" t="s">
        <v>1083</v>
      </c>
      <c r="V55" s="192">
        <f>86</f>
        <v>86</v>
      </c>
      <c r="W55" s="192">
        <f t="shared" si="6"/>
        <v>-3</v>
      </c>
      <c r="X55" s="193">
        <v>2206</v>
      </c>
      <c r="Y55" s="193" t="s">
        <v>1120</v>
      </c>
      <c r="Z55" s="194">
        <f t="shared" si="7"/>
        <v>3.3707865168539325E-2</v>
      </c>
      <c r="AA55" s="162" t="s">
        <v>1228</v>
      </c>
      <c r="AB55" s="159"/>
      <c r="AC55" s="159"/>
      <c r="AD55" s="159"/>
      <c r="AE55" s="159"/>
      <c r="AF55" s="159"/>
    </row>
    <row r="56" spans="1:32" s="16" customFormat="1" ht="93.75" customHeight="1">
      <c r="A56" s="161"/>
      <c r="B56" s="20">
        <v>46225</v>
      </c>
      <c r="C56" s="18">
        <v>46240</v>
      </c>
      <c r="D56" s="53">
        <v>46242</v>
      </c>
      <c r="E56" s="20">
        <v>46251</v>
      </c>
      <c r="F56" s="56" t="s">
        <v>23</v>
      </c>
      <c r="G56" s="25" t="s">
        <v>105</v>
      </c>
      <c r="H56" s="56" t="s">
        <v>51</v>
      </c>
      <c r="I56" s="161"/>
      <c r="J56" s="56" t="s">
        <v>18</v>
      </c>
      <c r="K56" s="140">
        <v>48023</v>
      </c>
      <c r="L56" s="17">
        <v>180</v>
      </c>
      <c r="M56" s="17" t="s">
        <v>35</v>
      </c>
      <c r="N56" s="59" t="s">
        <v>160</v>
      </c>
      <c r="O56" s="52" t="s">
        <v>52</v>
      </c>
      <c r="P56" s="17">
        <v>100</v>
      </c>
      <c r="Q56" s="25">
        <f t="shared" si="4"/>
        <v>-2</v>
      </c>
      <c r="R56" s="191">
        <f>102</f>
        <v>102</v>
      </c>
      <c r="S56" s="192">
        <f t="shared" si="5"/>
        <v>-2</v>
      </c>
      <c r="T56" s="193">
        <v>1247</v>
      </c>
      <c r="U56" s="193" t="s">
        <v>899</v>
      </c>
      <c r="V56" s="192">
        <f>101</f>
        <v>101</v>
      </c>
      <c r="W56" s="192">
        <f t="shared" si="6"/>
        <v>1</v>
      </c>
      <c r="X56" s="193">
        <v>1901</v>
      </c>
      <c r="Y56" s="193" t="s">
        <v>990</v>
      </c>
      <c r="Z56" s="194">
        <f t="shared" si="7"/>
        <v>-0.01</v>
      </c>
      <c r="AA56" s="162" t="s">
        <v>953</v>
      </c>
      <c r="AB56" s="159"/>
      <c r="AC56" s="159"/>
      <c r="AD56" s="159"/>
      <c r="AE56" s="159"/>
      <c r="AF56" s="159"/>
    </row>
    <row r="57" spans="1:32" s="16" customFormat="1" ht="79.5" customHeight="1">
      <c r="A57" s="161"/>
      <c r="B57" s="20">
        <v>46226</v>
      </c>
      <c r="C57" s="18">
        <v>46242</v>
      </c>
      <c r="D57" s="53">
        <v>46244</v>
      </c>
      <c r="E57" s="20">
        <v>46251</v>
      </c>
      <c r="F57" s="56" t="s">
        <v>23</v>
      </c>
      <c r="G57" s="25" t="s">
        <v>105</v>
      </c>
      <c r="H57" s="56" t="s">
        <v>51</v>
      </c>
      <c r="I57" s="161"/>
      <c r="J57" s="56" t="s">
        <v>18</v>
      </c>
      <c r="K57" s="140">
        <v>48024</v>
      </c>
      <c r="L57" s="17">
        <v>240</v>
      </c>
      <c r="M57" s="17" t="s">
        <v>35</v>
      </c>
      <c r="N57" s="59" t="s">
        <v>160</v>
      </c>
      <c r="O57" s="52" t="s">
        <v>61</v>
      </c>
      <c r="P57" s="17">
        <v>105</v>
      </c>
      <c r="Q57" s="25">
        <f t="shared" si="4"/>
        <v>-5</v>
      </c>
      <c r="R57" s="191">
        <f>110</f>
        <v>110</v>
      </c>
      <c r="S57" s="192">
        <f t="shared" si="5"/>
        <v>-5</v>
      </c>
      <c r="T57" s="193">
        <v>1210</v>
      </c>
      <c r="U57" s="193" t="s">
        <v>824</v>
      </c>
      <c r="V57" s="192">
        <f>100</f>
        <v>100</v>
      </c>
      <c r="W57" s="192">
        <f t="shared" si="6"/>
        <v>-5</v>
      </c>
      <c r="X57" s="193">
        <v>1906</v>
      </c>
      <c r="Y57" s="193" t="s">
        <v>1000</v>
      </c>
      <c r="Z57" s="194">
        <f t="shared" si="7"/>
        <v>4.7619047619047616E-2</v>
      </c>
      <c r="AA57" s="162" t="s">
        <v>1008</v>
      </c>
      <c r="AB57" s="159"/>
      <c r="AC57" s="159"/>
      <c r="AD57" s="159"/>
      <c r="AE57" s="159"/>
      <c r="AF57" s="159"/>
    </row>
    <row r="58" spans="1:32" s="16" customFormat="1" ht="79.5" customHeight="1">
      <c r="A58" s="161"/>
      <c r="B58" s="239">
        <v>46226</v>
      </c>
      <c r="C58" s="240">
        <v>46242</v>
      </c>
      <c r="D58" s="53">
        <v>46244</v>
      </c>
      <c r="E58" s="20">
        <v>46251</v>
      </c>
      <c r="F58" s="56" t="s">
        <v>23</v>
      </c>
      <c r="G58" s="25" t="s">
        <v>105</v>
      </c>
      <c r="H58" s="56" t="s">
        <v>51</v>
      </c>
      <c r="I58" s="161"/>
      <c r="J58" s="56" t="s">
        <v>18</v>
      </c>
      <c r="K58" s="140">
        <v>48024</v>
      </c>
      <c r="L58" s="17">
        <v>240</v>
      </c>
      <c r="M58" s="17" t="s">
        <v>35</v>
      </c>
      <c r="N58" s="59" t="s">
        <v>160</v>
      </c>
      <c r="O58" s="52" t="s">
        <v>61</v>
      </c>
      <c r="P58" s="17">
        <v>82</v>
      </c>
      <c r="Q58" s="25">
        <f t="shared" si="4"/>
        <v>-5</v>
      </c>
      <c r="R58" s="191">
        <f>87</f>
        <v>87</v>
      </c>
      <c r="S58" s="192">
        <f t="shared" si="5"/>
        <v>-5</v>
      </c>
      <c r="T58" s="193">
        <v>1210</v>
      </c>
      <c r="U58" s="193" t="s">
        <v>824</v>
      </c>
      <c r="V58" s="192">
        <f>80</f>
        <v>80</v>
      </c>
      <c r="W58" s="192">
        <f t="shared" si="6"/>
        <v>-2</v>
      </c>
      <c r="X58" s="193">
        <v>1906</v>
      </c>
      <c r="Y58" s="193" t="s">
        <v>1000</v>
      </c>
      <c r="Z58" s="194">
        <f t="shared" si="7"/>
        <v>2.4390243902439025E-2</v>
      </c>
      <c r="AA58" s="162" t="s">
        <v>1008</v>
      </c>
      <c r="AB58" s="159"/>
      <c r="AC58" s="159"/>
      <c r="AD58" s="159"/>
      <c r="AE58" s="159"/>
      <c r="AF58" s="159"/>
    </row>
    <row r="59" spans="1:32" s="16" customFormat="1" ht="79.5" customHeight="1">
      <c r="A59" s="161"/>
      <c r="B59" s="239">
        <v>46225</v>
      </c>
      <c r="C59" s="240">
        <v>46240</v>
      </c>
      <c r="D59" s="53">
        <v>46242</v>
      </c>
      <c r="E59" s="20">
        <v>46248</v>
      </c>
      <c r="F59" s="56" t="s">
        <v>23</v>
      </c>
      <c r="G59" s="25" t="s">
        <v>105</v>
      </c>
      <c r="H59" s="56" t="s">
        <v>51</v>
      </c>
      <c r="I59" s="161"/>
      <c r="J59" s="56" t="s">
        <v>18</v>
      </c>
      <c r="K59" s="140">
        <v>48026</v>
      </c>
      <c r="L59" s="17">
        <v>180</v>
      </c>
      <c r="M59" s="17" t="s">
        <v>35</v>
      </c>
      <c r="N59" s="59" t="s">
        <v>160</v>
      </c>
      <c r="O59" s="52" t="s">
        <v>52</v>
      </c>
      <c r="P59" s="17">
        <v>51</v>
      </c>
      <c r="Q59" s="25">
        <f t="shared" si="4"/>
        <v>-2</v>
      </c>
      <c r="R59" s="191">
        <f>53</f>
        <v>53</v>
      </c>
      <c r="S59" s="192">
        <f t="shared" si="5"/>
        <v>-2</v>
      </c>
      <c r="T59" s="193">
        <v>1247</v>
      </c>
      <c r="U59" s="193" t="s">
        <v>899</v>
      </c>
      <c r="V59" s="192">
        <f>54</f>
        <v>54</v>
      </c>
      <c r="W59" s="192">
        <f t="shared" si="6"/>
        <v>3</v>
      </c>
      <c r="X59" s="193">
        <v>1906</v>
      </c>
      <c r="Y59" s="193" t="s">
        <v>1000</v>
      </c>
      <c r="Z59" s="194">
        <f t="shared" si="7"/>
        <v>-5.8823529411764712E-2</v>
      </c>
      <c r="AA59" s="162" t="s">
        <v>952</v>
      </c>
      <c r="AB59" s="159"/>
      <c r="AC59" s="159"/>
      <c r="AD59" s="159"/>
      <c r="AE59" s="159"/>
      <c r="AF59" s="159"/>
    </row>
    <row r="60" spans="1:32" s="16" customFormat="1" ht="90.75" customHeight="1">
      <c r="A60" s="161"/>
      <c r="B60" s="239">
        <v>46226</v>
      </c>
      <c r="C60" s="240">
        <v>46238</v>
      </c>
      <c r="D60" s="53">
        <v>46242</v>
      </c>
      <c r="E60" s="20">
        <v>46249</v>
      </c>
      <c r="F60" s="56" t="s">
        <v>25</v>
      </c>
      <c r="G60" s="25" t="s">
        <v>105</v>
      </c>
      <c r="H60" s="56" t="s">
        <v>51</v>
      </c>
      <c r="I60" s="161"/>
      <c r="J60" s="56" t="s">
        <v>18</v>
      </c>
      <c r="K60" s="140">
        <v>48028</v>
      </c>
      <c r="L60" s="17">
        <v>180</v>
      </c>
      <c r="M60" s="17" t="s">
        <v>35</v>
      </c>
      <c r="N60" s="59" t="s">
        <v>129</v>
      </c>
      <c r="O60" s="52" t="s">
        <v>52</v>
      </c>
      <c r="P60" s="17">
        <v>90</v>
      </c>
      <c r="Q60" s="25">
        <f t="shared" si="4"/>
        <v>-14</v>
      </c>
      <c r="R60" s="191">
        <f>104</f>
        <v>104</v>
      </c>
      <c r="S60" s="192">
        <f t="shared" si="5"/>
        <v>-14</v>
      </c>
      <c r="T60" s="193">
        <v>1210</v>
      </c>
      <c r="U60" s="193" t="s">
        <v>824</v>
      </c>
      <c r="V60" s="192">
        <f>100</f>
        <v>100</v>
      </c>
      <c r="W60" s="192">
        <f t="shared" si="6"/>
        <v>10</v>
      </c>
      <c r="X60" s="193">
        <v>1906</v>
      </c>
      <c r="Y60" s="193" t="s">
        <v>1000</v>
      </c>
      <c r="Z60" s="194">
        <f t="shared" si="7"/>
        <v>-0.1111111111111111</v>
      </c>
      <c r="AA60" s="162" t="s">
        <v>906</v>
      </c>
      <c r="AB60" s="159"/>
      <c r="AC60" s="159"/>
      <c r="AD60" s="159"/>
      <c r="AE60" s="159"/>
      <c r="AF60" s="159"/>
    </row>
    <row r="61" spans="1:32" s="16" customFormat="1" ht="79.5" customHeight="1">
      <c r="A61" s="161"/>
      <c r="B61" s="239">
        <v>46226</v>
      </c>
      <c r="C61" s="240">
        <v>46238</v>
      </c>
      <c r="D61" s="53">
        <v>46242</v>
      </c>
      <c r="E61" s="20">
        <v>46249</v>
      </c>
      <c r="F61" s="56" t="s">
        <v>23</v>
      </c>
      <c r="G61" s="25" t="s">
        <v>105</v>
      </c>
      <c r="H61" s="56" t="s">
        <v>51</v>
      </c>
      <c r="I61" s="161"/>
      <c r="J61" s="56" t="s">
        <v>18</v>
      </c>
      <c r="K61" s="140">
        <v>48028</v>
      </c>
      <c r="L61" s="17">
        <v>180</v>
      </c>
      <c r="M61" s="17" t="s">
        <v>35</v>
      </c>
      <c r="N61" s="59" t="s">
        <v>160</v>
      </c>
      <c r="O61" s="52" t="s">
        <v>52</v>
      </c>
      <c r="P61" s="17">
        <v>78</v>
      </c>
      <c r="Q61" s="25">
        <f t="shared" si="4"/>
        <v>-2</v>
      </c>
      <c r="R61" s="191">
        <f>80</f>
        <v>80</v>
      </c>
      <c r="S61" s="192">
        <f t="shared" si="5"/>
        <v>-2</v>
      </c>
      <c r="T61" s="193">
        <v>1247</v>
      </c>
      <c r="U61" s="193" t="s">
        <v>899</v>
      </c>
      <c r="V61" s="192">
        <f>80</f>
        <v>80</v>
      </c>
      <c r="W61" s="192">
        <f t="shared" si="6"/>
        <v>2</v>
      </c>
      <c r="X61" s="193">
        <v>1906</v>
      </c>
      <c r="Y61" s="193" t="s">
        <v>1000</v>
      </c>
      <c r="Z61" s="194">
        <f t="shared" si="7"/>
        <v>-2.5641025641025644E-2</v>
      </c>
      <c r="AA61" s="162" t="s">
        <v>952</v>
      </c>
      <c r="AB61" s="159"/>
      <c r="AC61" s="159"/>
      <c r="AD61" s="159"/>
      <c r="AE61" s="159"/>
      <c r="AF61" s="159"/>
    </row>
    <row r="62" spans="1:32" s="16" customFormat="1" ht="79.5" customHeight="1">
      <c r="A62" s="161"/>
      <c r="B62" s="239">
        <v>46228</v>
      </c>
      <c r="C62" s="240">
        <v>46242</v>
      </c>
      <c r="D62" s="53">
        <v>46246</v>
      </c>
      <c r="E62" s="20">
        <v>46254</v>
      </c>
      <c r="F62" s="56" t="s">
        <v>23</v>
      </c>
      <c r="G62" s="25" t="s">
        <v>105</v>
      </c>
      <c r="H62" s="56" t="s">
        <v>51</v>
      </c>
      <c r="I62" s="161"/>
      <c r="J62" s="56" t="s">
        <v>18</v>
      </c>
      <c r="K62" s="140">
        <v>48031</v>
      </c>
      <c r="L62" s="17">
        <v>240</v>
      </c>
      <c r="M62" s="17" t="s">
        <v>35</v>
      </c>
      <c r="N62" s="59" t="s">
        <v>160</v>
      </c>
      <c r="O62" s="52" t="s">
        <v>61</v>
      </c>
      <c r="P62" s="17">
        <v>95</v>
      </c>
      <c r="Q62" s="25">
        <f t="shared" si="4"/>
        <v>-5</v>
      </c>
      <c r="R62" s="191">
        <f>100</f>
        <v>100</v>
      </c>
      <c r="S62" s="192">
        <f t="shared" si="5"/>
        <v>-5</v>
      </c>
      <c r="T62" s="193">
        <v>1210</v>
      </c>
      <c r="U62" s="193" t="s">
        <v>824</v>
      </c>
      <c r="V62" s="192">
        <f>90</f>
        <v>90</v>
      </c>
      <c r="W62" s="192">
        <f t="shared" si="6"/>
        <v>-5</v>
      </c>
      <c r="X62" s="193">
        <v>1901</v>
      </c>
      <c r="Y62" s="193" t="s">
        <v>990</v>
      </c>
      <c r="Z62" s="194">
        <f t="shared" si="7"/>
        <v>5.2631578947368425E-2</v>
      </c>
      <c r="AA62" s="162" t="s">
        <v>1007</v>
      </c>
      <c r="AB62" s="159"/>
      <c r="AC62" s="159"/>
      <c r="AD62" s="159"/>
      <c r="AE62" s="159"/>
      <c r="AF62" s="159"/>
    </row>
    <row r="63" spans="1:32" s="16" customFormat="1" ht="79.5" customHeight="1">
      <c r="A63" s="161"/>
      <c r="B63" s="239">
        <v>46228</v>
      </c>
      <c r="C63" s="240">
        <v>46242</v>
      </c>
      <c r="D63" s="53">
        <v>46246</v>
      </c>
      <c r="E63" s="20">
        <v>46254</v>
      </c>
      <c r="F63" s="56" t="s">
        <v>23</v>
      </c>
      <c r="G63" s="25" t="s">
        <v>105</v>
      </c>
      <c r="H63" s="56" t="s">
        <v>51</v>
      </c>
      <c r="I63" s="161"/>
      <c r="J63" s="56" t="s">
        <v>18</v>
      </c>
      <c r="K63" s="140">
        <v>48031</v>
      </c>
      <c r="L63" s="17">
        <v>240</v>
      </c>
      <c r="M63" s="17" t="s">
        <v>35</v>
      </c>
      <c r="N63" s="59" t="s">
        <v>160</v>
      </c>
      <c r="O63" s="52" t="s">
        <v>61</v>
      </c>
      <c r="P63" s="17">
        <v>74</v>
      </c>
      <c r="Q63" s="25">
        <f t="shared" si="4"/>
        <v>-7</v>
      </c>
      <c r="R63" s="191">
        <f>81</f>
        <v>81</v>
      </c>
      <c r="S63" s="192">
        <f t="shared" si="5"/>
        <v>-7</v>
      </c>
      <c r="T63" s="193">
        <v>1210</v>
      </c>
      <c r="U63" s="193" t="s">
        <v>824</v>
      </c>
      <c r="V63" s="192">
        <f>71</f>
        <v>71</v>
      </c>
      <c r="W63" s="192">
        <f t="shared" si="6"/>
        <v>-3</v>
      </c>
      <c r="X63" s="193">
        <v>1901</v>
      </c>
      <c r="Y63" s="193" t="s">
        <v>990</v>
      </c>
      <c r="Z63" s="237">
        <f t="shared" si="7"/>
        <v>4.0540540540540543E-2</v>
      </c>
      <c r="AA63" s="162" t="s">
        <v>816</v>
      </c>
      <c r="AB63" s="159"/>
      <c r="AC63" s="159"/>
      <c r="AD63" s="159"/>
      <c r="AE63" s="159"/>
      <c r="AF63" s="159"/>
    </row>
    <row r="64" spans="1:32" s="16" customFormat="1" ht="79.5" customHeight="1">
      <c r="A64" s="161"/>
      <c r="B64" s="239">
        <v>46224</v>
      </c>
      <c r="C64" s="240">
        <v>46238</v>
      </c>
      <c r="D64" s="53">
        <v>46241</v>
      </c>
      <c r="E64" s="20">
        <v>46249</v>
      </c>
      <c r="F64" s="56" t="s">
        <v>25</v>
      </c>
      <c r="G64" s="25" t="s">
        <v>105</v>
      </c>
      <c r="H64" s="56" t="s">
        <v>51</v>
      </c>
      <c r="I64" s="161"/>
      <c r="J64" s="56" t="s">
        <v>18</v>
      </c>
      <c r="K64" s="140">
        <v>48020</v>
      </c>
      <c r="L64" s="17">
        <v>240</v>
      </c>
      <c r="M64" s="17" t="s">
        <v>35</v>
      </c>
      <c r="N64" s="59" t="s">
        <v>665</v>
      </c>
      <c r="O64" s="52" t="s">
        <v>61</v>
      </c>
      <c r="P64" s="17">
        <v>83</v>
      </c>
      <c r="Q64" s="25">
        <f t="shared" si="4"/>
        <v>-24</v>
      </c>
      <c r="R64" s="191">
        <f>83+24</f>
        <v>107</v>
      </c>
      <c r="S64" s="192">
        <f t="shared" si="5"/>
        <v>-24</v>
      </c>
      <c r="T64" s="193" t="s">
        <v>1255</v>
      </c>
      <c r="U64" s="193" t="s">
        <v>1256</v>
      </c>
      <c r="V64" s="192">
        <f>77</f>
        <v>77</v>
      </c>
      <c r="W64" s="195">
        <f t="shared" si="6"/>
        <v>-6</v>
      </c>
      <c r="X64" s="193">
        <v>2006</v>
      </c>
      <c r="Y64" s="193" t="s">
        <v>1137</v>
      </c>
      <c r="Z64" s="250">
        <f t="shared" si="7"/>
        <v>7.2289156626506021E-2</v>
      </c>
      <c r="AA64" s="162" t="s">
        <v>1302</v>
      </c>
      <c r="AB64" s="159"/>
      <c r="AC64" s="159"/>
      <c r="AD64" s="159"/>
      <c r="AE64" s="159"/>
      <c r="AF64" s="159"/>
    </row>
    <row r="65" spans="1:32" s="16" customFormat="1" ht="79.5" customHeight="1">
      <c r="A65" s="161"/>
      <c r="B65" s="239">
        <v>46224</v>
      </c>
      <c r="C65" s="240">
        <v>46238</v>
      </c>
      <c r="D65" s="53">
        <v>46241</v>
      </c>
      <c r="E65" s="20">
        <v>46249</v>
      </c>
      <c r="F65" s="56" t="s">
        <v>23</v>
      </c>
      <c r="G65" s="25" t="s">
        <v>105</v>
      </c>
      <c r="H65" s="56" t="s">
        <v>51</v>
      </c>
      <c r="I65" s="161"/>
      <c r="J65" s="56" t="s">
        <v>18</v>
      </c>
      <c r="K65" s="140">
        <v>48020</v>
      </c>
      <c r="L65" s="17">
        <v>240</v>
      </c>
      <c r="M65" s="17" t="s">
        <v>35</v>
      </c>
      <c r="N65" s="59" t="s">
        <v>160</v>
      </c>
      <c r="O65" s="52" t="s">
        <v>61</v>
      </c>
      <c r="P65" s="17">
        <v>57</v>
      </c>
      <c r="Q65" s="25">
        <f t="shared" si="4"/>
        <v>-3</v>
      </c>
      <c r="R65" s="191">
        <f>60</f>
        <v>60</v>
      </c>
      <c r="S65" s="192">
        <f t="shared" si="5"/>
        <v>-3</v>
      </c>
      <c r="T65" s="193">
        <v>1210</v>
      </c>
      <c r="U65" s="193" t="s">
        <v>824</v>
      </c>
      <c r="V65" s="192">
        <f>56</f>
        <v>56</v>
      </c>
      <c r="W65" s="192">
        <f t="shared" si="6"/>
        <v>-1</v>
      </c>
      <c r="X65" s="193">
        <v>1901</v>
      </c>
      <c r="Y65" s="193" t="s">
        <v>990</v>
      </c>
      <c r="Z65" s="194">
        <f t="shared" si="7"/>
        <v>1.7543859649122806E-2</v>
      </c>
      <c r="AA65" s="162" t="s">
        <v>1004</v>
      </c>
      <c r="AB65" s="159"/>
      <c r="AC65" s="159"/>
      <c r="AD65" s="159"/>
      <c r="AE65" s="159"/>
      <c r="AF65" s="159"/>
    </row>
    <row r="66" spans="1:32" s="16" customFormat="1" ht="90" customHeight="1">
      <c r="A66" s="161"/>
      <c r="B66" s="239">
        <v>46224</v>
      </c>
      <c r="C66" s="240">
        <v>46237</v>
      </c>
      <c r="D66" s="53">
        <v>46240</v>
      </c>
      <c r="E66" s="20">
        <v>46246</v>
      </c>
      <c r="F66" s="56" t="s">
        <v>23</v>
      </c>
      <c r="G66" s="25" t="s">
        <v>62</v>
      </c>
      <c r="H66" s="56" t="s">
        <v>400</v>
      </c>
      <c r="I66" s="161"/>
      <c r="J66" s="56" t="s">
        <v>162</v>
      </c>
      <c r="K66" s="141">
        <v>48181</v>
      </c>
      <c r="L66" s="17">
        <v>260</v>
      </c>
      <c r="M66" s="17" t="s">
        <v>56</v>
      </c>
      <c r="N66" s="59" t="s">
        <v>152</v>
      </c>
      <c r="O66" s="52" t="s">
        <v>198</v>
      </c>
      <c r="P66" s="17">
        <v>231</v>
      </c>
      <c r="Q66" s="25">
        <f t="shared" si="4"/>
        <v>-24</v>
      </c>
      <c r="R66" s="191">
        <f>233+22</f>
        <v>255</v>
      </c>
      <c r="S66" s="192">
        <f t="shared" si="5"/>
        <v>-24</v>
      </c>
      <c r="T66" s="193" t="s">
        <v>1235</v>
      </c>
      <c r="U66" s="193" t="s">
        <v>1236</v>
      </c>
      <c r="V66" s="192">
        <f>229+21</f>
        <v>250</v>
      </c>
      <c r="W66" s="192">
        <f t="shared" si="6"/>
        <v>19</v>
      </c>
      <c r="X66" s="193" t="s">
        <v>1229</v>
      </c>
      <c r="Y66" s="193" t="s">
        <v>1230</v>
      </c>
      <c r="Z66" s="237">
        <f t="shared" si="7"/>
        <v>-8.2251082251082255E-2</v>
      </c>
      <c r="AA66" s="162" t="s">
        <v>1231</v>
      </c>
      <c r="AB66" s="159"/>
      <c r="AC66" s="159"/>
      <c r="AD66" s="159"/>
      <c r="AE66" s="159"/>
      <c r="AF66" s="159"/>
    </row>
    <row r="67" spans="1:32" s="16" customFormat="1" ht="79.5" customHeight="1">
      <c r="A67" s="161"/>
      <c r="B67" s="227" t="s">
        <v>920</v>
      </c>
      <c r="C67" s="240">
        <v>46248</v>
      </c>
      <c r="D67" s="52" t="s">
        <v>920</v>
      </c>
      <c r="E67" s="53">
        <v>46251</v>
      </c>
      <c r="F67" s="17" t="s">
        <v>23</v>
      </c>
      <c r="G67" s="25" t="s">
        <v>105</v>
      </c>
      <c r="H67" s="17" t="s">
        <v>138</v>
      </c>
      <c r="I67" s="161"/>
      <c r="J67" s="52" t="s">
        <v>34</v>
      </c>
      <c r="K67" s="57">
        <v>47688</v>
      </c>
      <c r="L67" s="17">
        <v>160</v>
      </c>
      <c r="M67" s="17" t="s">
        <v>35</v>
      </c>
      <c r="N67" s="59" t="s">
        <v>448</v>
      </c>
      <c r="O67" s="52" t="s">
        <v>20</v>
      </c>
      <c r="P67" s="17">
        <v>50</v>
      </c>
      <c r="Q67" s="25">
        <f t="shared" ref="Q67:Q68" si="8">P67-R67</f>
        <v>-8</v>
      </c>
      <c r="R67" s="191">
        <f>58</f>
        <v>58</v>
      </c>
      <c r="S67" s="192">
        <f t="shared" ref="S67:S68" si="9">P67-R67</f>
        <v>-8</v>
      </c>
      <c r="T67" s="193">
        <v>1312</v>
      </c>
      <c r="U67" s="193" t="s">
        <v>1000</v>
      </c>
      <c r="V67" s="192">
        <f>48</f>
        <v>48</v>
      </c>
      <c r="W67" s="192">
        <f t="shared" ref="W67:W68" si="10">+V67-P67</f>
        <v>-2</v>
      </c>
      <c r="X67" s="193">
        <v>1924</v>
      </c>
      <c r="Y67" s="193" t="s">
        <v>1040</v>
      </c>
      <c r="Z67" s="237">
        <f t="shared" si="7"/>
        <v>0.04</v>
      </c>
      <c r="AA67" s="162" t="s">
        <v>1012</v>
      </c>
      <c r="AB67" s="159"/>
      <c r="AC67" s="159"/>
      <c r="AD67" s="159"/>
      <c r="AE67" s="159"/>
      <c r="AF67" s="159"/>
    </row>
    <row r="68" spans="1:32" s="16" customFormat="1" ht="79.5" customHeight="1">
      <c r="A68" s="161"/>
      <c r="B68" s="228" t="s">
        <v>921</v>
      </c>
      <c r="C68" s="241" t="s">
        <v>921</v>
      </c>
      <c r="D68" s="52" t="s">
        <v>921</v>
      </c>
      <c r="E68" s="52" t="s">
        <v>921</v>
      </c>
      <c r="F68" s="17" t="s">
        <v>23</v>
      </c>
      <c r="G68" s="25" t="s">
        <v>105</v>
      </c>
      <c r="H68" s="17" t="s">
        <v>31</v>
      </c>
      <c r="I68" s="161"/>
      <c r="J68" s="52" t="s">
        <v>34</v>
      </c>
      <c r="K68" s="57">
        <v>47631</v>
      </c>
      <c r="L68" s="17">
        <v>160</v>
      </c>
      <c r="M68" s="17" t="s">
        <v>67</v>
      </c>
      <c r="N68" s="59" t="s">
        <v>457</v>
      </c>
      <c r="O68" s="52" t="s">
        <v>20</v>
      </c>
      <c r="P68" s="17">
        <v>59</v>
      </c>
      <c r="Q68" s="25">
        <f t="shared" si="8"/>
        <v>-28</v>
      </c>
      <c r="R68" s="191">
        <f>87</f>
        <v>87</v>
      </c>
      <c r="S68" s="192">
        <f t="shared" si="9"/>
        <v>-28</v>
      </c>
      <c r="T68" s="193">
        <v>1307</v>
      </c>
      <c r="U68" s="193" t="s">
        <v>923</v>
      </c>
      <c r="V68" s="192">
        <f>85</f>
        <v>85</v>
      </c>
      <c r="W68" s="192">
        <f t="shared" si="10"/>
        <v>26</v>
      </c>
      <c r="X68" s="193">
        <v>1906</v>
      </c>
      <c r="Y68" s="193" t="s">
        <v>1000</v>
      </c>
      <c r="Z68" s="237">
        <f t="shared" si="7"/>
        <v>-0.44067796610169496</v>
      </c>
      <c r="AA68" s="162" t="s">
        <v>987</v>
      </c>
      <c r="AB68" s="159"/>
      <c r="AC68" s="159"/>
      <c r="AD68" s="159"/>
      <c r="AE68" s="159"/>
      <c r="AF68" s="159"/>
    </row>
    <row r="69" spans="1:32" s="16" customFormat="1" ht="79.5" customHeight="1">
      <c r="A69" s="161"/>
      <c r="B69" s="228" t="s">
        <v>921</v>
      </c>
      <c r="C69" s="111" t="s">
        <v>921</v>
      </c>
      <c r="D69" s="17" t="s">
        <v>921</v>
      </c>
      <c r="E69" s="17" t="s">
        <v>921</v>
      </c>
      <c r="F69" s="17" t="s">
        <v>23</v>
      </c>
      <c r="G69" s="25" t="s">
        <v>99</v>
      </c>
      <c r="H69" s="17" t="s">
        <v>926</v>
      </c>
      <c r="I69"/>
      <c r="J69" s="52" t="s">
        <v>444</v>
      </c>
      <c r="K69" s="244">
        <v>48310</v>
      </c>
      <c r="L69" s="17">
        <v>180</v>
      </c>
      <c r="M69" s="17" t="s">
        <v>47</v>
      </c>
      <c r="N69" s="59" t="s">
        <v>925</v>
      </c>
      <c r="O69" s="52" t="s">
        <v>52</v>
      </c>
      <c r="P69" s="17">
        <v>212</v>
      </c>
      <c r="Q69" s="25">
        <f t="shared" si="4"/>
        <v>0</v>
      </c>
      <c r="R69" s="191">
        <f>212</f>
        <v>212</v>
      </c>
      <c r="S69" s="192">
        <f t="shared" si="5"/>
        <v>0</v>
      </c>
      <c r="T69" s="193">
        <v>1308</v>
      </c>
      <c r="U69" s="193" t="s">
        <v>990</v>
      </c>
      <c r="V69" s="192">
        <f>211</f>
        <v>211</v>
      </c>
      <c r="W69" s="192">
        <f t="shared" si="6"/>
        <v>-1</v>
      </c>
      <c r="X69" s="193">
        <v>223949</v>
      </c>
      <c r="Y69" s="193" t="s">
        <v>1038</v>
      </c>
      <c r="Z69" s="237">
        <f t="shared" si="7"/>
        <v>4.7169811320754715E-3</v>
      </c>
      <c r="AA69" s="162" t="s">
        <v>995</v>
      </c>
      <c r="AB69" s="159"/>
      <c r="AC69" s="159"/>
      <c r="AD69" s="159"/>
      <c r="AE69" s="159"/>
      <c r="AF69" s="159"/>
    </row>
    <row r="70" spans="1:32" s="16" customFormat="1" ht="79.5" customHeight="1">
      <c r="A70" s="161"/>
      <c r="B70" s="21"/>
      <c r="C70" s="21"/>
      <c r="D70" s="21"/>
      <c r="E70" s="21"/>
      <c r="F70" s="43"/>
      <c r="G70" s="25"/>
      <c r="H70" s="44"/>
      <c r="I70" s="161"/>
      <c r="J70" s="162"/>
      <c r="K70" s="162"/>
      <c r="L70" s="45"/>
      <c r="M70" s="45"/>
      <c r="N70" s="45"/>
      <c r="O70" s="45"/>
      <c r="P70" s="45">
        <v>0</v>
      </c>
      <c r="Q70" s="25">
        <f t="shared" si="4"/>
        <v>0</v>
      </c>
      <c r="R70" s="191">
        <v>0</v>
      </c>
      <c r="S70" s="192">
        <f t="shared" si="5"/>
        <v>0</v>
      </c>
      <c r="T70" s="193"/>
      <c r="U70" s="193"/>
      <c r="V70" s="192">
        <v>0</v>
      </c>
      <c r="W70" s="192">
        <f t="shared" si="6"/>
        <v>0</v>
      </c>
      <c r="X70" s="193"/>
      <c r="Y70" s="193"/>
      <c r="Z70" s="237" t="e">
        <f t="shared" si="7"/>
        <v>#DIV/0!</v>
      </c>
      <c r="AA70" s="162"/>
      <c r="AB70" s="159"/>
      <c r="AC70" s="159"/>
      <c r="AD70" s="159"/>
      <c r="AE70" s="159"/>
      <c r="AF70" s="159"/>
    </row>
    <row r="71" spans="1:32" s="35" customFormat="1" ht="54.75" customHeight="1">
      <c r="A71" s="161"/>
      <c r="B71" s="21"/>
      <c r="C71" s="21"/>
      <c r="D71" s="21"/>
      <c r="E71" s="21"/>
      <c r="F71" s="43"/>
      <c r="G71" s="25"/>
      <c r="H71" s="44"/>
      <c r="I71" s="161"/>
      <c r="J71" s="162"/>
      <c r="K71" s="162"/>
      <c r="L71" s="45"/>
      <c r="M71" s="45"/>
      <c r="N71" s="45"/>
      <c r="O71" s="45"/>
      <c r="P71" s="142">
        <f>SUM(P31:P70)</f>
        <v>4695</v>
      </c>
      <c r="Q71" s="142">
        <f>SUM(Q31:Q70)</f>
        <v>-282</v>
      </c>
      <c r="R71" s="142">
        <f>SUM(R31:R70)</f>
        <v>4977</v>
      </c>
      <c r="S71" s="142">
        <f>SUM(S31:S70)</f>
        <v>-282</v>
      </c>
      <c r="T71" s="142"/>
      <c r="U71" s="142"/>
      <c r="V71" s="142">
        <f>SUM(V31:V70)</f>
        <v>4771</v>
      </c>
      <c r="W71" s="142">
        <f>SUM(W31:W70)</f>
        <v>76</v>
      </c>
      <c r="X71" s="142">
        <f>SUM(X43:X70)</f>
        <v>514841</v>
      </c>
      <c r="Y71" s="142">
        <f>SUM(Y43:Y70)</f>
        <v>50.16</v>
      </c>
      <c r="Z71" s="238" t="e">
        <f>SUM(Z31:Z70)</f>
        <v>#DIV/0!</v>
      </c>
      <c r="AA71" s="162"/>
      <c r="AB71" s="159"/>
      <c r="AC71" s="159"/>
      <c r="AD71" s="159"/>
      <c r="AE71" s="159"/>
      <c r="AF71" s="159"/>
    </row>
    <row r="72" spans="1:32" s="35" customFormat="1" ht="35.25" customHeight="1">
      <c r="A72" s="345" t="s">
        <v>764</v>
      </c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346"/>
      <c r="AB72" s="346"/>
      <c r="AC72" s="346"/>
      <c r="AD72" s="346"/>
      <c r="AE72" s="346"/>
      <c r="AF72" s="347"/>
    </row>
    <row r="73" spans="1:32" s="16" customFormat="1" ht="79.5" customHeight="1">
      <c r="A73" s="196" t="s">
        <v>1</v>
      </c>
      <c r="B73" s="25" t="s">
        <v>140</v>
      </c>
      <c r="C73" s="25" t="s">
        <v>141</v>
      </c>
      <c r="D73" s="25" t="s">
        <v>142</v>
      </c>
      <c r="E73" s="25" t="s">
        <v>143</v>
      </c>
      <c r="F73" s="199" t="s">
        <v>115</v>
      </c>
      <c r="G73" s="196" t="s">
        <v>117</v>
      </c>
      <c r="H73" s="200" t="s">
        <v>48</v>
      </c>
      <c r="I73" s="196" t="s">
        <v>2</v>
      </c>
      <c r="J73" s="196" t="s">
        <v>3</v>
      </c>
      <c r="K73" s="196" t="s">
        <v>4</v>
      </c>
      <c r="L73" s="197" t="s">
        <v>5</v>
      </c>
      <c r="M73" s="198" t="s">
        <v>6</v>
      </c>
      <c r="N73" s="196" t="s">
        <v>7</v>
      </c>
      <c r="O73" s="198" t="s">
        <v>8</v>
      </c>
      <c r="P73" s="198" t="s">
        <v>9</v>
      </c>
      <c r="Q73" s="198" t="s">
        <v>10</v>
      </c>
      <c r="R73" s="198" t="s">
        <v>11</v>
      </c>
      <c r="S73" s="198" t="s">
        <v>12</v>
      </c>
      <c r="T73" s="198" t="s">
        <v>119</v>
      </c>
      <c r="U73" s="198" t="s">
        <v>13</v>
      </c>
      <c r="V73" s="198" t="s">
        <v>14</v>
      </c>
      <c r="W73" s="198" t="s">
        <v>15</v>
      </c>
      <c r="X73" s="196" t="s">
        <v>119</v>
      </c>
      <c r="Y73" s="198" t="s">
        <v>118</v>
      </c>
      <c r="Z73" s="201" t="s">
        <v>16</v>
      </c>
      <c r="AA73" s="161" t="s">
        <v>17</v>
      </c>
      <c r="AB73" s="159"/>
      <c r="AC73" s="159"/>
      <c r="AD73" s="159"/>
      <c r="AE73" s="159"/>
      <c r="AF73" s="159"/>
    </row>
    <row r="74" spans="1:32" s="16" customFormat="1" ht="79.5" customHeight="1">
      <c r="A74" s="161"/>
      <c r="B74" s="20">
        <v>46230</v>
      </c>
      <c r="C74" s="18">
        <v>46247</v>
      </c>
      <c r="D74" s="53">
        <v>46251</v>
      </c>
      <c r="E74" s="20">
        <v>46258</v>
      </c>
      <c r="F74" s="56" t="s">
        <v>121</v>
      </c>
      <c r="G74" s="25" t="s">
        <v>62</v>
      </c>
      <c r="H74" s="56" t="s">
        <v>128</v>
      </c>
      <c r="I74" s="161"/>
      <c r="J74" s="56" t="s">
        <v>18</v>
      </c>
      <c r="K74" s="140">
        <v>48065</v>
      </c>
      <c r="L74" s="17">
        <v>220</v>
      </c>
      <c r="M74" s="17" t="s">
        <v>45</v>
      </c>
      <c r="N74" s="59" t="s">
        <v>145</v>
      </c>
      <c r="O74" s="52" t="s">
        <v>28</v>
      </c>
      <c r="P74" s="17">
        <v>176</v>
      </c>
      <c r="Q74" s="25">
        <f t="shared" ref="Q74:Q126" si="11">P74-R74</f>
        <v>-8</v>
      </c>
      <c r="R74" s="191">
        <f>184</f>
        <v>184</v>
      </c>
      <c r="S74" s="192">
        <f t="shared" ref="S74:S126" si="12">P74-R74</f>
        <v>-8</v>
      </c>
      <c r="T74" s="193">
        <v>1211</v>
      </c>
      <c r="U74" s="193" t="s">
        <v>824</v>
      </c>
      <c r="V74" s="192">
        <v>182</v>
      </c>
      <c r="W74" s="192">
        <f t="shared" ref="W74:W126" si="13">+V74-P74</f>
        <v>6</v>
      </c>
      <c r="X74" s="193">
        <v>42390</v>
      </c>
      <c r="Y74" s="193">
        <v>25.08</v>
      </c>
      <c r="Z74" s="194">
        <f t="shared" ref="Z74:Z128" si="14">(P74-V74)*100/P74/100</f>
        <v>-3.4090909090909088E-2</v>
      </c>
      <c r="AA74" s="162" t="s">
        <v>942</v>
      </c>
      <c r="AB74" s="159"/>
      <c r="AC74" s="159"/>
      <c r="AD74" s="159"/>
      <c r="AE74" s="159"/>
      <c r="AF74" s="159"/>
    </row>
    <row r="75" spans="1:32" s="16" customFormat="1" ht="79.5" customHeight="1">
      <c r="A75" s="161"/>
      <c r="B75" s="20">
        <v>46230</v>
      </c>
      <c r="C75" s="18">
        <v>46247</v>
      </c>
      <c r="D75" s="53">
        <v>46251</v>
      </c>
      <c r="E75" s="20">
        <v>46258</v>
      </c>
      <c r="F75" s="56" t="s">
        <v>25</v>
      </c>
      <c r="G75" s="25" t="s">
        <v>62</v>
      </c>
      <c r="H75" s="56" t="s">
        <v>128</v>
      </c>
      <c r="I75" s="161"/>
      <c r="J75" s="56" t="s">
        <v>18</v>
      </c>
      <c r="K75" s="140">
        <v>48065</v>
      </c>
      <c r="L75" s="17">
        <v>220</v>
      </c>
      <c r="M75" s="17" t="s">
        <v>45</v>
      </c>
      <c r="N75" s="59" t="s">
        <v>663</v>
      </c>
      <c r="O75" s="52" t="s">
        <v>28</v>
      </c>
      <c r="P75" s="17">
        <v>176</v>
      </c>
      <c r="Q75" s="25">
        <f t="shared" si="11"/>
        <v>-16</v>
      </c>
      <c r="R75" s="191">
        <f>192</f>
        <v>192</v>
      </c>
      <c r="S75" s="192">
        <f t="shared" si="12"/>
        <v>-16</v>
      </c>
      <c r="T75" s="193">
        <v>394</v>
      </c>
      <c r="U75" s="193" t="s">
        <v>769</v>
      </c>
      <c r="V75" s="192">
        <v>190</v>
      </c>
      <c r="W75" s="192">
        <f t="shared" si="13"/>
        <v>14</v>
      </c>
      <c r="X75" s="193">
        <v>42390</v>
      </c>
      <c r="Y75" s="193">
        <v>25.08</v>
      </c>
      <c r="Z75" s="194">
        <f t="shared" si="14"/>
        <v>-7.9545454545454544E-2</v>
      </c>
      <c r="AA75" s="162" t="s">
        <v>890</v>
      </c>
      <c r="AB75" s="159"/>
      <c r="AC75" s="159"/>
      <c r="AD75" s="159"/>
      <c r="AE75" s="159"/>
      <c r="AF75" s="159"/>
    </row>
    <row r="76" spans="1:32" s="16" customFormat="1" ht="79.5" customHeight="1">
      <c r="A76" s="161"/>
      <c r="B76" s="20">
        <v>46230</v>
      </c>
      <c r="C76" s="18">
        <v>46247</v>
      </c>
      <c r="D76" s="53">
        <v>46251</v>
      </c>
      <c r="E76" s="20">
        <v>46258</v>
      </c>
      <c r="F76" s="56" t="s">
        <v>25</v>
      </c>
      <c r="G76" s="25" t="s">
        <v>62</v>
      </c>
      <c r="H76" s="56" t="s">
        <v>128</v>
      </c>
      <c r="I76" s="161"/>
      <c r="J76" s="56" t="s">
        <v>18</v>
      </c>
      <c r="K76" s="140">
        <v>48065</v>
      </c>
      <c r="L76" s="17">
        <v>220</v>
      </c>
      <c r="M76" s="17" t="s">
        <v>45</v>
      </c>
      <c r="N76" s="59" t="s">
        <v>664</v>
      </c>
      <c r="O76" s="52" t="s">
        <v>28</v>
      </c>
      <c r="P76" s="17">
        <v>138</v>
      </c>
      <c r="Q76" s="25">
        <f t="shared" si="11"/>
        <v>-14</v>
      </c>
      <c r="R76" s="191">
        <f>152</f>
        <v>152</v>
      </c>
      <c r="S76" s="192">
        <f t="shared" si="12"/>
        <v>-14</v>
      </c>
      <c r="T76" s="193">
        <v>1018</v>
      </c>
      <c r="U76" s="193" t="s">
        <v>831</v>
      </c>
      <c r="V76" s="192">
        <f>134</f>
        <v>134</v>
      </c>
      <c r="W76" s="192">
        <f t="shared" si="13"/>
        <v>-4</v>
      </c>
      <c r="X76" s="193">
        <v>42360</v>
      </c>
      <c r="Y76" s="193" t="s">
        <v>1055</v>
      </c>
      <c r="Z76" s="194">
        <f t="shared" si="14"/>
        <v>2.8985507246376812E-2</v>
      </c>
      <c r="AA76" s="162" t="s">
        <v>1015</v>
      </c>
      <c r="AB76" s="159"/>
      <c r="AC76" s="159"/>
      <c r="AD76" s="159"/>
      <c r="AE76" s="159"/>
      <c r="AF76" s="159"/>
    </row>
    <row r="77" spans="1:32" s="16" customFormat="1" ht="108.75" customHeight="1">
      <c r="A77" s="161"/>
      <c r="B77" s="20">
        <v>46227</v>
      </c>
      <c r="C77" s="18">
        <v>46244</v>
      </c>
      <c r="D77" s="53">
        <v>46247</v>
      </c>
      <c r="E77" s="20">
        <v>46260</v>
      </c>
      <c r="F77" s="56" t="s">
        <v>23</v>
      </c>
      <c r="G77" s="25" t="s">
        <v>62</v>
      </c>
      <c r="H77" s="56" t="s">
        <v>128</v>
      </c>
      <c r="I77" s="161"/>
      <c r="J77" s="56" t="s">
        <v>18</v>
      </c>
      <c r="K77" s="140">
        <v>48089</v>
      </c>
      <c r="L77" s="17">
        <v>150</v>
      </c>
      <c r="M77" s="17" t="s">
        <v>19</v>
      </c>
      <c r="N77" s="59" t="s">
        <v>666</v>
      </c>
      <c r="O77" s="52" t="s">
        <v>20</v>
      </c>
      <c r="P77" s="17">
        <v>388</v>
      </c>
      <c r="Q77" s="25">
        <f t="shared" si="11"/>
        <v>-4</v>
      </c>
      <c r="R77" s="191">
        <f>392</f>
        <v>392</v>
      </c>
      <c r="S77" s="192">
        <f t="shared" si="12"/>
        <v>-4</v>
      </c>
      <c r="T77" s="193">
        <v>2061</v>
      </c>
      <c r="U77" s="193" t="s">
        <v>999</v>
      </c>
      <c r="V77" s="192">
        <f>409</f>
        <v>409</v>
      </c>
      <c r="W77" s="192">
        <f t="shared" si="13"/>
        <v>21</v>
      </c>
      <c r="X77" s="193">
        <v>42480</v>
      </c>
      <c r="Y77" s="193" t="s">
        <v>1120</v>
      </c>
      <c r="Z77" s="194">
        <f t="shared" si="14"/>
        <v>-5.4123711340206188E-2</v>
      </c>
      <c r="AA77" s="162" t="s">
        <v>1088</v>
      </c>
      <c r="AB77" s="159"/>
      <c r="AC77" s="159"/>
      <c r="AD77" s="159"/>
      <c r="AE77" s="159"/>
      <c r="AF77" s="159"/>
    </row>
    <row r="78" spans="1:32" s="16" customFormat="1" ht="79.5" customHeight="1">
      <c r="A78" s="161"/>
      <c r="B78" s="20">
        <v>46227</v>
      </c>
      <c r="C78" s="18">
        <v>46244</v>
      </c>
      <c r="D78" s="53">
        <v>46247</v>
      </c>
      <c r="E78" s="20">
        <v>46260</v>
      </c>
      <c r="F78" s="56" t="s">
        <v>50</v>
      </c>
      <c r="G78" s="25" t="s">
        <v>62</v>
      </c>
      <c r="H78" s="56" t="s">
        <v>128</v>
      </c>
      <c r="I78" s="161"/>
      <c r="J78" s="56" t="s">
        <v>18</v>
      </c>
      <c r="K78" s="140">
        <v>48089</v>
      </c>
      <c r="L78" s="17">
        <v>150</v>
      </c>
      <c r="M78" s="17" t="s">
        <v>19</v>
      </c>
      <c r="N78" s="59" t="s">
        <v>667</v>
      </c>
      <c r="O78" s="52" t="s">
        <v>20</v>
      </c>
      <c r="P78" s="17">
        <v>408</v>
      </c>
      <c r="Q78" s="25">
        <f t="shared" si="11"/>
        <v>3</v>
      </c>
      <c r="R78" s="191">
        <f>405</f>
        <v>405</v>
      </c>
      <c r="S78" s="192">
        <f t="shared" si="12"/>
        <v>3</v>
      </c>
      <c r="T78" s="193">
        <v>2061</v>
      </c>
      <c r="U78" s="193" t="s">
        <v>999</v>
      </c>
      <c r="V78" s="192">
        <f>405</f>
        <v>405</v>
      </c>
      <c r="W78" s="192">
        <f t="shared" si="13"/>
        <v>-3</v>
      </c>
      <c r="X78" s="193">
        <v>42345</v>
      </c>
      <c r="Y78" s="193" t="s">
        <v>1040</v>
      </c>
      <c r="Z78" s="194">
        <f t="shared" si="14"/>
        <v>7.352941176470589E-3</v>
      </c>
      <c r="AA78" s="162" t="s">
        <v>981</v>
      </c>
      <c r="AB78" s="159"/>
      <c r="AC78" s="159"/>
      <c r="AD78" s="159"/>
      <c r="AE78" s="159"/>
      <c r="AF78" s="159"/>
    </row>
    <row r="79" spans="1:32" s="16" customFormat="1" ht="79.5" customHeight="1">
      <c r="A79" s="161"/>
      <c r="B79" s="20">
        <v>46227</v>
      </c>
      <c r="C79" s="18">
        <v>46244</v>
      </c>
      <c r="D79" s="53">
        <v>46247</v>
      </c>
      <c r="E79" s="20">
        <v>46260</v>
      </c>
      <c r="F79" s="56" t="s">
        <v>23</v>
      </c>
      <c r="G79" s="25" t="s">
        <v>62</v>
      </c>
      <c r="H79" s="56" t="s">
        <v>128</v>
      </c>
      <c r="I79" s="161"/>
      <c r="J79" s="56" t="s">
        <v>18</v>
      </c>
      <c r="K79" s="140">
        <v>48089</v>
      </c>
      <c r="L79" s="17">
        <v>150</v>
      </c>
      <c r="M79" s="17" t="s">
        <v>19</v>
      </c>
      <c r="N79" s="59" t="s">
        <v>37</v>
      </c>
      <c r="O79" s="52" t="s">
        <v>20</v>
      </c>
      <c r="P79" s="17">
        <v>732</v>
      </c>
      <c r="Q79" s="25">
        <f t="shared" si="11"/>
        <v>-9</v>
      </c>
      <c r="R79" s="191">
        <f>638+103</f>
        <v>741</v>
      </c>
      <c r="S79" s="192">
        <f t="shared" si="12"/>
        <v>-9</v>
      </c>
      <c r="T79" s="193">
        <v>119</v>
      </c>
      <c r="U79" s="193" t="s">
        <v>682</v>
      </c>
      <c r="V79" s="192">
        <f>627+110</f>
        <v>737</v>
      </c>
      <c r="W79" s="192">
        <f t="shared" si="13"/>
        <v>5</v>
      </c>
      <c r="X79" s="193">
        <v>42056</v>
      </c>
      <c r="Y79" s="193" t="s">
        <v>831</v>
      </c>
      <c r="Z79" s="194">
        <f t="shared" si="14"/>
        <v>-6.8306010928961746E-3</v>
      </c>
      <c r="AA79" s="162" t="s">
        <v>951</v>
      </c>
      <c r="AB79" s="159"/>
      <c r="AC79" s="159"/>
      <c r="AD79" s="159"/>
      <c r="AE79" s="159"/>
      <c r="AF79" s="159"/>
    </row>
    <row r="80" spans="1:32" s="16" customFormat="1" ht="94.5" customHeight="1">
      <c r="A80" s="161"/>
      <c r="B80" s="20">
        <v>46228</v>
      </c>
      <c r="C80" s="18">
        <v>46244</v>
      </c>
      <c r="D80" s="53">
        <v>46245</v>
      </c>
      <c r="E80" s="20">
        <v>46256</v>
      </c>
      <c r="F80" s="56" t="s">
        <v>23</v>
      </c>
      <c r="G80" s="25" t="s">
        <v>62</v>
      </c>
      <c r="H80" s="56" t="s">
        <v>31</v>
      </c>
      <c r="I80" s="161"/>
      <c r="J80" s="56" t="s">
        <v>34</v>
      </c>
      <c r="K80" s="57">
        <v>47793</v>
      </c>
      <c r="L80" s="17">
        <v>180</v>
      </c>
      <c r="M80" s="17" t="s">
        <v>35</v>
      </c>
      <c r="N80" s="59" t="s">
        <v>113</v>
      </c>
      <c r="O80" s="52" t="s">
        <v>20</v>
      </c>
      <c r="P80" s="17">
        <v>1089</v>
      </c>
      <c r="Q80" s="25">
        <f t="shared" si="11"/>
        <v>8</v>
      </c>
      <c r="R80" s="191">
        <f>351+730</f>
        <v>1081</v>
      </c>
      <c r="S80" s="192">
        <f t="shared" si="12"/>
        <v>8</v>
      </c>
      <c r="T80" s="193">
        <v>990</v>
      </c>
      <c r="U80" s="193" t="s">
        <v>831</v>
      </c>
      <c r="V80" s="192">
        <f>719+344</f>
        <v>1063</v>
      </c>
      <c r="W80" s="192">
        <f t="shared" si="13"/>
        <v>-26</v>
      </c>
      <c r="X80" s="193">
        <v>42126</v>
      </c>
      <c r="Y80" s="193" t="s">
        <v>856</v>
      </c>
      <c r="Z80" s="194">
        <f t="shared" si="14"/>
        <v>2.3875114784205693E-2</v>
      </c>
      <c r="AA80" s="162" t="s">
        <v>975</v>
      </c>
      <c r="AB80" s="159"/>
      <c r="AC80" s="159"/>
      <c r="AD80" s="159"/>
      <c r="AE80" s="159"/>
      <c r="AF80" s="159"/>
    </row>
    <row r="81" spans="1:32" s="16" customFormat="1" ht="79.5" customHeight="1">
      <c r="A81" s="161"/>
      <c r="B81" s="20">
        <v>46228</v>
      </c>
      <c r="C81" s="18">
        <v>46244</v>
      </c>
      <c r="D81" s="53">
        <v>46245</v>
      </c>
      <c r="E81" s="20">
        <v>46256</v>
      </c>
      <c r="F81" s="56" t="s">
        <v>121</v>
      </c>
      <c r="G81" s="25" t="s">
        <v>62</v>
      </c>
      <c r="H81" s="56" t="s">
        <v>31</v>
      </c>
      <c r="I81" s="161"/>
      <c r="J81" s="56" t="s">
        <v>34</v>
      </c>
      <c r="K81" s="57">
        <v>47793</v>
      </c>
      <c r="L81" s="17">
        <v>180</v>
      </c>
      <c r="M81" s="17" t="s">
        <v>35</v>
      </c>
      <c r="N81" s="59" t="s">
        <v>668</v>
      </c>
      <c r="O81" s="52" t="s">
        <v>20</v>
      </c>
      <c r="P81" s="17">
        <v>1021</v>
      </c>
      <c r="Q81" s="25">
        <f t="shared" si="11"/>
        <v>36</v>
      </c>
      <c r="R81" s="191">
        <f>449+536</f>
        <v>985</v>
      </c>
      <c r="S81" s="195">
        <f t="shared" si="12"/>
        <v>36</v>
      </c>
      <c r="T81" s="193">
        <v>1211</v>
      </c>
      <c r="U81" s="193" t="s">
        <v>824</v>
      </c>
      <c r="V81" s="192">
        <f>525+499-500-497+487+277+250-290-273-537+522+531</f>
        <v>994</v>
      </c>
      <c r="W81" s="195">
        <f t="shared" si="13"/>
        <v>-27</v>
      </c>
      <c r="X81" s="193" t="s">
        <v>1186</v>
      </c>
      <c r="Y81" s="193" t="s">
        <v>1187</v>
      </c>
      <c r="Z81" s="226">
        <f t="shared" si="14"/>
        <v>2.6444662095984329E-2</v>
      </c>
      <c r="AA81" s="162" t="s">
        <v>1190</v>
      </c>
      <c r="AB81" s="159"/>
      <c r="AC81" s="159"/>
      <c r="AD81" s="159"/>
      <c r="AE81" s="159"/>
      <c r="AF81" s="159"/>
    </row>
    <row r="82" spans="1:32" s="16" customFormat="1" ht="79.5" customHeight="1">
      <c r="A82" s="161"/>
      <c r="B82" s="20">
        <v>46228</v>
      </c>
      <c r="C82" s="18">
        <v>46244</v>
      </c>
      <c r="D82" s="53">
        <v>46245</v>
      </c>
      <c r="E82" s="20">
        <v>46256</v>
      </c>
      <c r="F82" s="56" t="s">
        <v>23</v>
      </c>
      <c r="G82" s="25" t="s">
        <v>62</v>
      </c>
      <c r="H82" s="56" t="s">
        <v>31</v>
      </c>
      <c r="I82" s="161"/>
      <c r="J82" s="56" t="s">
        <v>34</v>
      </c>
      <c r="K82" s="57">
        <v>47793</v>
      </c>
      <c r="L82" s="17">
        <v>180</v>
      </c>
      <c r="M82" s="17" t="s">
        <v>35</v>
      </c>
      <c r="N82" s="59" t="s">
        <v>669</v>
      </c>
      <c r="O82" s="52" t="s">
        <v>20</v>
      </c>
      <c r="P82" s="17">
        <v>614</v>
      </c>
      <c r="Q82" s="25">
        <f t="shared" si="11"/>
        <v>-6</v>
      </c>
      <c r="R82" s="191">
        <f>25+576+19</f>
        <v>620</v>
      </c>
      <c r="S82" s="192">
        <f t="shared" si="12"/>
        <v>-6</v>
      </c>
      <c r="T82" s="193" t="s">
        <v>1162</v>
      </c>
      <c r="U82" s="193" t="s">
        <v>1163</v>
      </c>
      <c r="V82" s="192">
        <f>584+25</f>
        <v>609</v>
      </c>
      <c r="W82" s="192">
        <f t="shared" si="13"/>
        <v>-5</v>
      </c>
      <c r="X82" s="193">
        <v>42559</v>
      </c>
      <c r="Y82" s="193" t="s">
        <v>1169</v>
      </c>
      <c r="Z82" s="194">
        <f t="shared" si="14"/>
        <v>8.1433224755700327E-3</v>
      </c>
      <c r="AA82" s="162" t="s">
        <v>1095</v>
      </c>
      <c r="AB82" s="159"/>
      <c r="AC82" s="159"/>
      <c r="AD82" s="159"/>
      <c r="AE82" s="159"/>
      <c r="AF82" s="159"/>
    </row>
    <row r="83" spans="1:32" s="16" customFormat="1" ht="105" customHeight="1">
      <c r="A83" s="161"/>
      <c r="B83" s="20">
        <v>46228</v>
      </c>
      <c r="C83" s="18">
        <v>46244</v>
      </c>
      <c r="D83" s="53">
        <v>46245</v>
      </c>
      <c r="E83" s="20">
        <v>46256</v>
      </c>
      <c r="F83" s="56" t="s">
        <v>25</v>
      </c>
      <c r="G83" s="25" t="s">
        <v>105</v>
      </c>
      <c r="H83" s="56" t="s">
        <v>31</v>
      </c>
      <c r="I83" s="161"/>
      <c r="J83" s="56" t="s">
        <v>34</v>
      </c>
      <c r="K83" s="57">
        <v>47793</v>
      </c>
      <c r="L83" s="17">
        <v>180</v>
      </c>
      <c r="M83" s="17" t="s">
        <v>35</v>
      </c>
      <c r="N83" s="59" t="s">
        <v>457</v>
      </c>
      <c r="O83" s="52" t="s">
        <v>20</v>
      </c>
      <c r="P83" s="17">
        <v>614</v>
      </c>
      <c r="Q83" s="25">
        <f t="shared" si="11"/>
        <v>-7</v>
      </c>
      <c r="R83" s="191">
        <f>621</f>
        <v>621</v>
      </c>
      <c r="S83" s="192">
        <f t="shared" si="12"/>
        <v>-7</v>
      </c>
      <c r="T83" s="193">
        <v>1210</v>
      </c>
      <c r="U83" s="193" t="s">
        <v>824</v>
      </c>
      <c r="V83" s="192">
        <f>617</f>
        <v>617</v>
      </c>
      <c r="W83" s="192">
        <f t="shared" si="13"/>
        <v>3</v>
      </c>
      <c r="X83" s="193">
        <v>1981</v>
      </c>
      <c r="Y83" s="193" t="s">
        <v>1092</v>
      </c>
      <c r="Z83" s="194">
        <f t="shared" si="14"/>
        <v>-4.8859934853420191E-3</v>
      </c>
      <c r="AA83" s="162" t="s">
        <v>1091</v>
      </c>
      <c r="AB83" s="159"/>
      <c r="AC83" s="159"/>
      <c r="AD83" s="159"/>
      <c r="AE83" s="159"/>
      <c r="AF83" s="159"/>
    </row>
    <row r="84" spans="1:32" s="16" customFormat="1" ht="178.5" customHeight="1">
      <c r="A84" s="161"/>
      <c r="B84" s="20">
        <v>46233</v>
      </c>
      <c r="C84" s="18">
        <v>46246</v>
      </c>
      <c r="D84" s="53">
        <v>46247</v>
      </c>
      <c r="E84" s="20">
        <v>46256</v>
      </c>
      <c r="F84" s="56" t="s">
        <v>25</v>
      </c>
      <c r="G84" s="25" t="s">
        <v>105</v>
      </c>
      <c r="H84" s="56" t="s">
        <v>138</v>
      </c>
      <c r="I84" s="161"/>
      <c r="J84" s="56" t="s">
        <v>34</v>
      </c>
      <c r="K84" s="57">
        <v>47821</v>
      </c>
      <c r="L84" s="17">
        <v>180</v>
      </c>
      <c r="M84" s="17" t="s">
        <v>42</v>
      </c>
      <c r="N84" s="59" t="s">
        <v>663</v>
      </c>
      <c r="O84" s="52" t="s">
        <v>670</v>
      </c>
      <c r="P84" s="17">
        <f>580+20-20</f>
        <v>580</v>
      </c>
      <c r="Q84" s="25">
        <f t="shared" si="11"/>
        <v>-6</v>
      </c>
      <c r="R84" s="191">
        <f>586</f>
        <v>586</v>
      </c>
      <c r="S84" s="192">
        <f t="shared" si="12"/>
        <v>-6</v>
      </c>
      <c r="T84" s="193">
        <v>1312</v>
      </c>
      <c r="U84" s="193" t="s">
        <v>1000</v>
      </c>
      <c r="V84" s="192">
        <f>582</f>
        <v>582</v>
      </c>
      <c r="W84" s="192">
        <f t="shared" si="13"/>
        <v>2</v>
      </c>
      <c r="X84" s="193">
        <v>2152</v>
      </c>
      <c r="Y84" s="193" t="s">
        <v>1112</v>
      </c>
      <c r="Z84" s="194">
        <f t="shared" si="14"/>
        <v>-3.4482758620689659E-3</v>
      </c>
      <c r="AA84" s="162" t="s">
        <v>1089</v>
      </c>
      <c r="AB84" s="159"/>
      <c r="AC84" s="159"/>
      <c r="AD84" s="159"/>
      <c r="AE84" s="159"/>
      <c r="AF84" s="159"/>
    </row>
    <row r="85" spans="1:32" s="16" customFormat="1" ht="156" customHeight="1">
      <c r="A85" s="161"/>
      <c r="B85" s="20">
        <v>46240</v>
      </c>
      <c r="C85" s="18">
        <v>46254</v>
      </c>
      <c r="D85" s="53">
        <v>46256</v>
      </c>
      <c r="E85" s="53">
        <v>46265</v>
      </c>
      <c r="F85" s="56" t="s">
        <v>23</v>
      </c>
      <c r="G85" s="25" t="s">
        <v>62</v>
      </c>
      <c r="H85" s="52" t="s">
        <v>128</v>
      </c>
      <c r="I85" s="161"/>
      <c r="J85" s="56" t="s">
        <v>18</v>
      </c>
      <c r="K85" s="140">
        <v>48083</v>
      </c>
      <c r="L85" s="17">
        <v>180</v>
      </c>
      <c r="M85" s="17" t="s">
        <v>35</v>
      </c>
      <c r="N85" s="59" t="s">
        <v>736</v>
      </c>
      <c r="O85" s="52" t="s">
        <v>52</v>
      </c>
      <c r="P85" s="17">
        <v>410</v>
      </c>
      <c r="Q85" s="25">
        <f t="shared" si="11"/>
        <v>8</v>
      </c>
      <c r="R85" s="191">
        <f>420-420+402</f>
        <v>402</v>
      </c>
      <c r="S85" s="192">
        <f t="shared" si="12"/>
        <v>8</v>
      </c>
      <c r="T85" s="193" t="s">
        <v>1304</v>
      </c>
      <c r="U85" s="193" t="s">
        <v>1303</v>
      </c>
      <c r="V85" s="192">
        <f>399</f>
        <v>399</v>
      </c>
      <c r="W85" s="192">
        <f t="shared" si="13"/>
        <v>-11</v>
      </c>
      <c r="X85" s="193">
        <v>42805</v>
      </c>
      <c r="Y85" s="193" t="s">
        <v>1310</v>
      </c>
      <c r="Z85" s="194">
        <f t="shared" si="14"/>
        <v>2.682926829268293E-2</v>
      </c>
      <c r="AA85" s="162" t="s">
        <v>1201</v>
      </c>
      <c r="AB85" s="159"/>
      <c r="AC85" s="159"/>
      <c r="AD85" s="159"/>
      <c r="AE85" s="159"/>
      <c r="AF85" s="159"/>
    </row>
    <row r="86" spans="1:32" s="16" customFormat="1" ht="79.5" customHeight="1">
      <c r="A86" s="161"/>
      <c r="B86" s="20">
        <v>46240</v>
      </c>
      <c r="C86" s="18">
        <v>46254</v>
      </c>
      <c r="D86" s="53">
        <v>46256</v>
      </c>
      <c r="E86" s="53">
        <v>46265</v>
      </c>
      <c r="F86" s="56" t="s">
        <v>25</v>
      </c>
      <c r="G86" s="25" t="s">
        <v>62</v>
      </c>
      <c r="H86" s="52" t="s">
        <v>128</v>
      </c>
      <c r="I86" s="161"/>
      <c r="J86" s="56" t="s">
        <v>18</v>
      </c>
      <c r="K86" s="140">
        <v>48083</v>
      </c>
      <c r="L86" s="17">
        <v>180</v>
      </c>
      <c r="M86" s="17" t="s">
        <v>35</v>
      </c>
      <c r="N86" s="59" t="s">
        <v>663</v>
      </c>
      <c r="O86" s="52" t="s">
        <v>52</v>
      </c>
      <c r="P86" s="17">
        <v>556</v>
      </c>
      <c r="Q86" s="25">
        <f t="shared" si="11"/>
        <v>-9</v>
      </c>
      <c r="R86" s="191">
        <f>565</f>
        <v>565</v>
      </c>
      <c r="S86" s="192">
        <f t="shared" si="12"/>
        <v>-9</v>
      </c>
      <c r="T86" s="193">
        <v>1026</v>
      </c>
      <c r="U86" s="193" t="s">
        <v>847</v>
      </c>
      <c r="V86" s="192">
        <f>554-547-10+7.5+554-558+539</f>
        <v>539.5</v>
      </c>
      <c r="W86" s="195">
        <f t="shared" si="13"/>
        <v>-16.5</v>
      </c>
      <c r="X86" s="193" t="s">
        <v>1194</v>
      </c>
      <c r="Y86" s="193" t="s">
        <v>1195</v>
      </c>
      <c r="Z86" s="194">
        <f t="shared" si="14"/>
        <v>2.9676258992805758E-2</v>
      </c>
      <c r="AA86" s="162" t="s">
        <v>1196</v>
      </c>
      <c r="AB86" s="159"/>
      <c r="AC86" s="159"/>
      <c r="AD86" s="159"/>
      <c r="AE86" s="159"/>
      <c r="AF86" s="159"/>
    </row>
    <row r="87" spans="1:32" s="16" customFormat="1" ht="79.5" customHeight="1">
      <c r="A87" s="161"/>
      <c r="B87" s="20">
        <v>46240</v>
      </c>
      <c r="C87" s="18">
        <v>46254</v>
      </c>
      <c r="D87" s="53">
        <v>46256</v>
      </c>
      <c r="E87" s="53">
        <v>46265</v>
      </c>
      <c r="F87" s="56" t="s">
        <v>23</v>
      </c>
      <c r="G87" s="25" t="s">
        <v>62</v>
      </c>
      <c r="H87" s="52" t="s">
        <v>128</v>
      </c>
      <c r="I87" s="161"/>
      <c r="J87" s="56" t="s">
        <v>18</v>
      </c>
      <c r="K87" s="140">
        <v>48083</v>
      </c>
      <c r="L87" s="17">
        <v>180</v>
      </c>
      <c r="M87" s="17" t="s">
        <v>35</v>
      </c>
      <c r="N87" s="59" t="s">
        <v>172</v>
      </c>
      <c r="O87" s="52" t="s">
        <v>52</v>
      </c>
      <c r="P87" s="17">
        <v>521</v>
      </c>
      <c r="Q87" s="25">
        <f t="shared" si="11"/>
        <v>-10</v>
      </c>
      <c r="R87" s="191">
        <f>531</f>
        <v>531</v>
      </c>
      <c r="S87" s="192">
        <f t="shared" si="12"/>
        <v>-10</v>
      </c>
      <c r="T87" s="193">
        <v>1220</v>
      </c>
      <c r="U87" s="193" t="s">
        <v>847</v>
      </c>
      <c r="V87" s="192">
        <f>525</f>
        <v>525</v>
      </c>
      <c r="W87" s="192">
        <f t="shared" si="13"/>
        <v>4</v>
      </c>
      <c r="X87" s="193">
        <v>42308</v>
      </c>
      <c r="Y87" s="193" t="s">
        <v>1018</v>
      </c>
      <c r="Z87" s="194">
        <f t="shared" si="14"/>
        <v>-7.677543186180422E-3</v>
      </c>
      <c r="AA87" s="162" t="s">
        <v>933</v>
      </c>
      <c r="AB87" s="159"/>
      <c r="AC87" s="159"/>
      <c r="AD87" s="159"/>
      <c r="AE87" s="159"/>
      <c r="AF87" s="159"/>
    </row>
    <row r="88" spans="1:32" s="16" customFormat="1" ht="79.5" customHeight="1">
      <c r="A88" s="161"/>
      <c r="B88" s="20">
        <v>46241</v>
      </c>
      <c r="C88" s="18">
        <v>46254</v>
      </c>
      <c r="D88" s="53">
        <v>46258</v>
      </c>
      <c r="E88" s="53">
        <v>46265</v>
      </c>
      <c r="F88" s="56" t="s">
        <v>25</v>
      </c>
      <c r="G88" s="25" t="s">
        <v>62</v>
      </c>
      <c r="H88" s="52" t="s">
        <v>128</v>
      </c>
      <c r="I88" s="161"/>
      <c r="J88" s="56" t="s">
        <v>18</v>
      </c>
      <c r="K88" s="140">
        <v>48084</v>
      </c>
      <c r="L88" s="17">
        <v>180</v>
      </c>
      <c r="M88" s="17" t="s">
        <v>35</v>
      </c>
      <c r="N88" s="249" t="s">
        <v>663</v>
      </c>
      <c r="O88" s="52" t="s">
        <v>52</v>
      </c>
      <c r="P88" s="17">
        <v>109</v>
      </c>
      <c r="Q88" s="25">
        <f t="shared" ref="Q88:Q104" si="15">P88-R88</f>
        <v>-11</v>
      </c>
      <c r="R88" s="191">
        <f>120</f>
        <v>120</v>
      </c>
      <c r="S88" s="192">
        <f t="shared" ref="S88:S104" si="16">P88-R88</f>
        <v>-11</v>
      </c>
      <c r="T88" s="193">
        <v>1026</v>
      </c>
      <c r="U88" s="193" t="s">
        <v>847</v>
      </c>
      <c r="V88" s="192">
        <f>129-129+73-74+58+16+17</f>
        <v>90</v>
      </c>
      <c r="W88" s="195">
        <f t="shared" ref="W88:W104" si="17">+V88-P88</f>
        <v>-19</v>
      </c>
      <c r="X88" s="193" t="s">
        <v>1250</v>
      </c>
      <c r="Y88" s="193" t="s">
        <v>1251</v>
      </c>
      <c r="Z88" s="226">
        <f t="shared" si="14"/>
        <v>0.17431192660550457</v>
      </c>
      <c r="AA88" s="162" t="s">
        <v>1252</v>
      </c>
      <c r="AB88" s="159"/>
      <c r="AC88" s="159"/>
      <c r="AD88" s="159"/>
      <c r="AE88" s="159"/>
      <c r="AF88" s="159"/>
    </row>
    <row r="89" spans="1:32" s="16" customFormat="1" ht="93" customHeight="1">
      <c r="A89" s="161"/>
      <c r="B89" s="20">
        <v>46241</v>
      </c>
      <c r="C89" s="18">
        <v>46254</v>
      </c>
      <c r="D89" s="53">
        <v>46258</v>
      </c>
      <c r="E89" s="53">
        <v>46265</v>
      </c>
      <c r="F89" s="56" t="s">
        <v>23</v>
      </c>
      <c r="G89" s="25" t="s">
        <v>62</v>
      </c>
      <c r="H89" s="52" t="s">
        <v>128</v>
      </c>
      <c r="I89" s="161"/>
      <c r="J89" s="56" t="s">
        <v>18</v>
      </c>
      <c r="K89" s="140">
        <v>48084</v>
      </c>
      <c r="L89" s="17">
        <v>180</v>
      </c>
      <c r="M89" s="17" t="s">
        <v>35</v>
      </c>
      <c r="N89" s="59" t="s">
        <v>172</v>
      </c>
      <c r="O89" s="52" t="s">
        <v>52</v>
      </c>
      <c r="P89" s="17">
        <v>135</v>
      </c>
      <c r="Q89" s="25">
        <f t="shared" si="15"/>
        <v>-5</v>
      </c>
      <c r="R89" s="191">
        <f>140</f>
        <v>140</v>
      </c>
      <c r="S89" s="192">
        <f t="shared" si="16"/>
        <v>-5</v>
      </c>
      <c r="T89" s="193">
        <v>1220</v>
      </c>
      <c r="U89" s="193" t="s">
        <v>847</v>
      </c>
      <c r="V89" s="192">
        <f>134</f>
        <v>134</v>
      </c>
      <c r="W89" s="192">
        <f t="shared" si="17"/>
        <v>-1</v>
      </c>
      <c r="X89" s="193">
        <v>42308</v>
      </c>
      <c r="Y89" s="193" t="s">
        <v>1018</v>
      </c>
      <c r="Z89" s="194">
        <f t="shared" si="14"/>
        <v>7.4074074074074068E-3</v>
      </c>
      <c r="AA89" s="162" t="s">
        <v>934</v>
      </c>
      <c r="AB89" s="159"/>
      <c r="AC89" s="159"/>
      <c r="AD89" s="159"/>
      <c r="AE89" s="159"/>
      <c r="AF89" s="159"/>
    </row>
    <row r="90" spans="1:32" s="16" customFormat="1" ht="162" customHeight="1">
      <c r="A90" s="161"/>
      <c r="B90" s="20">
        <v>46240</v>
      </c>
      <c r="C90" s="18">
        <v>46252</v>
      </c>
      <c r="D90" s="53">
        <v>46256</v>
      </c>
      <c r="E90" s="53">
        <v>46265</v>
      </c>
      <c r="F90" s="56" t="s">
        <v>23</v>
      </c>
      <c r="G90" s="25" t="s">
        <v>62</v>
      </c>
      <c r="H90" s="52" t="s">
        <v>179</v>
      </c>
      <c r="I90" s="161"/>
      <c r="J90" s="56" t="s">
        <v>18</v>
      </c>
      <c r="K90" s="140">
        <v>48004</v>
      </c>
      <c r="L90" s="17">
        <v>220</v>
      </c>
      <c r="M90" s="17" t="s">
        <v>122</v>
      </c>
      <c r="N90" s="59" t="s">
        <v>129</v>
      </c>
      <c r="O90" s="52" t="s">
        <v>737</v>
      </c>
      <c r="P90" s="17">
        <v>169</v>
      </c>
      <c r="Q90" s="25">
        <f t="shared" si="15"/>
        <v>-5</v>
      </c>
      <c r="R90" s="191">
        <f>174</f>
        <v>174</v>
      </c>
      <c r="S90" s="192">
        <f t="shared" si="16"/>
        <v>-5</v>
      </c>
      <c r="T90" s="193">
        <v>1225</v>
      </c>
      <c r="U90" s="193" t="s">
        <v>847</v>
      </c>
      <c r="V90" s="192">
        <f>170</f>
        <v>170</v>
      </c>
      <c r="W90" s="192">
        <f t="shared" si="17"/>
        <v>1</v>
      </c>
      <c r="X90" s="193">
        <v>42426</v>
      </c>
      <c r="Y90" s="193" t="s">
        <v>1102</v>
      </c>
      <c r="Z90" s="194">
        <f t="shared" si="14"/>
        <v>-5.9171597633136093E-3</v>
      </c>
      <c r="AA90" s="248" t="s">
        <v>1097</v>
      </c>
      <c r="AB90" s="159"/>
      <c r="AC90" s="159"/>
      <c r="AD90" s="159"/>
      <c r="AE90" s="159"/>
      <c r="AF90" s="159"/>
    </row>
    <row r="91" spans="1:32" s="16" customFormat="1" ht="79.5" customHeight="1">
      <c r="A91" s="161"/>
      <c r="B91" s="20">
        <v>46240</v>
      </c>
      <c r="C91" s="18">
        <v>46252</v>
      </c>
      <c r="D91" s="53">
        <v>46256</v>
      </c>
      <c r="E91" s="53">
        <v>46265</v>
      </c>
      <c r="F91" s="56" t="s">
        <v>23</v>
      </c>
      <c r="G91" s="25" t="s">
        <v>62</v>
      </c>
      <c r="H91" s="52" t="s">
        <v>179</v>
      </c>
      <c r="I91" s="161"/>
      <c r="J91" s="56" t="s">
        <v>18</v>
      </c>
      <c r="K91" s="140">
        <v>48004</v>
      </c>
      <c r="L91" s="17">
        <v>220</v>
      </c>
      <c r="M91" s="17" t="s">
        <v>122</v>
      </c>
      <c r="N91" s="59" t="s">
        <v>126</v>
      </c>
      <c r="O91" s="52" t="s">
        <v>737</v>
      </c>
      <c r="P91" s="17">
        <v>167</v>
      </c>
      <c r="Q91" s="25">
        <f t="shared" si="15"/>
        <v>0</v>
      </c>
      <c r="R91" s="191">
        <f>167</f>
        <v>167</v>
      </c>
      <c r="S91" s="192">
        <f t="shared" si="16"/>
        <v>0</v>
      </c>
      <c r="T91" s="193">
        <v>1220</v>
      </c>
      <c r="U91" s="193" t="s">
        <v>847</v>
      </c>
      <c r="V91" s="192">
        <f>169</f>
        <v>169</v>
      </c>
      <c r="W91" s="192">
        <f t="shared" si="17"/>
        <v>2</v>
      </c>
      <c r="X91" s="193">
        <v>42267</v>
      </c>
      <c r="Y91" s="193" t="s">
        <v>1000</v>
      </c>
      <c r="Z91" s="194">
        <f t="shared" si="14"/>
        <v>-1.1976047904191616E-2</v>
      </c>
      <c r="AA91" s="162" t="s">
        <v>988</v>
      </c>
      <c r="AB91" s="159"/>
      <c r="AC91" s="159"/>
      <c r="AD91" s="159"/>
      <c r="AE91" s="159"/>
      <c r="AF91" s="159"/>
    </row>
    <row r="92" spans="1:32" s="16" customFormat="1" ht="79.5" customHeight="1">
      <c r="A92" s="161"/>
      <c r="B92" s="20">
        <v>46244</v>
      </c>
      <c r="C92" s="18">
        <v>46258</v>
      </c>
      <c r="D92" s="53">
        <v>46258</v>
      </c>
      <c r="E92" s="53">
        <v>46263</v>
      </c>
      <c r="F92" s="56" t="s">
        <v>23</v>
      </c>
      <c r="G92" s="25" t="s">
        <v>105</v>
      </c>
      <c r="H92" s="52" t="s">
        <v>743</v>
      </c>
      <c r="I92" s="161"/>
      <c r="J92" s="56" t="s">
        <v>162</v>
      </c>
      <c r="K92" s="141">
        <v>48212</v>
      </c>
      <c r="L92" s="17">
        <v>240</v>
      </c>
      <c r="M92" s="17" t="s">
        <v>42</v>
      </c>
      <c r="N92" s="59" t="s">
        <v>158</v>
      </c>
      <c r="O92" s="52" t="s">
        <v>738</v>
      </c>
      <c r="P92" s="17">
        <v>96</v>
      </c>
      <c r="Q92" s="25">
        <f t="shared" si="15"/>
        <v>-13</v>
      </c>
      <c r="R92" s="191">
        <f>109</f>
        <v>109</v>
      </c>
      <c r="S92" s="192">
        <f t="shared" si="16"/>
        <v>-13</v>
      </c>
      <c r="T92" s="193">
        <v>2071</v>
      </c>
      <c r="U92" s="193" t="s">
        <v>1040</v>
      </c>
      <c r="V92" s="192">
        <f>106</f>
        <v>106</v>
      </c>
      <c r="W92" s="192">
        <f t="shared" si="17"/>
        <v>10</v>
      </c>
      <c r="X92" s="193">
        <v>1942</v>
      </c>
      <c r="Y92" s="193" t="s">
        <v>1102</v>
      </c>
      <c r="Z92" s="194">
        <f t="shared" si="14"/>
        <v>-0.10416666666666666</v>
      </c>
      <c r="AA92" s="162" t="s">
        <v>1044</v>
      </c>
      <c r="AB92" s="159"/>
      <c r="AC92" s="159"/>
      <c r="AD92" s="159"/>
      <c r="AE92" s="159"/>
      <c r="AF92" s="159"/>
    </row>
    <row r="93" spans="1:32" s="16" customFormat="1" ht="79.5" customHeight="1">
      <c r="A93" s="161"/>
      <c r="B93" s="20">
        <v>46235</v>
      </c>
      <c r="C93" s="18">
        <v>46246</v>
      </c>
      <c r="D93" s="53">
        <v>46247</v>
      </c>
      <c r="E93" s="53">
        <v>46256</v>
      </c>
      <c r="F93" s="56" t="s">
        <v>23</v>
      </c>
      <c r="G93" s="25" t="s">
        <v>105</v>
      </c>
      <c r="H93" s="52" t="s">
        <v>31</v>
      </c>
      <c r="I93" s="161"/>
      <c r="J93" s="56" t="s">
        <v>34</v>
      </c>
      <c r="K93" s="57">
        <v>47729</v>
      </c>
      <c r="L93" s="17">
        <v>160</v>
      </c>
      <c r="M93" s="17" t="s">
        <v>47</v>
      </c>
      <c r="N93" s="59" t="s">
        <v>101</v>
      </c>
      <c r="O93" s="52" t="s">
        <v>20</v>
      </c>
      <c r="P93" s="17">
        <v>844</v>
      </c>
      <c r="Q93" s="25">
        <f t="shared" si="15"/>
        <v>-10</v>
      </c>
      <c r="R93" s="191">
        <f>854</f>
        <v>854</v>
      </c>
      <c r="S93" s="192">
        <f t="shared" si="16"/>
        <v>-10</v>
      </c>
      <c r="T93" s="193">
        <v>827</v>
      </c>
      <c r="U93" s="193" t="s">
        <v>751</v>
      </c>
      <c r="V93" s="192">
        <f>858</f>
        <v>858</v>
      </c>
      <c r="W93" s="192">
        <f t="shared" si="17"/>
        <v>14</v>
      </c>
      <c r="X93" s="193">
        <v>1779</v>
      </c>
      <c r="Y93" s="193" t="s">
        <v>910</v>
      </c>
      <c r="Z93" s="194">
        <f t="shared" si="14"/>
        <v>-1.6587677725118485E-2</v>
      </c>
      <c r="AA93" s="162" t="s">
        <v>946</v>
      </c>
      <c r="AB93" s="159"/>
      <c r="AC93" s="159"/>
      <c r="AD93" s="159"/>
      <c r="AE93" s="159"/>
      <c r="AF93" s="159"/>
    </row>
    <row r="94" spans="1:32" s="16" customFormat="1" ht="79.5" customHeight="1">
      <c r="A94" s="161"/>
      <c r="B94" s="20">
        <v>46235</v>
      </c>
      <c r="C94" s="18">
        <v>46246</v>
      </c>
      <c r="D94" s="53">
        <v>46247</v>
      </c>
      <c r="E94" s="53">
        <v>46256</v>
      </c>
      <c r="F94" s="56" t="s">
        <v>23</v>
      </c>
      <c r="G94" s="25" t="s">
        <v>62</v>
      </c>
      <c r="H94" s="52" t="s">
        <v>31</v>
      </c>
      <c r="I94" s="161"/>
      <c r="J94" s="56" t="s">
        <v>34</v>
      </c>
      <c r="K94" s="57">
        <v>47729</v>
      </c>
      <c r="L94" s="17">
        <v>160</v>
      </c>
      <c r="M94" s="17" t="s">
        <v>47</v>
      </c>
      <c r="N94" s="59" t="s">
        <v>739</v>
      </c>
      <c r="O94" s="52" t="s">
        <v>20</v>
      </c>
      <c r="P94" s="17">
        <v>732</v>
      </c>
      <c r="Q94" s="25">
        <f t="shared" si="15"/>
        <v>6</v>
      </c>
      <c r="R94" s="191">
        <f>726</f>
        <v>726</v>
      </c>
      <c r="S94" s="192">
        <f t="shared" si="16"/>
        <v>6</v>
      </c>
      <c r="T94" s="193">
        <v>990</v>
      </c>
      <c r="U94" s="193" t="s">
        <v>831</v>
      </c>
      <c r="V94" s="192">
        <f>715</f>
        <v>715</v>
      </c>
      <c r="W94" s="192">
        <f t="shared" si="17"/>
        <v>-17</v>
      </c>
      <c r="X94" s="193">
        <v>42161</v>
      </c>
      <c r="Y94" s="193" t="s">
        <v>899</v>
      </c>
      <c r="Z94" s="194">
        <f t="shared" si="14"/>
        <v>2.3224043715846996E-2</v>
      </c>
      <c r="AA94" s="162" t="s">
        <v>967</v>
      </c>
      <c r="AB94" s="159"/>
      <c r="AC94" s="159"/>
      <c r="AD94" s="159"/>
      <c r="AE94" s="159"/>
      <c r="AF94" s="159"/>
    </row>
    <row r="95" spans="1:32" s="16" customFormat="1" ht="79.5" customHeight="1">
      <c r="A95" s="161"/>
      <c r="B95" s="20">
        <v>46235</v>
      </c>
      <c r="C95" s="18">
        <v>46246</v>
      </c>
      <c r="D95" s="53">
        <v>46247</v>
      </c>
      <c r="E95" s="53">
        <v>46256</v>
      </c>
      <c r="F95" s="56" t="s">
        <v>23</v>
      </c>
      <c r="G95" s="25" t="s">
        <v>105</v>
      </c>
      <c r="H95" s="52" t="s">
        <v>31</v>
      </c>
      <c r="I95" s="161"/>
      <c r="J95" s="56" t="s">
        <v>34</v>
      </c>
      <c r="K95" s="57">
        <v>47729</v>
      </c>
      <c r="L95" s="17">
        <v>160</v>
      </c>
      <c r="M95" s="17" t="s">
        <v>47</v>
      </c>
      <c r="N95" s="59" t="s">
        <v>669</v>
      </c>
      <c r="O95" s="52" t="s">
        <v>20</v>
      </c>
      <c r="P95" s="17">
        <v>536</v>
      </c>
      <c r="Q95" s="25">
        <f t="shared" si="15"/>
        <v>0</v>
      </c>
      <c r="R95" s="191">
        <f>536</f>
        <v>536</v>
      </c>
      <c r="S95" s="192">
        <f t="shared" si="16"/>
        <v>0</v>
      </c>
      <c r="T95" s="193">
        <v>2076</v>
      </c>
      <c r="U95" s="193" t="s">
        <v>1046</v>
      </c>
      <c r="V95" s="192">
        <f>533</f>
        <v>533</v>
      </c>
      <c r="W95" s="192">
        <f t="shared" si="17"/>
        <v>-3</v>
      </c>
      <c r="X95" s="193">
        <v>1972</v>
      </c>
      <c r="Y95" s="193" t="s">
        <v>1082</v>
      </c>
      <c r="Z95" s="194">
        <f t="shared" si="14"/>
        <v>5.597014925373134E-3</v>
      </c>
      <c r="AA95" s="162" t="s">
        <v>1053</v>
      </c>
      <c r="AB95" s="159"/>
      <c r="AC95" s="159"/>
      <c r="AD95" s="159"/>
      <c r="AE95" s="159"/>
      <c r="AF95" s="159"/>
    </row>
    <row r="96" spans="1:32" s="16" customFormat="1" ht="79.5" customHeight="1">
      <c r="A96" s="161"/>
      <c r="B96" s="20">
        <v>46235</v>
      </c>
      <c r="C96" s="18">
        <v>46248</v>
      </c>
      <c r="D96" s="53">
        <v>46249</v>
      </c>
      <c r="E96" s="53">
        <v>46259</v>
      </c>
      <c r="F96" s="56" t="s">
        <v>23</v>
      </c>
      <c r="G96" s="25" t="s">
        <v>105</v>
      </c>
      <c r="H96" s="52" t="s">
        <v>31</v>
      </c>
      <c r="I96" s="161"/>
      <c r="J96" s="56" t="s">
        <v>34</v>
      </c>
      <c r="K96" s="57">
        <v>47730</v>
      </c>
      <c r="L96" s="17">
        <v>160</v>
      </c>
      <c r="M96" s="17" t="s">
        <v>67</v>
      </c>
      <c r="N96" s="59" t="s">
        <v>101</v>
      </c>
      <c r="O96" s="52" t="s">
        <v>20</v>
      </c>
      <c r="P96" s="17">
        <v>874</v>
      </c>
      <c r="Q96" s="25">
        <f t="shared" si="15"/>
        <v>15</v>
      </c>
      <c r="R96" s="191">
        <f>859</f>
        <v>859</v>
      </c>
      <c r="S96" s="195">
        <f t="shared" si="16"/>
        <v>15</v>
      </c>
      <c r="T96" s="193">
        <v>956</v>
      </c>
      <c r="U96" s="193" t="s">
        <v>735</v>
      </c>
      <c r="V96" s="192">
        <f>833</f>
        <v>833</v>
      </c>
      <c r="W96" s="192">
        <f t="shared" si="17"/>
        <v>-41</v>
      </c>
      <c r="X96" s="193">
        <v>1777</v>
      </c>
      <c r="Y96" s="193" t="s">
        <v>899</v>
      </c>
      <c r="Z96" s="194">
        <f t="shared" si="14"/>
        <v>4.691075514874142E-2</v>
      </c>
      <c r="AA96" s="162" t="s">
        <v>948</v>
      </c>
      <c r="AB96" s="159"/>
      <c r="AC96" s="159"/>
      <c r="AD96" s="159"/>
      <c r="AE96" s="159"/>
      <c r="AF96" s="159"/>
    </row>
    <row r="97" spans="1:32" s="16" customFormat="1" ht="79.5" customHeight="1">
      <c r="A97" s="161"/>
      <c r="B97" s="20">
        <v>46235</v>
      </c>
      <c r="C97" s="18">
        <v>46248</v>
      </c>
      <c r="D97" s="53">
        <v>46249</v>
      </c>
      <c r="E97" s="53">
        <v>46259</v>
      </c>
      <c r="F97" s="56" t="s">
        <v>23</v>
      </c>
      <c r="G97" s="25" t="s">
        <v>62</v>
      </c>
      <c r="H97" s="52" t="s">
        <v>31</v>
      </c>
      <c r="I97" s="161"/>
      <c r="J97" s="56" t="s">
        <v>34</v>
      </c>
      <c r="K97" s="57">
        <v>47730</v>
      </c>
      <c r="L97" s="17">
        <v>160</v>
      </c>
      <c r="M97" s="17" t="s">
        <v>67</v>
      </c>
      <c r="N97" s="59" t="s">
        <v>739</v>
      </c>
      <c r="O97" s="52" t="s">
        <v>20</v>
      </c>
      <c r="P97" s="17">
        <v>758</v>
      </c>
      <c r="Q97" s="25">
        <f t="shared" si="15"/>
        <v>11</v>
      </c>
      <c r="R97" s="191">
        <f>747</f>
        <v>747</v>
      </c>
      <c r="S97" s="195">
        <f t="shared" si="16"/>
        <v>11</v>
      </c>
      <c r="T97" s="193">
        <v>990</v>
      </c>
      <c r="U97" s="193" t="s">
        <v>831</v>
      </c>
      <c r="V97" s="192">
        <f>677+45</f>
        <v>722</v>
      </c>
      <c r="W97" s="195">
        <f t="shared" si="17"/>
        <v>-36</v>
      </c>
      <c r="X97" s="193" t="s">
        <v>1013</v>
      </c>
      <c r="Y97" s="193" t="s">
        <v>1014</v>
      </c>
      <c r="Z97" s="194">
        <f t="shared" si="14"/>
        <v>4.7493403693931402E-2</v>
      </c>
      <c r="AA97" s="162" t="s">
        <v>939</v>
      </c>
      <c r="AB97" s="159"/>
      <c r="AC97" s="159"/>
      <c r="AD97" s="159"/>
      <c r="AE97" s="159"/>
      <c r="AF97" s="159"/>
    </row>
    <row r="98" spans="1:32" s="16" customFormat="1" ht="79.5" customHeight="1">
      <c r="A98" s="161"/>
      <c r="B98" s="20">
        <v>46235</v>
      </c>
      <c r="C98" s="18">
        <v>46248</v>
      </c>
      <c r="D98" s="53">
        <v>46249</v>
      </c>
      <c r="E98" s="53">
        <v>46259</v>
      </c>
      <c r="F98" s="56" t="s">
        <v>23</v>
      </c>
      <c r="G98" s="25" t="s">
        <v>105</v>
      </c>
      <c r="H98" s="52" t="s">
        <v>31</v>
      </c>
      <c r="I98" s="161"/>
      <c r="J98" s="56" t="s">
        <v>34</v>
      </c>
      <c r="K98" s="57">
        <v>47730</v>
      </c>
      <c r="L98" s="17">
        <v>160</v>
      </c>
      <c r="M98" s="17" t="s">
        <v>67</v>
      </c>
      <c r="N98" s="59" t="s">
        <v>669</v>
      </c>
      <c r="O98" s="52" t="s">
        <v>20</v>
      </c>
      <c r="P98" s="17">
        <v>555</v>
      </c>
      <c r="Q98" s="25">
        <f t="shared" si="15"/>
        <v>14</v>
      </c>
      <c r="R98" s="191">
        <f>541</f>
        <v>541</v>
      </c>
      <c r="S98" s="195">
        <f t="shared" si="16"/>
        <v>14</v>
      </c>
      <c r="T98" s="193">
        <v>1315</v>
      </c>
      <c r="U98" s="193" t="s">
        <v>1025</v>
      </c>
      <c r="V98" s="192">
        <f>527</f>
        <v>527</v>
      </c>
      <c r="W98" s="192">
        <f t="shared" si="17"/>
        <v>-28</v>
      </c>
      <c r="X98" s="193">
        <v>1924</v>
      </c>
      <c r="Y98" s="193" t="s">
        <v>1040</v>
      </c>
      <c r="Z98" s="194">
        <f t="shared" si="14"/>
        <v>5.0450450450450449E-2</v>
      </c>
      <c r="AA98" s="162" t="s">
        <v>1039</v>
      </c>
      <c r="AB98" s="159"/>
      <c r="AC98" s="159"/>
      <c r="AD98" s="159"/>
      <c r="AE98" s="159"/>
      <c r="AF98" s="159"/>
    </row>
    <row r="99" spans="1:32" s="16" customFormat="1" ht="79.5" customHeight="1">
      <c r="A99" s="161"/>
      <c r="B99" s="20">
        <v>46235</v>
      </c>
      <c r="C99" s="18">
        <v>46247</v>
      </c>
      <c r="D99" s="53">
        <v>46248</v>
      </c>
      <c r="E99" s="53">
        <v>46258</v>
      </c>
      <c r="F99" s="56" t="s">
        <v>23</v>
      </c>
      <c r="G99" s="25" t="s">
        <v>62</v>
      </c>
      <c r="H99" s="52" t="s">
        <v>31</v>
      </c>
      <c r="I99" s="161"/>
      <c r="J99" s="56" t="s">
        <v>34</v>
      </c>
      <c r="K99" s="57">
        <v>47731</v>
      </c>
      <c r="L99" s="17">
        <v>160</v>
      </c>
      <c r="M99" s="17" t="s">
        <v>67</v>
      </c>
      <c r="N99" s="59" t="s">
        <v>113</v>
      </c>
      <c r="O99" s="52" t="s">
        <v>20</v>
      </c>
      <c r="P99" s="17">
        <v>1242</v>
      </c>
      <c r="Q99" s="25">
        <f t="shared" si="15"/>
        <v>-2</v>
      </c>
      <c r="R99" s="191">
        <f>710+534</f>
        <v>1244</v>
      </c>
      <c r="S99" s="192">
        <f t="shared" si="16"/>
        <v>-2</v>
      </c>
      <c r="T99" s="193">
        <v>990</v>
      </c>
      <c r="U99" s="193" t="s">
        <v>831</v>
      </c>
      <c r="V99" s="192">
        <f>698+523</f>
        <v>1221</v>
      </c>
      <c r="W99" s="192">
        <f t="shared" si="17"/>
        <v>-21</v>
      </c>
      <c r="X99" s="193">
        <v>42143</v>
      </c>
      <c r="Y99" s="193" t="s">
        <v>888</v>
      </c>
      <c r="Z99" s="194">
        <f t="shared" si="14"/>
        <v>1.6908212560386472E-2</v>
      </c>
      <c r="AA99" s="162" t="s">
        <v>960</v>
      </c>
      <c r="AB99" s="159"/>
      <c r="AC99" s="159"/>
      <c r="AD99" s="159"/>
      <c r="AE99" s="159"/>
      <c r="AF99" s="159"/>
    </row>
    <row r="100" spans="1:32" s="16" customFormat="1" ht="79.5" customHeight="1">
      <c r="A100" s="161"/>
      <c r="B100" s="20">
        <v>46235</v>
      </c>
      <c r="C100" s="18">
        <v>46247</v>
      </c>
      <c r="D100" s="53">
        <v>46248</v>
      </c>
      <c r="E100" s="53">
        <v>46258</v>
      </c>
      <c r="F100" s="56" t="s">
        <v>23</v>
      </c>
      <c r="G100" s="25" t="s">
        <v>62</v>
      </c>
      <c r="H100" s="52" t="s">
        <v>31</v>
      </c>
      <c r="I100" s="161"/>
      <c r="J100" s="56" t="s">
        <v>34</v>
      </c>
      <c r="K100" s="57">
        <v>47731</v>
      </c>
      <c r="L100" s="17">
        <v>160</v>
      </c>
      <c r="M100" s="17" t="s">
        <v>67</v>
      </c>
      <c r="N100" s="59" t="s">
        <v>669</v>
      </c>
      <c r="O100" s="52" t="s">
        <v>20</v>
      </c>
      <c r="P100" s="17">
        <v>778</v>
      </c>
      <c r="Q100" s="25">
        <f t="shared" si="15"/>
        <v>-12</v>
      </c>
      <c r="R100" s="191">
        <f>790</f>
        <v>790</v>
      </c>
      <c r="S100" s="192">
        <f t="shared" si="16"/>
        <v>-12</v>
      </c>
      <c r="T100" s="193">
        <v>1238</v>
      </c>
      <c r="U100" s="193" t="s">
        <v>899</v>
      </c>
      <c r="V100" s="192">
        <f>784</f>
        <v>784</v>
      </c>
      <c r="W100" s="192">
        <f t="shared" si="17"/>
        <v>6</v>
      </c>
      <c r="X100" s="193">
        <v>42242</v>
      </c>
      <c r="Y100" s="193" t="s">
        <v>923</v>
      </c>
      <c r="Z100" s="194">
        <f t="shared" si="14"/>
        <v>-7.7120822622107968E-3</v>
      </c>
      <c r="AA100" s="162" t="s">
        <v>927</v>
      </c>
      <c r="AB100" s="159"/>
      <c r="AC100" s="159"/>
      <c r="AD100" s="159"/>
      <c r="AE100" s="159"/>
      <c r="AF100" s="159"/>
    </row>
    <row r="101" spans="1:32" s="16" customFormat="1" ht="93.75" customHeight="1">
      <c r="A101" s="161"/>
      <c r="B101" s="20">
        <v>46235</v>
      </c>
      <c r="C101" s="18">
        <v>46247</v>
      </c>
      <c r="D101" s="53">
        <v>46248</v>
      </c>
      <c r="E101" s="53">
        <v>46259</v>
      </c>
      <c r="F101" s="56" t="s">
        <v>50</v>
      </c>
      <c r="G101" s="25" t="s">
        <v>62</v>
      </c>
      <c r="H101" s="52" t="s">
        <v>31</v>
      </c>
      <c r="I101" s="161"/>
      <c r="J101" s="56" t="s">
        <v>34</v>
      </c>
      <c r="K101" s="57">
        <v>47732</v>
      </c>
      <c r="L101" s="17">
        <v>160</v>
      </c>
      <c r="M101" s="17" t="s">
        <v>21</v>
      </c>
      <c r="N101" s="59" t="s">
        <v>740</v>
      </c>
      <c r="O101" s="52" t="s">
        <v>20</v>
      </c>
      <c r="P101" s="17">
        <v>746</v>
      </c>
      <c r="Q101" s="25">
        <f t="shared" si="15"/>
        <v>10</v>
      </c>
      <c r="R101" s="191">
        <f>736</f>
        <v>736</v>
      </c>
      <c r="S101" s="195">
        <f t="shared" si="16"/>
        <v>10</v>
      </c>
      <c r="T101" s="193">
        <v>2066</v>
      </c>
      <c r="U101" s="193" t="s">
        <v>1025</v>
      </c>
      <c r="V101" s="192">
        <f>728</f>
        <v>728</v>
      </c>
      <c r="W101" s="192">
        <f t="shared" si="17"/>
        <v>-18</v>
      </c>
      <c r="X101" s="193">
        <v>42345</v>
      </c>
      <c r="Y101" s="193" t="s">
        <v>1040</v>
      </c>
      <c r="Z101" s="194">
        <f t="shared" si="14"/>
        <v>2.4128686327077747E-2</v>
      </c>
      <c r="AA101" s="162" t="s">
        <v>1027</v>
      </c>
      <c r="AB101" s="159"/>
      <c r="AC101" s="159"/>
      <c r="AD101" s="159"/>
      <c r="AE101" s="159"/>
      <c r="AF101" s="159"/>
    </row>
    <row r="102" spans="1:32" s="16" customFormat="1" ht="79.5" customHeight="1">
      <c r="A102" s="161"/>
      <c r="B102" s="20">
        <v>46235</v>
      </c>
      <c r="C102" s="18">
        <v>46247</v>
      </c>
      <c r="D102" s="53">
        <v>46248</v>
      </c>
      <c r="E102" s="53">
        <v>46259</v>
      </c>
      <c r="F102" s="56" t="s">
        <v>121</v>
      </c>
      <c r="G102" s="25" t="s">
        <v>62</v>
      </c>
      <c r="H102" s="52" t="s">
        <v>31</v>
      </c>
      <c r="I102" s="161"/>
      <c r="J102" s="56" t="s">
        <v>34</v>
      </c>
      <c r="K102" s="57">
        <v>47732</v>
      </c>
      <c r="L102" s="17">
        <v>160</v>
      </c>
      <c r="M102" s="17" t="s">
        <v>21</v>
      </c>
      <c r="N102" s="59" t="s">
        <v>131</v>
      </c>
      <c r="O102" s="52" t="s">
        <v>20</v>
      </c>
      <c r="P102" s="17">
        <v>746</v>
      </c>
      <c r="Q102" s="25">
        <f t="shared" si="15"/>
        <v>6</v>
      </c>
      <c r="R102" s="191">
        <f>740</f>
        <v>740</v>
      </c>
      <c r="S102" s="192">
        <f t="shared" si="16"/>
        <v>6</v>
      </c>
      <c r="T102" s="193">
        <v>1211</v>
      </c>
      <c r="U102" s="193" t="s">
        <v>824</v>
      </c>
      <c r="V102" s="192">
        <f>735</f>
        <v>735</v>
      </c>
      <c r="W102" s="192">
        <f t="shared" si="17"/>
        <v>-11</v>
      </c>
      <c r="X102" s="193">
        <v>42161</v>
      </c>
      <c r="Y102" s="193" t="s">
        <v>899</v>
      </c>
      <c r="Z102" s="194">
        <f t="shared" si="14"/>
        <v>1.4745308310991958E-2</v>
      </c>
      <c r="AA102" s="162" t="s">
        <v>982</v>
      </c>
      <c r="AB102" s="159"/>
      <c r="AC102" s="159"/>
      <c r="AD102" s="159"/>
      <c r="AE102" s="159"/>
      <c r="AF102" s="159"/>
    </row>
    <row r="103" spans="1:32" s="16" customFormat="1" ht="79.5" customHeight="1">
      <c r="A103" s="161"/>
      <c r="B103" s="20">
        <v>46235</v>
      </c>
      <c r="C103" s="18">
        <v>46247</v>
      </c>
      <c r="D103" s="53">
        <v>46248</v>
      </c>
      <c r="E103" s="53">
        <v>46259</v>
      </c>
      <c r="F103" s="56" t="s">
        <v>25</v>
      </c>
      <c r="G103" s="25" t="s">
        <v>62</v>
      </c>
      <c r="H103" s="52" t="s">
        <v>31</v>
      </c>
      <c r="I103" s="161"/>
      <c r="J103" s="56" t="s">
        <v>34</v>
      </c>
      <c r="K103" s="57">
        <v>47732</v>
      </c>
      <c r="L103" s="17">
        <v>160</v>
      </c>
      <c r="M103" s="17" t="s">
        <v>21</v>
      </c>
      <c r="N103" s="59" t="s">
        <v>174</v>
      </c>
      <c r="O103" s="52" t="s">
        <v>20</v>
      </c>
      <c r="P103" s="17">
        <v>582</v>
      </c>
      <c r="Q103" s="25">
        <f t="shared" si="15"/>
        <v>-9</v>
      </c>
      <c r="R103" s="191">
        <f>591</f>
        <v>591</v>
      </c>
      <c r="S103" s="192">
        <f t="shared" si="16"/>
        <v>-9</v>
      </c>
      <c r="T103" s="193">
        <v>1211</v>
      </c>
      <c r="U103" s="193" t="s">
        <v>824</v>
      </c>
      <c r="V103" s="192">
        <f>570</f>
        <v>570</v>
      </c>
      <c r="W103" s="192">
        <f t="shared" si="17"/>
        <v>-12</v>
      </c>
      <c r="X103" s="193">
        <v>42192</v>
      </c>
      <c r="Y103" s="193" t="s">
        <v>910</v>
      </c>
      <c r="Z103" s="194">
        <f t="shared" si="14"/>
        <v>2.0618556701030924E-2</v>
      </c>
      <c r="AA103" s="162" t="s">
        <v>1010</v>
      </c>
      <c r="AB103" s="159"/>
      <c r="AC103" s="159"/>
      <c r="AD103" s="159"/>
      <c r="AE103" s="159"/>
      <c r="AF103" s="159"/>
    </row>
    <row r="104" spans="1:32" s="16" customFormat="1" ht="79.5" customHeight="1">
      <c r="A104" s="161"/>
      <c r="B104" s="20">
        <v>46235</v>
      </c>
      <c r="C104" s="18">
        <v>46246</v>
      </c>
      <c r="D104" s="53">
        <v>46247</v>
      </c>
      <c r="E104" s="53">
        <v>46258</v>
      </c>
      <c r="F104" s="56" t="s">
        <v>50</v>
      </c>
      <c r="G104" s="25" t="s">
        <v>62</v>
      </c>
      <c r="H104" s="52" t="s">
        <v>31</v>
      </c>
      <c r="I104" s="161"/>
      <c r="J104" s="56" t="s">
        <v>34</v>
      </c>
      <c r="K104" s="57">
        <v>47733</v>
      </c>
      <c r="L104" s="17">
        <v>160</v>
      </c>
      <c r="M104" s="17" t="s">
        <v>67</v>
      </c>
      <c r="N104" s="59" t="s">
        <v>124</v>
      </c>
      <c r="O104" s="52" t="s">
        <v>20</v>
      </c>
      <c r="P104" s="17">
        <v>444</v>
      </c>
      <c r="Q104" s="25">
        <f t="shared" si="15"/>
        <v>5</v>
      </c>
      <c r="R104" s="191">
        <f>439</f>
        <v>439</v>
      </c>
      <c r="S104" s="192">
        <f t="shared" si="16"/>
        <v>5</v>
      </c>
      <c r="T104" s="193">
        <v>2030</v>
      </c>
      <c r="U104" s="193" t="s">
        <v>1046</v>
      </c>
      <c r="V104" s="192">
        <f>425</f>
        <v>425</v>
      </c>
      <c r="W104" s="192">
        <f t="shared" si="17"/>
        <v>-19</v>
      </c>
      <c r="X104" s="193">
        <v>42434</v>
      </c>
      <c r="Y104" s="193" t="s">
        <v>1106</v>
      </c>
      <c r="Z104" s="194">
        <f t="shared" si="14"/>
        <v>4.2792792792792793E-2</v>
      </c>
      <c r="AA104" s="162" t="s">
        <v>1090</v>
      </c>
      <c r="AB104" s="159"/>
      <c r="AC104" s="159"/>
      <c r="AD104" s="159"/>
      <c r="AE104" s="159"/>
      <c r="AF104" s="159"/>
    </row>
    <row r="105" spans="1:32" s="16" customFormat="1" ht="79.5" customHeight="1">
      <c r="A105" s="161"/>
      <c r="B105" s="20">
        <v>46235</v>
      </c>
      <c r="C105" s="18">
        <v>46246</v>
      </c>
      <c r="D105" s="53">
        <v>46247</v>
      </c>
      <c r="E105" s="53">
        <v>46258</v>
      </c>
      <c r="F105" s="56" t="s">
        <v>121</v>
      </c>
      <c r="G105" s="25" t="s">
        <v>62</v>
      </c>
      <c r="H105" s="52" t="s">
        <v>31</v>
      </c>
      <c r="I105" s="161"/>
      <c r="J105" s="56" t="s">
        <v>34</v>
      </c>
      <c r="K105" s="57">
        <v>47733</v>
      </c>
      <c r="L105" s="17">
        <v>160</v>
      </c>
      <c r="M105" s="17" t="s">
        <v>67</v>
      </c>
      <c r="N105" s="59" t="s">
        <v>131</v>
      </c>
      <c r="O105" s="52" t="s">
        <v>20</v>
      </c>
      <c r="P105" s="17">
        <v>444</v>
      </c>
      <c r="Q105" s="25">
        <f t="shared" si="11"/>
        <v>-2</v>
      </c>
      <c r="R105" s="191">
        <f>446</f>
        <v>446</v>
      </c>
      <c r="S105" s="192">
        <f t="shared" si="12"/>
        <v>-2</v>
      </c>
      <c r="T105" s="193">
        <v>1246</v>
      </c>
      <c r="U105" s="193" t="s">
        <v>915</v>
      </c>
      <c r="V105" s="192">
        <f>440</f>
        <v>440</v>
      </c>
      <c r="W105" s="192">
        <f t="shared" si="13"/>
        <v>-4</v>
      </c>
      <c r="X105" s="193">
        <v>42267</v>
      </c>
      <c r="Y105" s="193" t="s">
        <v>1000</v>
      </c>
      <c r="Z105" s="194">
        <f t="shared" si="14"/>
        <v>9.0090090090090089E-3</v>
      </c>
      <c r="AA105" s="162" t="s">
        <v>1001</v>
      </c>
      <c r="AB105" s="159"/>
      <c r="AC105" s="159"/>
      <c r="AD105" s="159"/>
      <c r="AE105" s="159"/>
      <c r="AF105" s="159"/>
    </row>
    <row r="106" spans="1:32" s="16" customFormat="1" ht="79.5" customHeight="1">
      <c r="A106" s="161"/>
      <c r="B106" s="20">
        <v>46235</v>
      </c>
      <c r="C106" s="18">
        <v>46246</v>
      </c>
      <c r="D106" s="53">
        <v>46247</v>
      </c>
      <c r="E106" s="53">
        <v>46258</v>
      </c>
      <c r="F106" s="56" t="s">
        <v>23</v>
      </c>
      <c r="G106" s="25" t="s">
        <v>105</v>
      </c>
      <c r="H106" s="52" t="s">
        <v>31</v>
      </c>
      <c r="I106" s="161"/>
      <c r="J106" s="56" t="s">
        <v>34</v>
      </c>
      <c r="K106" s="57">
        <v>47735</v>
      </c>
      <c r="L106" s="17">
        <v>160</v>
      </c>
      <c r="M106" s="17" t="s">
        <v>67</v>
      </c>
      <c r="N106" s="59" t="s">
        <v>669</v>
      </c>
      <c r="O106" s="52" t="s">
        <v>20</v>
      </c>
      <c r="P106" s="17">
        <v>1562</v>
      </c>
      <c r="Q106" s="25">
        <f t="shared" si="11"/>
        <v>-46</v>
      </c>
      <c r="R106" s="191">
        <f>656+661+190+37+64</f>
        <v>1608</v>
      </c>
      <c r="S106" s="195">
        <f t="shared" si="12"/>
        <v>-46</v>
      </c>
      <c r="T106" s="193" t="s">
        <v>1307</v>
      </c>
      <c r="U106" s="193" t="s">
        <v>1308</v>
      </c>
      <c r="V106" s="192">
        <f>615+187+635+38-824+625+178+31-781+734+62</f>
        <v>1500</v>
      </c>
      <c r="W106" s="195">
        <f t="shared" si="13"/>
        <v>-62</v>
      </c>
      <c r="X106" s="193" t="s">
        <v>1365</v>
      </c>
      <c r="Y106" s="193" t="s">
        <v>1366</v>
      </c>
      <c r="Z106" s="226">
        <f t="shared" si="14"/>
        <v>3.9692701664532655E-2</v>
      </c>
      <c r="AA106" s="162" t="s">
        <v>1309</v>
      </c>
      <c r="AB106" s="159"/>
      <c r="AC106" s="159"/>
      <c r="AD106" s="159"/>
      <c r="AE106" s="159"/>
      <c r="AF106" s="159"/>
    </row>
    <row r="107" spans="1:32" s="16" customFormat="1" ht="79.5" customHeight="1">
      <c r="A107" s="161"/>
      <c r="B107" s="20">
        <v>46235</v>
      </c>
      <c r="C107" s="18">
        <v>46246</v>
      </c>
      <c r="D107" s="53">
        <v>46247</v>
      </c>
      <c r="E107" s="53">
        <v>46258</v>
      </c>
      <c r="F107" s="56" t="s">
        <v>23</v>
      </c>
      <c r="G107" s="25" t="s">
        <v>62</v>
      </c>
      <c r="H107" s="52" t="s">
        <v>31</v>
      </c>
      <c r="I107" s="161"/>
      <c r="J107" s="56" t="s">
        <v>34</v>
      </c>
      <c r="K107" s="57">
        <v>47735</v>
      </c>
      <c r="L107" s="17">
        <v>160</v>
      </c>
      <c r="M107" s="17" t="s">
        <v>67</v>
      </c>
      <c r="N107" s="59" t="s">
        <v>113</v>
      </c>
      <c r="O107" s="52" t="s">
        <v>20</v>
      </c>
      <c r="P107" s="17">
        <v>1368</v>
      </c>
      <c r="Q107" s="25">
        <f t="shared" si="11"/>
        <v>-8</v>
      </c>
      <c r="R107" s="191">
        <f>630+500+141+105</f>
        <v>1376</v>
      </c>
      <c r="S107" s="192">
        <f t="shared" si="12"/>
        <v>-8</v>
      </c>
      <c r="T107" s="193" t="s">
        <v>895</v>
      </c>
      <c r="U107" s="193" t="s">
        <v>896</v>
      </c>
      <c r="V107" s="192">
        <f>643+509+140+102</f>
        <v>1394</v>
      </c>
      <c r="W107" s="192">
        <f t="shared" si="13"/>
        <v>26</v>
      </c>
      <c r="X107" s="193" t="s">
        <v>1062</v>
      </c>
      <c r="Y107" s="193" t="s">
        <v>1063</v>
      </c>
      <c r="Z107" s="194">
        <f t="shared" si="14"/>
        <v>-1.9005847953216373E-2</v>
      </c>
      <c r="AA107" s="162" t="s">
        <v>961</v>
      </c>
      <c r="AB107" s="159"/>
      <c r="AC107" s="159"/>
      <c r="AD107" s="159"/>
      <c r="AE107" s="159"/>
      <c r="AF107" s="159"/>
    </row>
    <row r="108" spans="1:32" s="16" customFormat="1" ht="79.5" customHeight="1">
      <c r="A108" s="161"/>
      <c r="B108" s="20">
        <v>46235</v>
      </c>
      <c r="C108" s="18">
        <v>46246</v>
      </c>
      <c r="D108" s="53">
        <v>46247</v>
      </c>
      <c r="E108" s="53">
        <v>46258</v>
      </c>
      <c r="F108" s="56" t="s">
        <v>121</v>
      </c>
      <c r="G108" s="25" t="s">
        <v>62</v>
      </c>
      <c r="H108" s="52" t="s">
        <v>31</v>
      </c>
      <c r="I108" s="161"/>
      <c r="J108" s="56" t="s">
        <v>34</v>
      </c>
      <c r="K108" s="57">
        <v>47735</v>
      </c>
      <c r="L108" s="17">
        <v>160</v>
      </c>
      <c r="M108" s="17" t="s">
        <v>67</v>
      </c>
      <c r="N108" s="59" t="s">
        <v>131</v>
      </c>
      <c r="O108" s="52" t="s">
        <v>20</v>
      </c>
      <c r="P108" s="17">
        <v>1125</v>
      </c>
      <c r="Q108" s="25">
        <f t="shared" si="11"/>
        <v>-17</v>
      </c>
      <c r="R108" s="191">
        <f>867+217+58</f>
        <v>1142</v>
      </c>
      <c r="S108" s="195">
        <f t="shared" si="12"/>
        <v>-17</v>
      </c>
      <c r="T108" s="193" t="s">
        <v>1305</v>
      </c>
      <c r="U108" s="193" t="s">
        <v>1306</v>
      </c>
      <c r="V108" s="192">
        <f>979+19+27+56</f>
        <v>1081</v>
      </c>
      <c r="W108" s="195">
        <f t="shared" si="13"/>
        <v>-44</v>
      </c>
      <c r="X108" s="193" t="s">
        <v>1375</v>
      </c>
      <c r="Y108" s="193" t="s">
        <v>1376</v>
      </c>
      <c r="Z108" s="226">
        <f t="shared" si="14"/>
        <v>3.911111111111111E-2</v>
      </c>
      <c r="AA108" s="162" t="s">
        <v>1377</v>
      </c>
      <c r="AB108" s="159"/>
      <c r="AC108" s="159"/>
      <c r="AD108" s="159"/>
      <c r="AE108" s="159"/>
      <c r="AF108" s="159"/>
    </row>
    <row r="109" spans="1:32" s="16" customFormat="1" ht="79.5" customHeight="1">
      <c r="A109" s="161"/>
      <c r="B109" s="20">
        <v>46235</v>
      </c>
      <c r="C109" s="18">
        <v>46246</v>
      </c>
      <c r="D109" s="53">
        <v>46247</v>
      </c>
      <c r="E109" s="53">
        <v>46258</v>
      </c>
      <c r="F109" s="56" t="s">
        <v>50</v>
      </c>
      <c r="G109" s="25" t="s">
        <v>62</v>
      </c>
      <c r="H109" s="52" t="s">
        <v>31</v>
      </c>
      <c r="I109" s="161"/>
      <c r="J109" s="56" t="s">
        <v>34</v>
      </c>
      <c r="K109" s="57">
        <v>47736</v>
      </c>
      <c r="L109" s="17">
        <v>160</v>
      </c>
      <c r="M109" s="17" t="s">
        <v>67</v>
      </c>
      <c r="N109" s="59" t="s">
        <v>124</v>
      </c>
      <c r="O109" s="52" t="s">
        <v>20</v>
      </c>
      <c r="P109" s="17">
        <v>1665</v>
      </c>
      <c r="Q109" s="25">
        <f t="shared" si="11"/>
        <v>50</v>
      </c>
      <c r="R109" s="191">
        <f>1050+522+43</f>
        <v>1615</v>
      </c>
      <c r="S109" s="195">
        <f t="shared" si="12"/>
        <v>50</v>
      </c>
      <c r="T109" s="193" t="s">
        <v>1051</v>
      </c>
      <c r="U109" s="193" t="s">
        <v>1052</v>
      </c>
      <c r="V109" s="192">
        <f>1026+512+45+34</f>
        <v>1617</v>
      </c>
      <c r="W109" s="195">
        <f t="shared" si="13"/>
        <v>-48</v>
      </c>
      <c r="X109" s="193" t="s">
        <v>1133</v>
      </c>
      <c r="Y109" s="193" t="s">
        <v>1134</v>
      </c>
      <c r="Z109" s="194">
        <f t="shared" si="14"/>
        <v>2.8828828828828826E-2</v>
      </c>
      <c r="AA109" s="162" t="s">
        <v>1094</v>
      </c>
      <c r="AB109" s="159"/>
      <c r="AC109" s="159"/>
      <c r="AD109" s="159"/>
      <c r="AE109" s="159"/>
      <c r="AF109" s="159"/>
    </row>
    <row r="110" spans="1:32" s="16" customFormat="1" ht="79.5" customHeight="1">
      <c r="A110" s="161"/>
      <c r="B110" s="20">
        <v>46235</v>
      </c>
      <c r="C110" s="18">
        <v>46246</v>
      </c>
      <c r="D110" s="53">
        <v>46247</v>
      </c>
      <c r="E110" s="53">
        <v>46258</v>
      </c>
      <c r="F110" s="56" t="s">
        <v>25</v>
      </c>
      <c r="G110" s="25" t="s">
        <v>105</v>
      </c>
      <c r="H110" s="52" t="s">
        <v>31</v>
      </c>
      <c r="I110" s="161"/>
      <c r="J110" s="56" t="s">
        <v>34</v>
      </c>
      <c r="K110" s="57">
        <v>47736</v>
      </c>
      <c r="L110" s="17">
        <v>160</v>
      </c>
      <c r="M110" s="17" t="s">
        <v>67</v>
      </c>
      <c r="N110" s="56" t="s">
        <v>741</v>
      </c>
      <c r="O110" s="52" t="s">
        <v>20</v>
      </c>
      <c r="P110" s="17">
        <v>1458</v>
      </c>
      <c r="Q110" s="25">
        <f t="shared" si="11"/>
        <v>25</v>
      </c>
      <c r="R110" s="191">
        <f>718+715</f>
        <v>1433</v>
      </c>
      <c r="S110" s="195">
        <f t="shared" si="12"/>
        <v>25</v>
      </c>
      <c r="T110" s="193" t="s">
        <v>897</v>
      </c>
      <c r="U110" s="193" t="s">
        <v>898</v>
      </c>
      <c r="V110" s="192">
        <f>697+690</f>
        <v>1387</v>
      </c>
      <c r="W110" s="195">
        <f t="shared" si="13"/>
        <v>-71</v>
      </c>
      <c r="X110" s="193">
        <v>1784</v>
      </c>
      <c r="Y110" s="193" t="s">
        <v>917</v>
      </c>
      <c r="Z110" s="226">
        <f t="shared" si="14"/>
        <v>4.8696844993141288E-2</v>
      </c>
      <c r="AA110" s="162" t="s">
        <v>1028</v>
      </c>
      <c r="AB110" s="159"/>
      <c r="AC110" s="159"/>
      <c r="AD110" s="159"/>
      <c r="AE110" s="159"/>
      <c r="AF110" s="159"/>
    </row>
    <row r="111" spans="1:32" s="16" customFormat="1" ht="79.5" customHeight="1">
      <c r="A111" s="161"/>
      <c r="B111" s="20">
        <v>46235</v>
      </c>
      <c r="C111" s="18">
        <v>46246</v>
      </c>
      <c r="D111" s="53">
        <v>46247</v>
      </c>
      <c r="E111" s="53">
        <v>46258</v>
      </c>
      <c r="F111" s="56" t="s">
        <v>23</v>
      </c>
      <c r="G111" s="25" t="s">
        <v>62</v>
      </c>
      <c r="H111" s="52" t="s">
        <v>31</v>
      </c>
      <c r="I111" s="161"/>
      <c r="J111" s="56" t="s">
        <v>34</v>
      </c>
      <c r="K111" s="57">
        <v>47736</v>
      </c>
      <c r="L111" s="17">
        <v>160</v>
      </c>
      <c r="M111" s="17" t="s">
        <v>67</v>
      </c>
      <c r="N111" s="59" t="s">
        <v>669</v>
      </c>
      <c r="O111" s="52" t="s">
        <v>20</v>
      </c>
      <c r="P111" s="17">
        <v>1095</v>
      </c>
      <c r="Q111" s="25">
        <f t="shared" si="11"/>
        <v>-5</v>
      </c>
      <c r="R111" s="191">
        <f>367+733</f>
        <v>1100</v>
      </c>
      <c r="S111" s="192">
        <f t="shared" si="12"/>
        <v>-5</v>
      </c>
      <c r="T111" s="193">
        <v>999</v>
      </c>
      <c r="U111" s="193" t="s">
        <v>888</v>
      </c>
      <c r="V111" s="192">
        <f>720+348</f>
        <v>1068</v>
      </c>
      <c r="W111" s="192">
        <f t="shared" si="13"/>
        <v>-27</v>
      </c>
      <c r="X111" s="193">
        <v>42242</v>
      </c>
      <c r="Y111" s="193" t="s">
        <v>923</v>
      </c>
      <c r="Z111" s="194">
        <f t="shared" si="14"/>
        <v>2.4657534246575342E-2</v>
      </c>
      <c r="AA111" s="162" t="s">
        <v>929</v>
      </c>
      <c r="AB111" s="159"/>
      <c r="AC111" s="159"/>
      <c r="AD111" s="159"/>
      <c r="AE111" s="159"/>
      <c r="AF111" s="159"/>
    </row>
    <row r="112" spans="1:32" s="16" customFormat="1" ht="79.5" customHeight="1">
      <c r="A112" s="161"/>
      <c r="B112" s="20">
        <v>46235</v>
      </c>
      <c r="C112" s="18">
        <v>46248</v>
      </c>
      <c r="D112" s="53">
        <v>46248</v>
      </c>
      <c r="E112" s="53">
        <v>46259</v>
      </c>
      <c r="F112" s="56" t="s">
        <v>23</v>
      </c>
      <c r="G112" s="25" t="s">
        <v>62</v>
      </c>
      <c r="H112" s="52" t="s">
        <v>31</v>
      </c>
      <c r="I112" s="161"/>
      <c r="J112" s="56" t="s">
        <v>34</v>
      </c>
      <c r="K112" s="57">
        <v>47737</v>
      </c>
      <c r="L112" s="17">
        <v>160</v>
      </c>
      <c r="M112" s="17" t="s">
        <v>67</v>
      </c>
      <c r="N112" s="59" t="s">
        <v>113</v>
      </c>
      <c r="O112" s="52" t="s">
        <v>20</v>
      </c>
      <c r="P112" s="17">
        <v>1578</v>
      </c>
      <c r="Q112" s="25">
        <f t="shared" si="11"/>
        <v>-10</v>
      </c>
      <c r="R112" s="191">
        <f>789+799</f>
        <v>1588</v>
      </c>
      <c r="S112" s="192">
        <f t="shared" si="12"/>
        <v>-10</v>
      </c>
      <c r="T112" s="193">
        <v>1211</v>
      </c>
      <c r="U112" s="193" t="s">
        <v>824</v>
      </c>
      <c r="V112" s="192">
        <f>790+773</f>
        <v>1563</v>
      </c>
      <c r="W112" s="192">
        <f t="shared" si="13"/>
        <v>-15</v>
      </c>
      <c r="X112" s="193">
        <v>42143</v>
      </c>
      <c r="Y112" s="193" t="s">
        <v>888</v>
      </c>
      <c r="Z112" s="194">
        <f t="shared" si="14"/>
        <v>9.5057034220532317E-3</v>
      </c>
      <c r="AA112" s="162" t="s">
        <v>943</v>
      </c>
      <c r="AB112" s="159"/>
      <c r="AC112" s="159"/>
      <c r="AD112" s="159"/>
      <c r="AE112" s="159"/>
      <c r="AF112" s="159"/>
    </row>
    <row r="113" spans="1:32" s="16" customFormat="1" ht="79.5" customHeight="1">
      <c r="A113" s="161"/>
      <c r="B113" s="20">
        <v>46235</v>
      </c>
      <c r="C113" s="18">
        <v>46248</v>
      </c>
      <c r="D113" s="53">
        <v>46248</v>
      </c>
      <c r="E113" s="53">
        <v>46259</v>
      </c>
      <c r="F113" s="56" t="s">
        <v>121</v>
      </c>
      <c r="G113" s="25" t="s">
        <v>62</v>
      </c>
      <c r="H113" s="52" t="s">
        <v>31</v>
      </c>
      <c r="I113" s="161"/>
      <c r="J113" s="56" t="s">
        <v>34</v>
      </c>
      <c r="K113" s="57">
        <v>47737</v>
      </c>
      <c r="L113" s="17">
        <v>160</v>
      </c>
      <c r="M113" s="17" t="s">
        <v>67</v>
      </c>
      <c r="N113" s="59" t="s">
        <v>131</v>
      </c>
      <c r="O113" s="52" t="s">
        <v>20</v>
      </c>
      <c r="P113" s="17">
        <v>1524</v>
      </c>
      <c r="Q113" s="25">
        <f t="shared" si="11"/>
        <v>-57</v>
      </c>
      <c r="R113" s="191">
        <f>153+559+776+93</f>
        <v>1581</v>
      </c>
      <c r="S113" s="195">
        <f t="shared" si="12"/>
        <v>-57</v>
      </c>
      <c r="T113" s="193" t="s">
        <v>1403</v>
      </c>
      <c r="U113" s="193" t="s">
        <v>1404</v>
      </c>
      <c r="V113" s="192">
        <f>151+548+738+27</f>
        <v>1464</v>
      </c>
      <c r="W113" s="195">
        <f t="shared" si="13"/>
        <v>-60</v>
      </c>
      <c r="X113" s="193" t="s">
        <v>1188</v>
      </c>
      <c r="Y113" s="193" t="s">
        <v>1189</v>
      </c>
      <c r="Z113" s="194">
        <f t="shared" si="14"/>
        <v>3.937007874015748E-2</v>
      </c>
      <c r="AA113" s="162" t="s">
        <v>1405</v>
      </c>
      <c r="AB113" s="159"/>
      <c r="AC113" s="159"/>
      <c r="AD113" s="159"/>
      <c r="AE113" s="159"/>
      <c r="AF113" s="159"/>
    </row>
    <row r="114" spans="1:32" s="16" customFormat="1" ht="79.5" customHeight="1">
      <c r="A114" s="161"/>
      <c r="B114" s="20">
        <v>46235</v>
      </c>
      <c r="C114" s="18">
        <v>46248</v>
      </c>
      <c r="D114" s="53">
        <v>46248</v>
      </c>
      <c r="E114" s="53">
        <v>46259</v>
      </c>
      <c r="F114" s="56" t="s">
        <v>23</v>
      </c>
      <c r="G114" s="25" t="s">
        <v>105</v>
      </c>
      <c r="H114" s="52" t="s">
        <v>31</v>
      </c>
      <c r="I114" s="161"/>
      <c r="J114" s="56" t="s">
        <v>34</v>
      </c>
      <c r="K114" s="57">
        <v>47737</v>
      </c>
      <c r="L114" s="17">
        <v>160</v>
      </c>
      <c r="M114" s="17" t="s">
        <v>67</v>
      </c>
      <c r="N114" s="59" t="s">
        <v>669</v>
      </c>
      <c r="O114" s="52" t="s">
        <v>20</v>
      </c>
      <c r="P114" s="17">
        <v>874</v>
      </c>
      <c r="Q114" s="25">
        <f t="shared" si="11"/>
        <v>-2</v>
      </c>
      <c r="R114" s="191">
        <f>105+771</f>
        <v>876</v>
      </c>
      <c r="S114" s="192">
        <f t="shared" si="12"/>
        <v>-2</v>
      </c>
      <c r="T114" s="193">
        <v>997</v>
      </c>
      <c r="U114" s="193" t="s">
        <v>847</v>
      </c>
      <c r="V114" s="192">
        <f>758+104</f>
        <v>862</v>
      </c>
      <c r="W114" s="192">
        <f t="shared" si="13"/>
        <v>-12</v>
      </c>
      <c r="X114" s="193" t="s">
        <v>1022</v>
      </c>
      <c r="Y114" s="193" t="s">
        <v>1023</v>
      </c>
      <c r="Z114" s="194">
        <f t="shared" si="14"/>
        <v>1.3729977116704806E-2</v>
      </c>
      <c r="AA114" s="162" t="s">
        <v>936</v>
      </c>
      <c r="AB114" s="159"/>
      <c r="AC114" s="159"/>
      <c r="AD114" s="159"/>
      <c r="AE114" s="159"/>
      <c r="AF114" s="159"/>
    </row>
    <row r="115" spans="1:32" s="16" customFormat="1" ht="79.5" customHeight="1">
      <c r="A115" s="161"/>
      <c r="B115" s="20">
        <v>46235</v>
      </c>
      <c r="C115" s="18">
        <v>46246</v>
      </c>
      <c r="D115" s="53">
        <v>46247</v>
      </c>
      <c r="E115" s="20">
        <v>46256</v>
      </c>
      <c r="F115" s="56" t="s">
        <v>25</v>
      </c>
      <c r="G115" s="25" t="s">
        <v>105</v>
      </c>
      <c r="H115" s="56" t="s">
        <v>138</v>
      </c>
      <c r="I115" s="161"/>
      <c r="J115" s="56" t="s">
        <v>34</v>
      </c>
      <c r="K115" s="57">
        <v>47938</v>
      </c>
      <c r="L115" s="17">
        <v>180</v>
      </c>
      <c r="M115" s="17" t="s">
        <v>42</v>
      </c>
      <c r="N115" s="59" t="s">
        <v>742</v>
      </c>
      <c r="O115" s="52" t="s">
        <v>670</v>
      </c>
      <c r="P115" s="17">
        <f>440+10</f>
        <v>450</v>
      </c>
      <c r="Q115" s="25">
        <f t="shared" si="11"/>
        <v>-6</v>
      </c>
      <c r="R115" s="191">
        <f>456</f>
        <v>456</v>
      </c>
      <c r="S115" s="192">
        <f t="shared" si="12"/>
        <v>-6</v>
      </c>
      <c r="T115" s="193">
        <v>2036</v>
      </c>
      <c r="U115" s="193" t="s">
        <v>1040</v>
      </c>
      <c r="V115" s="192">
        <f>445</f>
        <v>445</v>
      </c>
      <c r="W115" s="192">
        <f t="shared" si="13"/>
        <v>-5</v>
      </c>
      <c r="X115" s="193">
        <v>1942</v>
      </c>
      <c r="Y115" s="193" t="s">
        <v>1102</v>
      </c>
      <c r="Z115" s="194">
        <f t="shared" si="14"/>
        <v>1.1111111111111112E-2</v>
      </c>
      <c r="AA115" s="162" t="s">
        <v>1085</v>
      </c>
      <c r="AB115" s="159"/>
      <c r="AC115" s="159"/>
      <c r="AD115" s="159"/>
      <c r="AE115" s="159"/>
      <c r="AF115" s="159"/>
    </row>
    <row r="116" spans="1:32" s="16" customFormat="1" ht="79.5" customHeight="1">
      <c r="A116" s="161"/>
      <c r="B116" s="20">
        <v>46235</v>
      </c>
      <c r="C116" s="18">
        <v>46246</v>
      </c>
      <c r="D116" s="53">
        <v>46247</v>
      </c>
      <c r="E116" s="53">
        <v>46256</v>
      </c>
      <c r="F116" s="56" t="s">
        <v>23</v>
      </c>
      <c r="G116" s="25" t="s">
        <v>105</v>
      </c>
      <c r="H116" s="52" t="s">
        <v>138</v>
      </c>
      <c r="I116" s="161"/>
      <c r="J116" s="56" t="s">
        <v>34</v>
      </c>
      <c r="K116" s="57">
        <v>47879</v>
      </c>
      <c r="L116" s="17">
        <v>180</v>
      </c>
      <c r="M116" s="17" t="s">
        <v>42</v>
      </c>
      <c r="N116" s="59" t="s">
        <v>106</v>
      </c>
      <c r="O116" s="52" t="s">
        <v>670</v>
      </c>
      <c r="P116" s="17">
        <f>440+10</f>
        <v>450</v>
      </c>
      <c r="Q116" s="25">
        <f t="shared" si="11"/>
        <v>-5</v>
      </c>
      <c r="R116" s="191">
        <f>455</f>
        <v>455</v>
      </c>
      <c r="S116" s="192">
        <f t="shared" si="12"/>
        <v>-5</v>
      </c>
      <c r="T116" s="193">
        <v>1327</v>
      </c>
      <c r="U116" s="193" t="s">
        <v>1055</v>
      </c>
      <c r="V116" s="192">
        <f>20+431</f>
        <v>451</v>
      </c>
      <c r="W116" s="192">
        <f t="shared" si="13"/>
        <v>1</v>
      </c>
      <c r="X116" s="193" t="s">
        <v>1297</v>
      </c>
      <c r="Y116" s="193" t="s">
        <v>1298</v>
      </c>
      <c r="Z116" s="194">
        <f t="shared" si="14"/>
        <v>-2.2222222222222222E-3</v>
      </c>
      <c r="AA116" s="162" t="s">
        <v>1289</v>
      </c>
      <c r="AB116" s="159"/>
      <c r="AC116" s="159"/>
      <c r="AD116" s="159"/>
      <c r="AE116" s="159"/>
      <c r="AF116" s="159"/>
    </row>
    <row r="117" spans="1:32" s="16" customFormat="1" ht="79.5" customHeight="1">
      <c r="A117" s="161"/>
      <c r="B117" s="20">
        <v>46244</v>
      </c>
      <c r="C117" s="18">
        <v>46251</v>
      </c>
      <c r="D117" s="53">
        <v>46254</v>
      </c>
      <c r="E117" s="53">
        <v>46259</v>
      </c>
      <c r="F117" s="55" t="s">
        <v>38</v>
      </c>
      <c r="G117" s="25" t="s">
        <v>62</v>
      </c>
      <c r="H117" s="17" t="s">
        <v>39</v>
      </c>
      <c r="I117" s="161"/>
      <c r="J117" s="52" t="s">
        <v>18</v>
      </c>
      <c r="K117" s="140" t="s">
        <v>812</v>
      </c>
      <c r="L117" s="17">
        <v>180</v>
      </c>
      <c r="M117" s="17" t="s">
        <v>35</v>
      </c>
      <c r="N117" s="59" t="s">
        <v>57</v>
      </c>
      <c r="O117" s="52" t="s">
        <v>52</v>
      </c>
      <c r="P117" s="17">
        <v>147</v>
      </c>
      <c r="Q117" s="25">
        <f t="shared" si="11"/>
        <v>-6</v>
      </c>
      <c r="R117" s="191">
        <f>153</f>
        <v>153</v>
      </c>
      <c r="S117" s="192">
        <f t="shared" si="12"/>
        <v>-6</v>
      </c>
      <c r="T117" s="193">
        <v>2061</v>
      </c>
      <c r="U117" s="193" t="s">
        <v>999</v>
      </c>
      <c r="V117" s="192">
        <f>152</f>
        <v>152</v>
      </c>
      <c r="W117" s="192">
        <f t="shared" si="13"/>
        <v>5</v>
      </c>
      <c r="X117" s="193">
        <v>42350</v>
      </c>
      <c r="Y117" s="193" t="s">
        <v>1046</v>
      </c>
      <c r="Z117" s="194">
        <f t="shared" si="14"/>
        <v>-3.4013605442176867E-2</v>
      </c>
      <c r="AA117" s="162" t="s">
        <v>1026</v>
      </c>
      <c r="AB117" s="159"/>
      <c r="AC117" s="159"/>
      <c r="AD117" s="159"/>
      <c r="AE117" s="159"/>
      <c r="AF117" s="159"/>
    </row>
    <row r="118" spans="1:32" s="16" customFormat="1" ht="79.5" customHeight="1">
      <c r="A118" s="161"/>
      <c r="B118" s="20">
        <v>46245</v>
      </c>
      <c r="C118" s="18">
        <v>46254</v>
      </c>
      <c r="D118" s="53">
        <v>46255</v>
      </c>
      <c r="E118" s="53">
        <v>46262</v>
      </c>
      <c r="F118" s="55" t="s">
        <v>23</v>
      </c>
      <c r="G118" s="25" t="s">
        <v>99</v>
      </c>
      <c r="H118" s="17" t="s">
        <v>30</v>
      </c>
      <c r="I118" s="161"/>
      <c r="J118" s="52" t="s">
        <v>33</v>
      </c>
      <c r="K118" s="223" t="s">
        <v>813</v>
      </c>
      <c r="L118" s="17">
        <v>210</v>
      </c>
      <c r="M118" s="17" t="s">
        <v>42</v>
      </c>
      <c r="N118" s="59" t="s">
        <v>101</v>
      </c>
      <c r="O118" s="52" t="s">
        <v>36</v>
      </c>
      <c r="P118" s="17">
        <v>740</v>
      </c>
      <c r="Q118" s="25">
        <f t="shared" si="11"/>
        <v>35</v>
      </c>
      <c r="R118" s="191">
        <f>705</f>
        <v>705</v>
      </c>
      <c r="S118" s="195">
        <f t="shared" si="12"/>
        <v>35</v>
      </c>
      <c r="T118" s="193">
        <v>1000</v>
      </c>
      <c r="U118" s="193" t="s">
        <v>888</v>
      </c>
      <c r="V118" s="192">
        <f>765</f>
        <v>765</v>
      </c>
      <c r="W118" s="192">
        <f t="shared" si="13"/>
        <v>25</v>
      </c>
      <c r="X118" s="193">
        <v>223795</v>
      </c>
      <c r="Y118" s="193" t="s">
        <v>1024</v>
      </c>
      <c r="Z118" s="194">
        <f t="shared" si="14"/>
        <v>-3.3783783783783786E-2</v>
      </c>
      <c r="AA118" s="162" t="s">
        <v>935</v>
      </c>
      <c r="AB118" s="159"/>
      <c r="AC118" s="159"/>
      <c r="AD118" s="159"/>
      <c r="AE118" s="159"/>
      <c r="AF118" s="159"/>
    </row>
    <row r="119" spans="1:32" s="16" customFormat="1" ht="79.5" customHeight="1">
      <c r="A119" s="161"/>
      <c r="B119" s="20">
        <v>46245</v>
      </c>
      <c r="C119" s="18">
        <v>46254</v>
      </c>
      <c r="D119" s="53">
        <v>46255</v>
      </c>
      <c r="E119" s="53">
        <v>46262</v>
      </c>
      <c r="F119" s="55" t="s">
        <v>23</v>
      </c>
      <c r="G119" s="25" t="s">
        <v>99</v>
      </c>
      <c r="H119" s="17" t="s">
        <v>30</v>
      </c>
      <c r="I119" s="161"/>
      <c r="J119" s="52" t="s">
        <v>33</v>
      </c>
      <c r="K119" s="223" t="s">
        <v>813</v>
      </c>
      <c r="L119" s="17">
        <v>210</v>
      </c>
      <c r="M119" s="17" t="s">
        <v>42</v>
      </c>
      <c r="N119" s="249" t="s">
        <v>46</v>
      </c>
      <c r="O119" s="52" t="s">
        <v>36</v>
      </c>
      <c r="P119" s="17">
        <v>252</v>
      </c>
      <c r="Q119" s="25">
        <f t="shared" si="11"/>
        <v>1</v>
      </c>
      <c r="R119" s="191">
        <f>251</f>
        <v>251</v>
      </c>
      <c r="S119" s="192">
        <f t="shared" si="12"/>
        <v>1</v>
      </c>
      <c r="T119" s="193">
        <v>1349</v>
      </c>
      <c r="U119" s="193" t="s">
        <v>1120</v>
      </c>
      <c r="V119" s="192">
        <f>230</f>
        <v>230</v>
      </c>
      <c r="W119" s="195">
        <f t="shared" si="13"/>
        <v>-22</v>
      </c>
      <c r="X119" s="193">
        <v>225281</v>
      </c>
      <c r="Y119" s="193" t="s">
        <v>1200</v>
      </c>
      <c r="Z119" s="226">
        <f t="shared" si="14"/>
        <v>8.7301587301587297E-2</v>
      </c>
      <c r="AA119" s="162" t="s">
        <v>1124</v>
      </c>
      <c r="AB119" s="159"/>
      <c r="AC119" s="159"/>
      <c r="AD119" s="159"/>
      <c r="AE119" s="159"/>
      <c r="AF119" s="159"/>
    </row>
    <row r="120" spans="1:32" s="16" customFormat="1" ht="79.5" hidden="1" customHeight="1">
      <c r="A120" s="161"/>
      <c r="B120" s="21"/>
      <c r="C120" s="21"/>
      <c r="D120" s="21"/>
      <c r="E120" s="21"/>
      <c r="F120" s="43"/>
      <c r="G120" s="25"/>
      <c r="H120" s="44"/>
      <c r="I120" s="161"/>
      <c r="J120" s="162"/>
      <c r="K120" s="162"/>
      <c r="L120" s="45"/>
      <c r="M120" s="45"/>
      <c r="N120" s="45"/>
      <c r="O120" s="45"/>
      <c r="P120" s="45">
        <v>0</v>
      </c>
      <c r="Q120" s="25">
        <f t="shared" si="11"/>
        <v>0</v>
      </c>
      <c r="R120" s="191">
        <v>0</v>
      </c>
      <c r="S120" s="192">
        <f t="shared" si="12"/>
        <v>0</v>
      </c>
      <c r="T120" s="193"/>
      <c r="U120" s="193"/>
      <c r="V120" s="192">
        <v>0</v>
      </c>
      <c r="W120" s="192">
        <f t="shared" si="13"/>
        <v>0</v>
      </c>
      <c r="X120" s="193"/>
      <c r="Y120" s="193"/>
      <c r="Z120" s="194" t="e">
        <f t="shared" si="14"/>
        <v>#DIV/0!</v>
      </c>
      <c r="AA120" s="162"/>
      <c r="AB120" s="159"/>
      <c r="AC120" s="159"/>
      <c r="AD120" s="159"/>
      <c r="AE120" s="159"/>
      <c r="AF120" s="159"/>
    </row>
    <row r="121" spans="1:32" s="16" customFormat="1" ht="79.5" hidden="1" customHeight="1">
      <c r="A121" s="161"/>
      <c r="B121" s="21"/>
      <c r="C121" s="21"/>
      <c r="D121" s="21"/>
      <c r="E121" s="21"/>
      <c r="F121" s="43"/>
      <c r="G121" s="25"/>
      <c r="H121" s="44"/>
      <c r="I121" s="161"/>
      <c r="J121" s="162"/>
      <c r="K121" s="162"/>
      <c r="L121" s="45"/>
      <c r="M121" s="45"/>
      <c r="N121" s="45"/>
      <c r="O121" s="45"/>
      <c r="P121" s="45">
        <v>0</v>
      </c>
      <c r="Q121" s="25">
        <f t="shared" si="11"/>
        <v>0</v>
      </c>
      <c r="R121" s="191">
        <v>0</v>
      </c>
      <c r="S121" s="192">
        <f t="shared" si="12"/>
        <v>0</v>
      </c>
      <c r="T121" s="193"/>
      <c r="U121" s="193"/>
      <c r="V121" s="192">
        <v>0</v>
      </c>
      <c r="W121" s="192">
        <f t="shared" si="13"/>
        <v>0</v>
      </c>
      <c r="X121" s="193"/>
      <c r="Y121" s="193"/>
      <c r="Z121" s="194" t="e">
        <f t="shared" si="14"/>
        <v>#DIV/0!</v>
      </c>
      <c r="AA121" s="162"/>
      <c r="AB121" s="159"/>
      <c r="AC121" s="159"/>
      <c r="AD121" s="159"/>
      <c r="AE121" s="159"/>
      <c r="AF121" s="159"/>
    </row>
    <row r="122" spans="1:32" s="16" customFormat="1" ht="79.5" hidden="1" customHeight="1">
      <c r="A122" s="161"/>
      <c r="B122" s="21"/>
      <c r="C122" s="21"/>
      <c r="D122" s="21"/>
      <c r="E122" s="21"/>
      <c r="F122" s="43"/>
      <c r="G122" s="25"/>
      <c r="H122" s="44"/>
      <c r="I122" s="161"/>
      <c r="J122" s="162"/>
      <c r="K122" s="162"/>
      <c r="L122" s="45"/>
      <c r="M122" s="45"/>
      <c r="N122" s="45"/>
      <c r="O122" s="45"/>
      <c r="P122" s="45">
        <v>0</v>
      </c>
      <c r="Q122" s="25">
        <f t="shared" si="11"/>
        <v>0</v>
      </c>
      <c r="R122" s="191">
        <v>0</v>
      </c>
      <c r="S122" s="192">
        <f t="shared" si="12"/>
        <v>0</v>
      </c>
      <c r="T122" s="193"/>
      <c r="U122" s="193"/>
      <c r="V122" s="192">
        <v>0</v>
      </c>
      <c r="W122" s="192">
        <f t="shared" si="13"/>
        <v>0</v>
      </c>
      <c r="X122" s="193"/>
      <c r="Y122" s="193"/>
      <c r="Z122" s="194" t="e">
        <f t="shared" si="14"/>
        <v>#DIV/0!</v>
      </c>
      <c r="AA122" s="162"/>
      <c r="AB122" s="159"/>
      <c r="AC122" s="159"/>
      <c r="AD122" s="159"/>
      <c r="AE122" s="159"/>
      <c r="AF122" s="159"/>
    </row>
    <row r="123" spans="1:32" s="16" customFormat="1" ht="79.5" hidden="1" customHeight="1">
      <c r="A123" s="161"/>
      <c r="B123" s="21"/>
      <c r="C123" s="21"/>
      <c r="D123" s="21"/>
      <c r="E123" s="21"/>
      <c r="F123" s="43"/>
      <c r="G123" s="25"/>
      <c r="H123" s="44"/>
      <c r="I123" s="161"/>
      <c r="J123" s="162"/>
      <c r="K123" s="162"/>
      <c r="L123" s="45"/>
      <c r="M123" s="45"/>
      <c r="N123" s="45"/>
      <c r="O123" s="45"/>
      <c r="P123" s="45">
        <v>0</v>
      </c>
      <c r="Q123" s="25">
        <f t="shared" si="11"/>
        <v>0</v>
      </c>
      <c r="R123" s="191">
        <v>0</v>
      </c>
      <c r="S123" s="192">
        <f t="shared" si="12"/>
        <v>0</v>
      </c>
      <c r="T123" s="193"/>
      <c r="U123" s="193"/>
      <c r="V123" s="192">
        <v>0</v>
      </c>
      <c r="W123" s="192">
        <f t="shared" si="13"/>
        <v>0</v>
      </c>
      <c r="X123" s="193"/>
      <c r="Y123" s="193"/>
      <c r="Z123" s="194" t="e">
        <f t="shared" si="14"/>
        <v>#DIV/0!</v>
      </c>
      <c r="AA123" s="162"/>
      <c r="AB123" s="159"/>
      <c r="AC123" s="159"/>
      <c r="AD123" s="159"/>
      <c r="AE123" s="159"/>
      <c r="AF123" s="159"/>
    </row>
    <row r="124" spans="1:32" s="16" customFormat="1" ht="79.5" hidden="1" customHeight="1">
      <c r="A124" s="161"/>
      <c r="B124" s="21"/>
      <c r="C124" s="21"/>
      <c r="D124" s="21"/>
      <c r="E124" s="21"/>
      <c r="F124" s="43"/>
      <c r="G124" s="25"/>
      <c r="H124" s="44"/>
      <c r="I124" s="161"/>
      <c r="J124" s="162"/>
      <c r="K124" s="162"/>
      <c r="L124" s="45"/>
      <c r="M124" s="45"/>
      <c r="N124" s="45"/>
      <c r="O124" s="45"/>
      <c r="P124" s="45">
        <v>0</v>
      </c>
      <c r="Q124" s="25">
        <f t="shared" si="11"/>
        <v>0</v>
      </c>
      <c r="R124" s="191">
        <v>0</v>
      </c>
      <c r="S124" s="192">
        <f t="shared" si="12"/>
        <v>0</v>
      </c>
      <c r="T124" s="193"/>
      <c r="U124" s="193"/>
      <c r="V124" s="192">
        <v>0</v>
      </c>
      <c r="W124" s="192">
        <f t="shared" si="13"/>
        <v>0</v>
      </c>
      <c r="X124" s="193"/>
      <c r="Y124" s="193"/>
      <c r="Z124" s="194" t="e">
        <f t="shared" si="14"/>
        <v>#DIV/0!</v>
      </c>
      <c r="AA124" s="162"/>
      <c r="AB124" s="159"/>
      <c r="AC124" s="159"/>
      <c r="AD124" s="159"/>
      <c r="AE124" s="159"/>
      <c r="AF124" s="159"/>
    </row>
    <row r="125" spans="1:32" s="16" customFormat="1" ht="79.5" hidden="1" customHeight="1">
      <c r="A125" s="161"/>
      <c r="B125" s="21"/>
      <c r="C125" s="21"/>
      <c r="D125" s="21"/>
      <c r="E125" s="21"/>
      <c r="F125" s="43"/>
      <c r="G125" s="25"/>
      <c r="H125" s="44"/>
      <c r="I125" s="161"/>
      <c r="J125" s="162"/>
      <c r="K125" s="162"/>
      <c r="L125" s="45"/>
      <c r="M125" s="45"/>
      <c r="N125" s="45"/>
      <c r="O125" s="45"/>
      <c r="P125" s="45">
        <v>0</v>
      </c>
      <c r="Q125" s="25">
        <f t="shared" si="11"/>
        <v>0</v>
      </c>
      <c r="R125" s="191">
        <v>0</v>
      </c>
      <c r="S125" s="192">
        <f t="shared" si="12"/>
        <v>0</v>
      </c>
      <c r="T125" s="193"/>
      <c r="U125" s="193"/>
      <c r="V125" s="192">
        <v>0</v>
      </c>
      <c r="W125" s="192">
        <f t="shared" si="13"/>
        <v>0</v>
      </c>
      <c r="X125" s="193"/>
      <c r="Y125" s="193"/>
      <c r="Z125" s="194" t="e">
        <f t="shared" si="14"/>
        <v>#DIV/0!</v>
      </c>
      <c r="AA125" s="162"/>
      <c r="AB125" s="159"/>
      <c r="AC125" s="159"/>
      <c r="AD125" s="159"/>
      <c r="AE125" s="159"/>
      <c r="AF125" s="159"/>
    </row>
    <row r="126" spans="1:32" s="16" customFormat="1" ht="79.5" hidden="1" customHeight="1">
      <c r="A126" s="161"/>
      <c r="B126" s="21"/>
      <c r="C126" s="21"/>
      <c r="D126" s="21"/>
      <c r="E126" s="21"/>
      <c r="F126" s="43"/>
      <c r="G126" s="25"/>
      <c r="H126" s="44"/>
      <c r="I126" s="161"/>
      <c r="J126" s="162"/>
      <c r="K126" s="162"/>
      <c r="L126" s="45"/>
      <c r="M126" s="45"/>
      <c r="N126" s="45"/>
      <c r="O126" s="45"/>
      <c r="P126" s="45">
        <v>0</v>
      </c>
      <c r="Q126" s="25">
        <f t="shared" si="11"/>
        <v>0</v>
      </c>
      <c r="R126" s="191">
        <v>0</v>
      </c>
      <c r="S126" s="192">
        <f t="shared" si="12"/>
        <v>0</v>
      </c>
      <c r="T126" s="193"/>
      <c r="U126" s="193"/>
      <c r="V126" s="192">
        <v>0</v>
      </c>
      <c r="W126" s="192">
        <f t="shared" si="13"/>
        <v>0</v>
      </c>
      <c r="X126" s="193"/>
      <c r="Y126" s="193"/>
      <c r="Z126" s="194" t="e">
        <f t="shared" si="14"/>
        <v>#DIV/0!</v>
      </c>
      <c r="AA126" s="162"/>
      <c r="AB126" s="159"/>
      <c r="AC126" s="159"/>
      <c r="AD126" s="159"/>
      <c r="AE126" s="159"/>
      <c r="AF126" s="159"/>
    </row>
    <row r="127" spans="1:32" s="35" customFormat="1" ht="54.75" customHeight="1">
      <c r="A127" s="161"/>
      <c r="B127" s="21"/>
      <c r="C127" s="21"/>
      <c r="D127" s="21"/>
      <c r="E127" s="21"/>
      <c r="F127" s="43"/>
      <c r="G127" s="25"/>
      <c r="H127" s="44"/>
      <c r="I127" s="161"/>
      <c r="J127" s="162"/>
      <c r="K127" s="162"/>
      <c r="L127" s="45"/>
      <c r="M127" s="45"/>
      <c r="N127" s="45"/>
      <c r="O127" s="45"/>
      <c r="P127" s="142">
        <f>SUM(P74:P126)</f>
        <v>31668</v>
      </c>
      <c r="Q127" s="142">
        <f>SUM(Q74:Q126)</f>
        <v>-87</v>
      </c>
      <c r="R127" s="142">
        <f>SUM(R74:R126)</f>
        <v>31755</v>
      </c>
      <c r="S127" s="142">
        <f>SUM(S74:S126)</f>
        <v>-87</v>
      </c>
      <c r="T127" s="142"/>
      <c r="U127" s="142"/>
      <c r="V127" s="142">
        <f>SUM(V74:V126)</f>
        <v>31124.5</v>
      </c>
      <c r="W127" s="142">
        <f>SUM(W74:W126)</f>
        <v>-543.5</v>
      </c>
      <c r="X127" s="142">
        <f>SUM(X86:X126)</f>
        <v>1096185</v>
      </c>
      <c r="Y127" s="142">
        <f>SUM(Y86:Y126)</f>
        <v>0</v>
      </c>
      <c r="Z127" s="226">
        <f t="shared" si="14"/>
        <v>1.7162435265883541E-2</v>
      </c>
      <c r="AA127" s="162"/>
      <c r="AB127" s="159"/>
      <c r="AC127" s="159"/>
      <c r="AD127" s="159"/>
      <c r="AE127" s="159"/>
      <c r="AF127" s="159"/>
    </row>
    <row r="128" spans="1:32" s="35" customFormat="1" ht="36.75" customHeight="1">
      <c r="A128" s="165"/>
      <c r="B128" s="320" t="s">
        <v>120</v>
      </c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142">
        <f>P127+P71+P28</f>
        <v>40517</v>
      </c>
      <c r="Q128" s="142">
        <f>Q127+Q71+Q28</f>
        <v>-450</v>
      </c>
      <c r="R128" s="142">
        <f>R127+R71+R28</f>
        <v>40967</v>
      </c>
      <c r="S128" s="142">
        <f>S127+S71+S28</f>
        <v>-450</v>
      </c>
      <c r="T128" s="142"/>
      <c r="U128" s="142"/>
      <c r="V128" s="142">
        <f>V127+V71+V28</f>
        <v>40071</v>
      </c>
      <c r="W128" s="142">
        <f>W127+W71+W28</f>
        <v>-446</v>
      </c>
      <c r="X128" s="142">
        <f t="shared" ref="X128:Y128" si="18">SUM(X85:X127)</f>
        <v>2235175</v>
      </c>
      <c r="Y128" s="142">
        <f t="shared" si="18"/>
        <v>0</v>
      </c>
      <c r="Z128" s="226">
        <f t="shared" si="14"/>
        <v>1.1007725152405163E-2</v>
      </c>
      <c r="AA128" s="162"/>
      <c r="AB128" s="159"/>
      <c r="AC128" s="159"/>
      <c r="AD128" s="159"/>
      <c r="AE128" s="159"/>
      <c r="AF128" s="159"/>
    </row>
    <row r="129" spans="1:14" ht="27.75" customHeight="1">
      <c r="A129" s="337" t="s">
        <v>699</v>
      </c>
      <c r="B129" s="337"/>
      <c r="C129" s="337"/>
      <c r="D129" s="337"/>
      <c r="E129"/>
      <c r="F129" s="9"/>
      <c r="H129"/>
      <c r="I129"/>
    </row>
    <row r="130" spans="1:14" ht="27.75" customHeight="1">
      <c r="A130" s="331" t="s">
        <v>701</v>
      </c>
      <c r="B130" s="331"/>
      <c r="C130" s="340" t="s">
        <v>700</v>
      </c>
      <c r="D130" s="341"/>
      <c r="E130"/>
      <c r="F130" s="9"/>
      <c r="H130"/>
      <c r="I130"/>
    </row>
    <row r="131" spans="1:14" ht="27.75" customHeight="1">
      <c r="A131" s="337" t="s">
        <v>105</v>
      </c>
      <c r="B131" s="337"/>
      <c r="C131" s="338">
        <v>12926</v>
      </c>
      <c r="D131" s="338"/>
      <c r="E131"/>
      <c r="F131" s="9"/>
      <c r="H131"/>
      <c r="I131"/>
    </row>
    <row r="132" spans="1:14" ht="27.75" customHeight="1">
      <c r="A132" s="337" t="s">
        <v>702</v>
      </c>
      <c r="B132" s="337"/>
      <c r="C132" s="338">
        <v>1204</v>
      </c>
      <c r="D132" s="338"/>
      <c r="E132"/>
      <c r="F132" s="9"/>
      <c r="H132"/>
      <c r="I132"/>
    </row>
    <row r="133" spans="1:14" ht="27.75" customHeight="1">
      <c r="A133" s="337" t="s">
        <v>62</v>
      </c>
      <c r="B133" s="337"/>
      <c r="C133" s="338">
        <v>27777</v>
      </c>
      <c r="D133" s="338"/>
      <c r="E133"/>
      <c r="F133" s="9"/>
      <c r="H133"/>
      <c r="I133"/>
      <c r="N133" s="190"/>
    </row>
    <row r="134" spans="1:14" ht="27.75" customHeight="1">
      <c r="A134" s="339" t="s">
        <v>70</v>
      </c>
      <c r="B134" s="339"/>
      <c r="C134" s="338">
        <f>SUM(C131:D133)</f>
        <v>41907</v>
      </c>
      <c r="D134" s="338"/>
      <c r="E134"/>
      <c r="F134" s="9"/>
      <c r="H134"/>
      <c r="I134"/>
      <c r="N134" s="190"/>
    </row>
    <row r="135" spans="1:14">
      <c r="E135"/>
      <c r="F135" s="9"/>
      <c r="H135"/>
      <c r="I135"/>
    </row>
  </sheetData>
  <autoFilter ref="B73:AA134"/>
  <mergeCells count="17">
    <mergeCell ref="A1:AA1"/>
    <mergeCell ref="B128:O128"/>
    <mergeCell ref="A3:Z3"/>
    <mergeCell ref="A29:AF29"/>
    <mergeCell ref="A72:AF72"/>
    <mergeCell ref="A2:AA2"/>
    <mergeCell ref="A129:D129"/>
    <mergeCell ref="A130:B130"/>
    <mergeCell ref="A131:B131"/>
    <mergeCell ref="C131:D131"/>
    <mergeCell ref="C130:D130"/>
    <mergeCell ref="A132:B132"/>
    <mergeCell ref="C132:D132"/>
    <mergeCell ref="A133:B133"/>
    <mergeCell ref="C133:D133"/>
    <mergeCell ref="A134:B134"/>
    <mergeCell ref="C134:D134"/>
  </mergeCells>
  <dataValidations count="3">
    <dataValidation type="list" allowBlank="1" showInputMessage="1" showErrorMessage="1" sqref="J15">
      <formula1>$A$510:$A$579</formula1>
    </dataValidation>
    <dataValidation type="list" allowBlank="1" showInputMessage="1" showErrorMessage="1" sqref="F16:F17 F85:F91 F93:F116">
      <formula1>#REF!</formula1>
    </dataValidation>
    <dataValidation type="list" allowBlank="1" showInputMessage="1" showErrorMessage="1" sqref="F11 F13">
      <formula1>$C$138:$C$145</formula1>
    </dataValidation>
  </dataValidations>
  <pageMargins left="0.2" right="0.2" top="0.25" bottom="0.25" header="0.3" footer="0.3"/>
  <pageSetup paperSize="9" scale="65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'C:\Users\salman\Desktop\[New Posting.xlsm]Summary'!#REF!</xm:f>
          </x14:formula1>
          <xm:sqref>J5:J7 H5:H7 H15</xm:sqref>
        </x14:dataValidation>
        <x14:dataValidation type="list" allowBlank="1" showInputMessage="1" showErrorMessage="1">
          <x14:formula1>
            <xm:f>'C:\Users\rokibul\Desktop\[11.07.26 Finish Fabric Plan &amp; Execution Status.xlsm]Summary'!#REF!</xm:f>
          </x14:formula1>
          <xm:sqref>F31:F66 F74:F84 F5:F10 F12 F14:F15</xm:sqref>
        </x14:dataValidation>
        <x14:dataValidation type="list" allowBlank="1" showInputMessage="1" showErrorMessage="1">
          <x14:formula1>
            <xm:f>'C:\Users\shekor\Desktop\[New Job Posting.xlsm]Summary'!#REF!</xm:f>
          </x14:formula1>
          <xm:sqref>J8:J14 H8:H14 F92 H16:H17 F67 J16:J17 F118:F119 H31:H69 J31:J69 H74:H119 J74:J119</xm:sqref>
        </x14:dataValidation>
        <x14:dataValidation type="list" allowBlank="1" showInputMessage="1" showErrorMessage="1">
          <x14:formula1>
            <xm:f>'[29.07.26 Finish Fabric Plan &amp; Execution Status.xlsm]Summary'!#REF!</xm:f>
          </x14:formula1>
          <xm:sqref>F117</xm:sqref>
        </x14:dataValidation>
        <x14:dataValidation type="list" allowBlank="1" showInputMessage="1" showErrorMessage="1">
          <x14:formula1>
            <xm:f>'C:\Users\rokibul\Desktop\[11.08.26 Finish Fabric Plan &amp; Execution Status.xlsm]Summary'!#REF!</xm:f>
          </x14:formula1>
          <xm:sqref>F68:F69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zoomScaleNormal="100" workbookViewId="0">
      <selection activeCell="M3" sqref="M3:N3"/>
    </sheetView>
  </sheetViews>
  <sheetFormatPr defaultRowHeight="15"/>
  <cols>
    <col min="4" max="14" width="10.85546875" customWidth="1"/>
  </cols>
  <sheetData>
    <row r="1" spans="1:14">
      <c r="A1" s="352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352" t="s">
        <v>903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</row>
    <row r="3" spans="1:14">
      <c r="A3" s="245"/>
      <c r="B3" s="245"/>
      <c r="C3" s="245"/>
      <c r="D3" s="245"/>
      <c r="E3" s="246"/>
      <c r="F3" s="245"/>
      <c r="G3" s="245"/>
      <c r="H3" s="245"/>
      <c r="I3" s="245"/>
      <c r="J3" s="245"/>
      <c r="K3" s="245"/>
      <c r="L3" s="245"/>
      <c r="M3" s="353" t="s">
        <v>1363</v>
      </c>
      <c r="N3" s="353"/>
    </row>
    <row r="4" spans="1:14" ht="45">
      <c r="A4" s="349" t="s">
        <v>72</v>
      </c>
      <c r="B4" s="350"/>
      <c r="C4" s="351"/>
      <c r="D4" s="225" t="s">
        <v>1050</v>
      </c>
      <c r="E4" s="225" t="s">
        <v>74</v>
      </c>
      <c r="F4" s="225" t="s">
        <v>7</v>
      </c>
      <c r="G4" s="225" t="s">
        <v>75</v>
      </c>
      <c r="H4" s="225" t="s">
        <v>76</v>
      </c>
      <c r="I4" s="225" t="s">
        <v>77</v>
      </c>
      <c r="J4" s="225" t="s">
        <v>78</v>
      </c>
      <c r="K4" s="225" t="s">
        <v>79</v>
      </c>
      <c r="L4" s="225" t="s">
        <v>80</v>
      </c>
      <c r="M4" s="225" t="s">
        <v>81</v>
      </c>
      <c r="N4" s="225" t="s">
        <v>82</v>
      </c>
    </row>
    <row r="5" spans="1:14">
      <c r="A5" s="349" t="s">
        <v>900</v>
      </c>
      <c r="B5" s="350"/>
      <c r="C5" s="351"/>
      <c r="D5" s="225">
        <v>9</v>
      </c>
      <c r="E5" s="225">
        <v>4154</v>
      </c>
      <c r="F5" s="225">
        <v>10</v>
      </c>
      <c r="G5" s="225">
        <v>4235</v>
      </c>
      <c r="H5" s="225">
        <v>10</v>
      </c>
      <c r="I5" s="225">
        <v>0</v>
      </c>
      <c r="J5" s="225">
        <v>0</v>
      </c>
      <c r="K5" s="225">
        <v>4176</v>
      </c>
      <c r="L5" s="225">
        <v>10</v>
      </c>
      <c r="M5" s="225">
        <v>0</v>
      </c>
      <c r="N5" s="225">
        <v>0</v>
      </c>
    </row>
    <row r="6" spans="1:14">
      <c r="A6" s="349" t="s">
        <v>901</v>
      </c>
      <c r="B6" s="350"/>
      <c r="C6" s="351"/>
      <c r="D6" s="225">
        <v>23</v>
      </c>
      <c r="E6" s="225">
        <v>4695</v>
      </c>
      <c r="F6" s="225">
        <v>21</v>
      </c>
      <c r="G6" s="225">
        <v>4977</v>
      </c>
      <c r="H6" s="225">
        <v>21</v>
      </c>
      <c r="I6" s="225">
        <v>0</v>
      </c>
      <c r="J6" s="225">
        <v>0</v>
      </c>
      <c r="K6" s="225">
        <v>4771</v>
      </c>
      <c r="L6" s="225">
        <v>21</v>
      </c>
      <c r="M6" s="225">
        <v>0</v>
      </c>
      <c r="N6" s="225">
        <v>0</v>
      </c>
    </row>
    <row r="7" spans="1:14">
      <c r="A7" s="349" t="s">
        <v>902</v>
      </c>
      <c r="B7" s="350"/>
      <c r="C7" s="351"/>
      <c r="D7" s="225">
        <v>20</v>
      </c>
      <c r="E7" s="225">
        <v>31668</v>
      </c>
      <c r="F7" s="225">
        <v>34</v>
      </c>
      <c r="G7" s="225">
        <v>31138</v>
      </c>
      <c r="H7" s="225">
        <v>34</v>
      </c>
      <c r="I7" s="225">
        <v>500</v>
      </c>
      <c r="J7" s="225">
        <v>2</v>
      </c>
      <c r="K7" s="225">
        <v>30177</v>
      </c>
      <c r="L7" s="225">
        <v>31</v>
      </c>
      <c r="M7" s="225">
        <v>700</v>
      </c>
      <c r="N7" s="225">
        <v>4</v>
      </c>
    </row>
    <row r="8" spans="1:14">
      <c r="A8" s="349"/>
      <c r="B8" s="350"/>
      <c r="C8" s="351"/>
      <c r="D8" s="225">
        <f>SUM(D5:D7)</f>
        <v>52</v>
      </c>
      <c r="E8" s="225">
        <f t="shared" ref="E8:N8" si="0">SUM(E5:E7)</f>
        <v>40517</v>
      </c>
      <c r="F8" s="225">
        <f t="shared" si="0"/>
        <v>65</v>
      </c>
      <c r="G8" s="225">
        <f t="shared" si="0"/>
        <v>40350</v>
      </c>
      <c r="H8" s="225">
        <f t="shared" si="0"/>
        <v>65</v>
      </c>
      <c r="I8" s="225">
        <f t="shared" si="0"/>
        <v>500</v>
      </c>
      <c r="J8" s="225">
        <f t="shared" si="0"/>
        <v>2</v>
      </c>
      <c r="K8" s="225">
        <f t="shared" si="0"/>
        <v>39124</v>
      </c>
      <c r="L8" s="225">
        <f t="shared" si="0"/>
        <v>62</v>
      </c>
      <c r="M8" s="225">
        <f t="shared" si="0"/>
        <v>700</v>
      </c>
      <c r="N8" s="225">
        <f t="shared" si="0"/>
        <v>4</v>
      </c>
    </row>
    <row r="9" spans="1:14">
      <c r="A9" s="354" t="s">
        <v>83</v>
      </c>
      <c r="B9" s="354"/>
      <c r="C9" s="349" t="s">
        <v>84</v>
      </c>
      <c r="D9" s="351"/>
      <c r="E9" s="349" t="s">
        <v>85</v>
      </c>
      <c r="F9" s="351"/>
      <c r="G9" s="349" t="s">
        <v>85</v>
      </c>
      <c r="H9" s="350"/>
      <c r="I9" s="351"/>
      <c r="J9" s="349" t="s">
        <v>86</v>
      </c>
      <c r="K9" s="350"/>
      <c r="L9" s="351"/>
      <c r="M9" s="349" t="s">
        <v>87</v>
      </c>
      <c r="N9" s="351"/>
    </row>
    <row r="10" spans="1:14" ht="30">
      <c r="A10" s="225" t="s">
        <v>88</v>
      </c>
      <c r="B10" s="225" t="s">
        <v>89</v>
      </c>
      <c r="C10" s="225" t="s">
        <v>88</v>
      </c>
      <c r="D10" s="225" t="s">
        <v>89</v>
      </c>
      <c r="E10" s="225" t="s">
        <v>90</v>
      </c>
      <c r="F10" s="225" t="s">
        <v>89</v>
      </c>
      <c r="G10" s="349" t="s">
        <v>91</v>
      </c>
      <c r="H10" s="351"/>
      <c r="I10" s="225" t="s">
        <v>89</v>
      </c>
      <c r="J10" s="225" t="s">
        <v>92</v>
      </c>
      <c r="K10" s="349" t="s">
        <v>93</v>
      </c>
      <c r="L10" s="351"/>
      <c r="M10" s="225" t="s">
        <v>92</v>
      </c>
      <c r="N10" s="225" t="s">
        <v>93</v>
      </c>
    </row>
    <row r="11" spans="1:14" ht="20.25" customHeight="1">
      <c r="A11" s="225">
        <v>65</v>
      </c>
      <c r="B11" s="225">
        <v>0</v>
      </c>
      <c r="C11" s="225">
        <v>65</v>
      </c>
      <c r="D11" s="225">
        <v>0</v>
      </c>
      <c r="E11" s="225">
        <v>65</v>
      </c>
      <c r="F11" s="225">
        <v>0</v>
      </c>
      <c r="G11" s="349">
        <v>64</v>
      </c>
      <c r="H11" s="351"/>
      <c r="I11" s="225">
        <v>1</v>
      </c>
      <c r="J11" s="225"/>
      <c r="K11" s="349"/>
      <c r="L11" s="351"/>
      <c r="M11" s="225">
        <v>40326</v>
      </c>
      <c r="N11" s="225">
        <v>410</v>
      </c>
    </row>
    <row r="12" spans="1:14" ht="45" customHeight="1">
      <c r="A12" s="355" t="s">
        <v>904</v>
      </c>
      <c r="B12" s="356"/>
      <c r="C12" s="357"/>
      <c r="D12" s="358"/>
      <c r="E12" s="359"/>
      <c r="F12" s="359"/>
      <c r="G12" s="359"/>
      <c r="H12" s="359"/>
      <c r="I12" s="359"/>
      <c r="J12" s="359"/>
      <c r="K12" s="359"/>
      <c r="L12" s="359"/>
      <c r="M12" s="359"/>
      <c r="N12" s="360"/>
    </row>
    <row r="13" spans="1:14" ht="45" customHeight="1">
      <c r="A13" s="355" t="s">
        <v>1049</v>
      </c>
      <c r="B13" s="356"/>
      <c r="C13" s="357"/>
      <c r="D13" s="358"/>
      <c r="E13" s="359"/>
      <c r="F13" s="359"/>
      <c r="G13" s="359"/>
      <c r="H13" s="359"/>
      <c r="I13" s="359"/>
      <c r="J13" s="359"/>
      <c r="K13" s="359"/>
      <c r="L13" s="359"/>
      <c r="M13" s="359"/>
      <c r="N13" s="360"/>
    </row>
    <row r="14" spans="1:14" ht="45" customHeight="1">
      <c r="A14" s="355" t="s">
        <v>98</v>
      </c>
      <c r="B14" s="356"/>
      <c r="C14" s="357"/>
      <c r="D14" s="361"/>
      <c r="E14" s="359"/>
      <c r="F14" s="359"/>
      <c r="G14" s="359"/>
      <c r="H14" s="359"/>
      <c r="I14" s="359"/>
      <c r="J14" s="359"/>
      <c r="K14" s="359"/>
      <c r="L14" s="359"/>
      <c r="M14" s="359"/>
      <c r="N14" s="360"/>
    </row>
    <row r="15" spans="1:14" ht="45" customHeight="1">
      <c r="A15" s="355" t="s">
        <v>905</v>
      </c>
      <c r="B15" s="356"/>
      <c r="C15" s="357"/>
      <c r="D15" s="362"/>
      <c r="E15" s="363"/>
      <c r="F15" s="363"/>
      <c r="G15" s="363"/>
      <c r="H15" s="363"/>
      <c r="I15" s="363"/>
      <c r="J15" s="363"/>
      <c r="K15" s="363"/>
      <c r="L15" s="363"/>
      <c r="M15" s="363"/>
      <c r="N15" s="364"/>
    </row>
    <row r="16" spans="1:14" ht="45" customHeight="1">
      <c r="A16" s="365" t="s">
        <v>96</v>
      </c>
      <c r="B16" s="365"/>
      <c r="C16" s="365"/>
      <c r="D16" s="358"/>
      <c r="E16" s="359"/>
      <c r="F16" s="359"/>
      <c r="G16" s="359"/>
      <c r="H16" s="359"/>
      <c r="I16" s="359"/>
      <c r="J16" s="359"/>
      <c r="K16" s="359"/>
      <c r="L16" s="359"/>
      <c r="M16" s="359"/>
      <c r="N16" s="360"/>
    </row>
    <row r="17" spans="1:14" ht="45" customHeight="1">
      <c r="A17" s="365" t="s">
        <v>97</v>
      </c>
      <c r="B17" s="365"/>
      <c r="C17" s="365"/>
      <c r="D17" s="358">
        <v>48083</v>
      </c>
      <c r="E17" s="359"/>
      <c r="F17" s="359"/>
      <c r="G17" s="359"/>
      <c r="H17" s="359"/>
      <c r="I17" s="359"/>
      <c r="J17" s="359"/>
      <c r="K17" s="359"/>
      <c r="L17" s="359"/>
      <c r="M17" s="359"/>
      <c r="N17" s="360"/>
    </row>
  </sheetData>
  <mergeCells count="30">
    <mergeCell ref="A15:C15"/>
    <mergeCell ref="D15:N15"/>
    <mergeCell ref="A16:C16"/>
    <mergeCell ref="D16:N16"/>
    <mergeCell ref="A17:C17"/>
    <mergeCell ref="D17:N17"/>
    <mergeCell ref="A12:C12"/>
    <mergeCell ref="D12:N12"/>
    <mergeCell ref="A13:C13"/>
    <mergeCell ref="D13:N13"/>
    <mergeCell ref="A14:C14"/>
    <mergeCell ref="D14:N14"/>
    <mergeCell ref="J9:L9"/>
    <mergeCell ref="M9:N9"/>
    <mergeCell ref="G10:H10"/>
    <mergeCell ref="K10:L10"/>
    <mergeCell ref="G11:H11"/>
    <mergeCell ref="K11:L11"/>
    <mergeCell ref="G9:I9"/>
    <mergeCell ref="A7:C7"/>
    <mergeCell ref="A8:C8"/>
    <mergeCell ref="A9:B9"/>
    <mergeCell ref="C9:D9"/>
    <mergeCell ref="E9:F9"/>
    <mergeCell ref="A6:C6"/>
    <mergeCell ref="A1:N1"/>
    <mergeCell ref="A2:N2"/>
    <mergeCell ref="M3:N3"/>
    <mergeCell ref="A4:C4"/>
    <mergeCell ref="A5:C5"/>
  </mergeCells>
  <pageMargins left="0.25" right="0.25" top="0.75" bottom="0.75" header="0.3" footer="0.3"/>
  <pageSetup paperSize="9"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"/>
  <sheetViews>
    <sheetView tabSelected="1" view="pageBreakPreview" topLeftCell="B93" zoomScale="80" zoomScaleNormal="60" zoomScaleSheetLayoutView="80" zoomScalePageLayoutView="70" workbookViewId="0">
      <selection activeCell="N96" sqref="N96"/>
    </sheetView>
  </sheetViews>
  <sheetFormatPr defaultRowHeight="15.75"/>
  <cols>
    <col min="1" max="1" width="0" hidden="1" customWidth="1"/>
    <col min="2" max="2" width="7.28515625" style="9" customWidth="1"/>
    <col min="3" max="4" width="7.28515625" customWidth="1"/>
    <col min="5" max="5" width="7.5703125" customWidth="1"/>
    <col min="6" max="6" width="5.28515625" style="1" customWidth="1"/>
    <col min="7" max="7" width="6.42578125" style="254" customWidth="1"/>
    <col min="8" max="8" width="6.5703125" style="1" customWidth="1"/>
    <col min="9" max="9" width="13.5703125" customWidth="1"/>
    <col min="10" max="10" width="7.140625" customWidth="1"/>
    <col min="11" max="11" width="13.140625" style="9" customWidth="1"/>
    <col min="12" max="12" width="4.42578125" customWidth="1"/>
    <col min="13" max="13" width="3.5703125" customWidth="1"/>
    <col min="14" max="14" width="9.85546875" customWidth="1"/>
    <col min="15" max="15" width="7" customWidth="1"/>
    <col min="16" max="17" width="8.28515625" customWidth="1"/>
    <col min="18" max="19" width="8.42578125" customWidth="1"/>
    <col min="20" max="20" width="7.42578125" customWidth="1"/>
    <col min="22" max="22" width="8.28515625" customWidth="1"/>
    <col min="23" max="23" width="8.85546875" customWidth="1"/>
    <col min="24" max="24" width="8.42578125" customWidth="1"/>
    <col min="25" max="25" width="6.7109375" customWidth="1"/>
    <col min="26" max="26" width="7.28515625" customWidth="1"/>
    <col min="27" max="27" width="22.140625" style="5" customWidth="1"/>
  </cols>
  <sheetData>
    <row r="1" spans="1:27" ht="21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</row>
    <row r="2" spans="1:27" ht="15">
      <c r="A2" s="348" t="s">
        <v>864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</row>
    <row r="3" spans="1:27" ht="15">
      <c r="A3" s="343" t="s">
        <v>865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189" t="s">
        <v>1388</v>
      </c>
    </row>
    <row r="4" spans="1:27" ht="65.25">
      <c r="A4" s="203" t="s">
        <v>1</v>
      </c>
      <c r="B4" s="56" t="s">
        <v>140</v>
      </c>
      <c r="C4" s="56" t="s">
        <v>141</v>
      </c>
      <c r="D4" s="56" t="s">
        <v>142</v>
      </c>
      <c r="E4" s="56" t="s">
        <v>143</v>
      </c>
      <c r="F4" s="204" t="s">
        <v>115</v>
      </c>
      <c r="G4" s="203" t="s">
        <v>117</v>
      </c>
      <c r="H4" s="205" t="s">
        <v>48</v>
      </c>
      <c r="I4" s="203" t="s">
        <v>2</v>
      </c>
      <c r="J4" s="203" t="s">
        <v>3</v>
      </c>
      <c r="K4" s="203" t="s">
        <v>4</v>
      </c>
      <c r="L4" s="206" t="s">
        <v>5</v>
      </c>
      <c r="M4" s="207" t="s">
        <v>6</v>
      </c>
      <c r="N4" s="203" t="s">
        <v>7</v>
      </c>
      <c r="O4" s="207" t="s">
        <v>8</v>
      </c>
      <c r="P4" s="207" t="s">
        <v>9</v>
      </c>
      <c r="Q4" s="207" t="s">
        <v>10</v>
      </c>
      <c r="R4" s="207" t="s">
        <v>11</v>
      </c>
      <c r="S4" s="207" t="s">
        <v>12</v>
      </c>
      <c r="T4" s="207" t="s">
        <v>119</v>
      </c>
      <c r="U4" s="207" t="s">
        <v>13</v>
      </c>
      <c r="V4" s="207" t="s">
        <v>14</v>
      </c>
      <c r="W4" s="207" t="s">
        <v>15</v>
      </c>
      <c r="X4" s="207" t="s">
        <v>119</v>
      </c>
      <c r="Y4" s="207" t="s">
        <v>118</v>
      </c>
      <c r="Z4" s="208" t="s">
        <v>16</v>
      </c>
      <c r="AA4" s="178" t="s">
        <v>17</v>
      </c>
    </row>
    <row r="5" spans="1:27" s="16" customFormat="1" ht="62.25" customHeight="1">
      <c r="A5" s="161"/>
      <c r="B5" s="20">
        <v>46244</v>
      </c>
      <c r="C5" s="18">
        <v>46258</v>
      </c>
      <c r="D5" s="53">
        <v>46261</v>
      </c>
      <c r="E5" s="53">
        <v>46269</v>
      </c>
      <c r="F5" s="52" t="s">
        <v>23</v>
      </c>
      <c r="G5" s="252" t="s">
        <v>62</v>
      </c>
      <c r="H5" s="52" t="s">
        <v>128</v>
      </c>
      <c r="I5" s="161"/>
      <c r="J5" s="52" t="s">
        <v>18</v>
      </c>
      <c r="K5" s="140">
        <v>48088</v>
      </c>
      <c r="L5" s="17">
        <v>150</v>
      </c>
      <c r="M5" s="17" t="s">
        <v>868</v>
      </c>
      <c r="N5" s="59" t="s">
        <v>666</v>
      </c>
      <c r="O5" s="52" t="s">
        <v>20</v>
      </c>
      <c r="P5" s="17">
        <v>221</v>
      </c>
      <c r="Q5" s="25">
        <f t="shared" ref="Q5:Q32" si="0">P5-R5</f>
        <v>0</v>
      </c>
      <c r="R5" s="191">
        <f>221</f>
        <v>221</v>
      </c>
      <c r="S5" s="192">
        <f t="shared" ref="S5:S32" si="1">P5-R5</f>
        <v>0</v>
      </c>
      <c r="T5" s="193">
        <v>2061</v>
      </c>
      <c r="U5" s="193" t="s">
        <v>999</v>
      </c>
      <c r="V5" s="192">
        <f>224</f>
        <v>224</v>
      </c>
      <c r="W5" s="192">
        <f t="shared" ref="W5:W32" si="2">+V5-P5</f>
        <v>3</v>
      </c>
      <c r="X5" s="193">
        <v>42480</v>
      </c>
      <c r="Y5" s="193" t="s">
        <v>1120</v>
      </c>
      <c r="Z5" s="194">
        <f t="shared" ref="Z5:Z32" si="3">(P5-V5)*100/P5/100</f>
        <v>-1.3574660633484163E-2</v>
      </c>
      <c r="AA5" s="255" t="s">
        <v>1087</v>
      </c>
    </row>
    <row r="6" spans="1:27" s="16" customFormat="1" ht="51.75" customHeight="1">
      <c r="A6" s="161"/>
      <c r="B6" s="20">
        <v>46244</v>
      </c>
      <c r="C6" s="18">
        <v>46258</v>
      </c>
      <c r="D6" s="53">
        <v>46261</v>
      </c>
      <c r="E6" s="53">
        <v>46269</v>
      </c>
      <c r="F6" s="52" t="s">
        <v>23</v>
      </c>
      <c r="G6" s="252" t="s">
        <v>62</v>
      </c>
      <c r="H6" s="52" t="s">
        <v>128</v>
      </c>
      <c r="I6" s="161"/>
      <c r="J6" s="52" t="s">
        <v>18</v>
      </c>
      <c r="K6" s="140">
        <v>48088</v>
      </c>
      <c r="L6" s="17">
        <v>150</v>
      </c>
      <c r="M6" s="17" t="s">
        <v>868</v>
      </c>
      <c r="N6" s="59" t="s">
        <v>37</v>
      </c>
      <c r="O6" s="52" t="s">
        <v>20</v>
      </c>
      <c r="P6" s="17">
        <v>221</v>
      </c>
      <c r="Q6" s="25">
        <f t="shared" si="0"/>
        <v>0</v>
      </c>
      <c r="R6" s="191">
        <f>221</f>
        <v>221</v>
      </c>
      <c r="S6" s="192">
        <f t="shared" si="1"/>
        <v>0</v>
      </c>
      <c r="T6" s="193">
        <v>975</v>
      </c>
      <c r="U6" s="193" t="s">
        <v>880</v>
      </c>
      <c r="V6" s="192">
        <f>220</f>
        <v>220</v>
      </c>
      <c r="W6" s="192">
        <f t="shared" si="2"/>
        <v>-1</v>
      </c>
      <c r="X6" s="193">
        <v>42056</v>
      </c>
      <c r="Y6" s="193" t="s">
        <v>831</v>
      </c>
      <c r="Z6" s="194">
        <f t="shared" si="3"/>
        <v>4.5248868778280547E-3</v>
      </c>
      <c r="AA6" s="255" t="s">
        <v>968</v>
      </c>
    </row>
    <row r="7" spans="1:27" s="16" customFormat="1" ht="69.75" customHeight="1">
      <c r="A7" s="161"/>
      <c r="B7" s="20">
        <v>46244</v>
      </c>
      <c r="C7" s="18">
        <v>46257</v>
      </c>
      <c r="D7" s="53">
        <v>46259</v>
      </c>
      <c r="E7" s="53">
        <v>46270</v>
      </c>
      <c r="F7" s="52" t="s">
        <v>23</v>
      </c>
      <c r="G7" s="252" t="s">
        <v>62</v>
      </c>
      <c r="H7" s="52" t="s">
        <v>29</v>
      </c>
      <c r="I7" s="161"/>
      <c r="J7" s="52" t="s">
        <v>18</v>
      </c>
      <c r="K7" s="140">
        <v>48063</v>
      </c>
      <c r="L7" s="17">
        <v>220</v>
      </c>
      <c r="M7" s="17" t="s">
        <v>122</v>
      </c>
      <c r="N7" s="249" t="s">
        <v>129</v>
      </c>
      <c r="O7" s="52" t="s">
        <v>55</v>
      </c>
      <c r="P7" s="17">
        <v>375</v>
      </c>
      <c r="Q7" s="25">
        <f t="shared" si="0"/>
        <v>-13</v>
      </c>
      <c r="R7" s="191">
        <f>388</f>
        <v>388</v>
      </c>
      <c r="S7" s="192">
        <f t="shared" si="1"/>
        <v>-13</v>
      </c>
      <c r="T7" s="193">
        <v>1320</v>
      </c>
      <c r="U7" s="193" t="s">
        <v>1040</v>
      </c>
      <c r="V7" s="192">
        <f>336</f>
        <v>336</v>
      </c>
      <c r="W7" s="195">
        <f t="shared" si="2"/>
        <v>-39</v>
      </c>
      <c r="X7" s="193">
        <v>42426</v>
      </c>
      <c r="Y7" s="193" t="s">
        <v>1102</v>
      </c>
      <c r="Z7" s="226">
        <f t="shared" si="3"/>
        <v>0.10400000000000001</v>
      </c>
      <c r="AA7" s="255" t="s">
        <v>1100</v>
      </c>
    </row>
    <row r="8" spans="1:27" s="16" customFormat="1" ht="51.75" customHeight="1">
      <c r="A8" s="161"/>
      <c r="B8" s="20">
        <v>46244</v>
      </c>
      <c r="C8" s="18">
        <v>46257</v>
      </c>
      <c r="D8" s="53">
        <v>46259</v>
      </c>
      <c r="E8" s="53">
        <v>46270</v>
      </c>
      <c r="F8" s="52" t="s">
        <v>23</v>
      </c>
      <c r="G8" s="252" t="s">
        <v>62</v>
      </c>
      <c r="H8" s="52" t="s">
        <v>29</v>
      </c>
      <c r="I8" s="161"/>
      <c r="J8" s="52" t="s">
        <v>18</v>
      </c>
      <c r="K8" s="140">
        <v>48063</v>
      </c>
      <c r="L8" s="17">
        <v>220</v>
      </c>
      <c r="M8" s="17" t="s">
        <v>122</v>
      </c>
      <c r="N8" s="59" t="s">
        <v>126</v>
      </c>
      <c r="O8" s="52" t="s">
        <v>55</v>
      </c>
      <c r="P8" s="17">
        <v>280</v>
      </c>
      <c r="Q8" s="25">
        <f t="shared" si="0"/>
        <v>-3</v>
      </c>
      <c r="R8" s="191">
        <f>283</f>
        <v>283</v>
      </c>
      <c r="S8" s="192">
        <f t="shared" si="1"/>
        <v>-3</v>
      </c>
      <c r="T8" s="193">
        <v>2066</v>
      </c>
      <c r="U8" s="193" t="s">
        <v>1025</v>
      </c>
      <c r="V8" s="192">
        <f>264+23</f>
        <v>287</v>
      </c>
      <c r="W8" s="192">
        <f t="shared" si="2"/>
        <v>7</v>
      </c>
      <c r="X8" s="193">
        <v>42345</v>
      </c>
      <c r="Y8" s="193" t="s">
        <v>1040</v>
      </c>
      <c r="Z8" s="194">
        <f t="shared" si="3"/>
        <v>-2.5000000000000001E-2</v>
      </c>
      <c r="AA8" s="255" t="s">
        <v>1059</v>
      </c>
    </row>
    <row r="9" spans="1:27" s="16" customFormat="1" ht="51.75" customHeight="1">
      <c r="A9" s="161"/>
      <c r="B9" s="20">
        <v>46242</v>
      </c>
      <c r="C9" s="18">
        <v>46256</v>
      </c>
      <c r="D9" s="53">
        <v>46259</v>
      </c>
      <c r="E9" s="53">
        <v>46269</v>
      </c>
      <c r="F9" s="52" t="s">
        <v>23</v>
      </c>
      <c r="G9" s="252" t="s">
        <v>62</v>
      </c>
      <c r="H9" s="52" t="s">
        <v>179</v>
      </c>
      <c r="I9" s="161"/>
      <c r="J9" s="52" t="s">
        <v>18</v>
      </c>
      <c r="K9" s="140">
        <v>48002</v>
      </c>
      <c r="L9" s="17">
        <v>220</v>
      </c>
      <c r="M9" s="17" t="s">
        <v>122</v>
      </c>
      <c r="N9" s="59" t="s">
        <v>129</v>
      </c>
      <c r="O9" s="52" t="s">
        <v>737</v>
      </c>
      <c r="P9" s="17">
        <v>316</v>
      </c>
      <c r="Q9" s="25">
        <f t="shared" si="0"/>
        <v>-10</v>
      </c>
      <c r="R9" s="191">
        <f>326</f>
        <v>326</v>
      </c>
      <c r="S9" s="192">
        <f t="shared" si="1"/>
        <v>-10</v>
      </c>
      <c r="T9" s="193">
        <v>1225</v>
      </c>
      <c r="U9" s="193" t="s">
        <v>847</v>
      </c>
      <c r="V9" s="192">
        <f>317</f>
        <v>317</v>
      </c>
      <c r="W9" s="192">
        <f t="shared" si="2"/>
        <v>1</v>
      </c>
      <c r="X9" s="193">
        <v>42426</v>
      </c>
      <c r="Y9" s="193" t="s">
        <v>1102</v>
      </c>
      <c r="Z9" s="194">
        <f t="shared" si="3"/>
        <v>-3.1645569620253168E-3</v>
      </c>
      <c r="AA9" s="255" t="s">
        <v>1096</v>
      </c>
    </row>
    <row r="10" spans="1:27" s="16" customFormat="1" ht="51.75" customHeight="1">
      <c r="A10" s="161"/>
      <c r="B10" s="20">
        <v>46242</v>
      </c>
      <c r="C10" s="18">
        <v>46256</v>
      </c>
      <c r="D10" s="53">
        <v>46259</v>
      </c>
      <c r="E10" s="53">
        <v>46269</v>
      </c>
      <c r="F10" s="52" t="s">
        <v>23</v>
      </c>
      <c r="G10" s="252" t="s">
        <v>62</v>
      </c>
      <c r="H10" s="52" t="s">
        <v>179</v>
      </c>
      <c r="I10" s="161"/>
      <c r="J10" s="52" t="s">
        <v>18</v>
      </c>
      <c r="K10" s="140">
        <v>48002</v>
      </c>
      <c r="L10" s="17">
        <v>220</v>
      </c>
      <c r="M10" s="17" t="s">
        <v>122</v>
      </c>
      <c r="N10" s="59" t="s">
        <v>126</v>
      </c>
      <c r="O10" s="52" t="s">
        <v>737</v>
      </c>
      <c r="P10" s="17">
        <v>347</v>
      </c>
      <c r="Q10" s="25">
        <f t="shared" si="0"/>
        <v>2</v>
      </c>
      <c r="R10" s="191">
        <f>345</f>
        <v>345</v>
      </c>
      <c r="S10" s="192">
        <f t="shared" si="1"/>
        <v>2</v>
      </c>
      <c r="T10" s="193">
        <v>1220</v>
      </c>
      <c r="U10" s="193" t="s">
        <v>847</v>
      </c>
      <c r="V10" s="192">
        <f>340</f>
        <v>340</v>
      </c>
      <c r="W10" s="192">
        <f t="shared" si="2"/>
        <v>-7</v>
      </c>
      <c r="X10" s="193">
        <v>42267</v>
      </c>
      <c r="Y10" s="193" t="s">
        <v>1000</v>
      </c>
      <c r="Z10" s="194">
        <f t="shared" si="3"/>
        <v>2.0172910662824207E-2</v>
      </c>
      <c r="AA10" s="255" t="s">
        <v>988</v>
      </c>
    </row>
    <row r="11" spans="1:27" s="16" customFormat="1" ht="51.75" customHeight="1">
      <c r="A11" s="161"/>
      <c r="B11" s="20">
        <v>46244</v>
      </c>
      <c r="C11" s="18">
        <v>46256</v>
      </c>
      <c r="D11" s="53">
        <v>46260</v>
      </c>
      <c r="E11" s="53">
        <v>46268</v>
      </c>
      <c r="F11" s="52" t="s">
        <v>23</v>
      </c>
      <c r="G11" s="252" t="s">
        <v>62</v>
      </c>
      <c r="H11" s="52" t="s">
        <v>179</v>
      </c>
      <c r="I11" s="161"/>
      <c r="J11" s="52" t="s">
        <v>18</v>
      </c>
      <c r="K11" s="140">
        <v>48003</v>
      </c>
      <c r="L11" s="17">
        <v>220</v>
      </c>
      <c r="M11" s="17" t="s">
        <v>122</v>
      </c>
      <c r="N11" s="59" t="s">
        <v>129</v>
      </c>
      <c r="O11" s="52" t="s">
        <v>737</v>
      </c>
      <c r="P11" s="17">
        <v>301</v>
      </c>
      <c r="Q11" s="25">
        <f t="shared" si="0"/>
        <v>-10</v>
      </c>
      <c r="R11" s="191">
        <f>311</f>
        <v>311</v>
      </c>
      <c r="S11" s="192">
        <f t="shared" si="1"/>
        <v>-10</v>
      </c>
      <c r="T11" s="193">
        <v>1225</v>
      </c>
      <c r="U11" s="193" t="s">
        <v>847</v>
      </c>
      <c r="V11" s="192">
        <f>303</f>
        <v>303</v>
      </c>
      <c r="W11" s="192">
        <f t="shared" si="2"/>
        <v>2</v>
      </c>
      <c r="X11" s="193">
        <v>42426</v>
      </c>
      <c r="Y11" s="193" t="s">
        <v>1102</v>
      </c>
      <c r="Z11" s="194">
        <f t="shared" si="3"/>
        <v>-6.6445182724252493E-3</v>
      </c>
      <c r="AA11" s="255" t="s">
        <v>1096</v>
      </c>
    </row>
    <row r="12" spans="1:27" s="16" customFormat="1" ht="51.75" customHeight="1">
      <c r="A12" s="161"/>
      <c r="B12" s="20">
        <v>46244</v>
      </c>
      <c r="C12" s="18">
        <v>46256</v>
      </c>
      <c r="D12" s="53">
        <v>46260</v>
      </c>
      <c r="E12" s="53">
        <v>46268</v>
      </c>
      <c r="F12" s="52" t="s">
        <v>23</v>
      </c>
      <c r="G12" s="252" t="s">
        <v>62</v>
      </c>
      <c r="H12" s="52" t="s">
        <v>179</v>
      </c>
      <c r="I12" s="161"/>
      <c r="J12" s="52" t="s">
        <v>18</v>
      </c>
      <c r="K12" s="140">
        <v>48003</v>
      </c>
      <c r="L12" s="17">
        <v>220</v>
      </c>
      <c r="M12" s="17" t="s">
        <v>122</v>
      </c>
      <c r="N12" s="59" t="s">
        <v>126</v>
      </c>
      <c r="O12" s="52" t="s">
        <v>737</v>
      </c>
      <c r="P12" s="17">
        <v>333</v>
      </c>
      <c r="Q12" s="25">
        <f t="shared" si="0"/>
        <v>0</v>
      </c>
      <c r="R12" s="191">
        <f>333</f>
        <v>333</v>
      </c>
      <c r="S12" s="192">
        <f t="shared" si="1"/>
        <v>0</v>
      </c>
      <c r="T12" s="193">
        <v>1220</v>
      </c>
      <c r="U12" s="193" t="s">
        <v>847</v>
      </c>
      <c r="V12" s="192">
        <f>326</f>
        <v>326</v>
      </c>
      <c r="W12" s="192">
        <f t="shared" si="2"/>
        <v>-7</v>
      </c>
      <c r="X12" s="193">
        <v>42267</v>
      </c>
      <c r="Y12" s="193" t="s">
        <v>1000</v>
      </c>
      <c r="Z12" s="194">
        <f t="shared" si="3"/>
        <v>2.1021021021021023E-2</v>
      </c>
      <c r="AA12" s="255" t="s">
        <v>989</v>
      </c>
    </row>
    <row r="13" spans="1:27" s="16" customFormat="1" ht="51.75" customHeight="1">
      <c r="A13" s="161"/>
      <c r="B13" s="20">
        <v>46240</v>
      </c>
      <c r="C13" s="18">
        <v>46254</v>
      </c>
      <c r="D13" s="53">
        <v>46258</v>
      </c>
      <c r="E13" s="53">
        <v>46268</v>
      </c>
      <c r="F13" s="52" t="s">
        <v>25</v>
      </c>
      <c r="G13" s="252" t="s">
        <v>62</v>
      </c>
      <c r="H13" s="52" t="s">
        <v>179</v>
      </c>
      <c r="I13" s="161"/>
      <c r="J13" s="52" t="s">
        <v>18</v>
      </c>
      <c r="K13" s="140">
        <v>48007</v>
      </c>
      <c r="L13" s="17">
        <v>240</v>
      </c>
      <c r="M13" s="17" t="s">
        <v>35</v>
      </c>
      <c r="N13" s="59" t="s">
        <v>869</v>
      </c>
      <c r="O13" s="52" t="s">
        <v>661</v>
      </c>
      <c r="P13" s="17">
        <v>296</v>
      </c>
      <c r="Q13" s="25">
        <f t="shared" si="0"/>
        <v>-11</v>
      </c>
      <c r="R13" s="191">
        <f>307</f>
        <v>307</v>
      </c>
      <c r="S13" s="192">
        <f t="shared" si="1"/>
        <v>-11</v>
      </c>
      <c r="T13" s="193">
        <v>1018</v>
      </c>
      <c r="U13" s="193" t="s">
        <v>837</v>
      </c>
      <c r="V13" s="192">
        <f>298</f>
        <v>298</v>
      </c>
      <c r="W13" s="192">
        <f t="shared" si="2"/>
        <v>2</v>
      </c>
      <c r="X13" s="193">
        <v>42466</v>
      </c>
      <c r="Y13" s="193" t="s">
        <v>1103</v>
      </c>
      <c r="Z13" s="194">
        <f t="shared" si="3"/>
        <v>-6.7567567567567563E-3</v>
      </c>
      <c r="AA13" s="255" t="s">
        <v>1121</v>
      </c>
    </row>
    <row r="14" spans="1:27" s="16" customFormat="1" ht="51.75" customHeight="1">
      <c r="A14" s="161"/>
      <c r="B14" s="20">
        <v>46240</v>
      </c>
      <c r="C14" s="18">
        <v>46254</v>
      </c>
      <c r="D14" s="53">
        <v>46258</v>
      </c>
      <c r="E14" s="53">
        <v>46268</v>
      </c>
      <c r="F14" s="52" t="s">
        <v>23</v>
      </c>
      <c r="G14" s="252" t="s">
        <v>62</v>
      </c>
      <c r="H14" s="52" t="s">
        <v>179</v>
      </c>
      <c r="I14" s="161"/>
      <c r="J14" s="52" t="s">
        <v>18</v>
      </c>
      <c r="K14" s="140">
        <v>48007</v>
      </c>
      <c r="L14" s="17">
        <v>240</v>
      </c>
      <c r="M14" s="17" t="s">
        <v>35</v>
      </c>
      <c r="N14" s="59" t="s">
        <v>126</v>
      </c>
      <c r="O14" s="52" t="s">
        <v>661</v>
      </c>
      <c r="P14" s="17">
        <v>340</v>
      </c>
      <c r="Q14" s="25">
        <f t="shared" si="0"/>
        <v>-5</v>
      </c>
      <c r="R14" s="191">
        <f>345</f>
        <v>345</v>
      </c>
      <c r="S14" s="192">
        <f t="shared" si="1"/>
        <v>-5</v>
      </c>
      <c r="T14" s="193">
        <v>1220</v>
      </c>
      <c r="U14" s="193" t="s">
        <v>847</v>
      </c>
      <c r="V14" s="192">
        <f>3+341</f>
        <v>344</v>
      </c>
      <c r="W14" s="192">
        <f t="shared" si="2"/>
        <v>4</v>
      </c>
      <c r="X14" s="193" t="s">
        <v>1060</v>
      </c>
      <c r="Y14" s="193" t="s">
        <v>1061</v>
      </c>
      <c r="Z14" s="194">
        <f t="shared" si="3"/>
        <v>-1.1764705882352941E-2</v>
      </c>
      <c r="AA14" s="255" t="s">
        <v>1041</v>
      </c>
    </row>
    <row r="15" spans="1:27" s="16" customFormat="1" ht="76.5" customHeight="1">
      <c r="A15" s="161"/>
      <c r="B15" s="144">
        <v>46246</v>
      </c>
      <c r="C15" s="18">
        <v>46259</v>
      </c>
      <c r="D15" s="53">
        <v>46266</v>
      </c>
      <c r="E15" s="53">
        <v>46272</v>
      </c>
      <c r="F15" s="52" t="s">
        <v>23</v>
      </c>
      <c r="G15" s="252" t="s">
        <v>62</v>
      </c>
      <c r="H15" s="52" t="s">
        <v>29</v>
      </c>
      <c r="I15" s="161"/>
      <c r="J15" s="52" t="s">
        <v>18</v>
      </c>
      <c r="K15" s="140">
        <v>48061</v>
      </c>
      <c r="L15" s="17">
        <v>220</v>
      </c>
      <c r="M15" s="17" t="s">
        <v>122</v>
      </c>
      <c r="N15" s="59" t="s">
        <v>129</v>
      </c>
      <c r="O15" s="52" t="s">
        <v>55</v>
      </c>
      <c r="P15" s="17">
        <v>302</v>
      </c>
      <c r="Q15" s="25">
        <f t="shared" si="0"/>
        <v>-9</v>
      </c>
      <c r="R15" s="191">
        <f>311</f>
        <v>311</v>
      </c>
      <c r="S15" s="192">
        <f t="shared" si="1"/>
        <v>-9</v>
      </c>
      <c r="T15" s="193">
        <v>1246</v>
      </c>
      <c r="U15" s="193" t="s">
        <v>915</v>
      </c>
      <c r="V15" s="192">
        <f>9+302</f>
        <v>311</v>
      </c>
      <c r="W15" s="192">
        <f t="shared" si="2"/>
        <v>9</v>
      </c>
      <c r="X15" s="193" t="s">
        <v>1104</v>
      </c>
      <c r="Y15" s="193" t="s">
        <v>1105</v>
      </c>
      <c r="Z15" s="194">
        <f t="shared" si="3"/>
        <v>-2.9801324503311258E-2</v>
      </c>
      <c r="AA15" s="255" t="s">
        <v>1098</v>
      </c>
    </row>
    <row r="16" spans="1:27" s="16" customFormat="1" ht="51.75" customHeight="1">
      <c r="A16" s="161"/>
      <c r="B16" s="144">
        <v>46246</v>
      </c>
      <c r="C16" s="18">
        <v>46259</v>
      </c>
      <c r="D16" s="53">
        <v>46266</v>
      </c>
      <c r="E16" s="53">
        <v>46272</v>
      </c>
      <c r="F16" s="52" t="s">
        <v>23</v>
      </c>
      <c r="G16" s="252" t="s">
        <v>62</v>
      </c>
      <c r="H16" s="52" t="s">
        <v>29</v>
      </c>
      <c r="I16" s="161"/>
      <c r="J16" s="52" t="s">
        <v>18</v>
      </c>
      <c r="K16" s="140">
        <v>48061</v>
      </c>
      <c r="L16" s="17">
        <v>220</v>
      </c>
      <c r="M16" s="17" t="s">
        <v>122</v>
      </c>
      <c r="N16" s="59" t="s">
        <v>126</v>
      </c>
      <c r="O16" s="52" t="s">
        <v>55</v>
      </c>
      <c r="P16" s="17">
        <v>219</v>
      </c>
      <c r="Q16" s="25">
        <f t="shared" si="0"/>
        <v>-7</v>
      </c>
      <c r="R16" s="191">
        <f>226</f>
        <v>226</v>
      </c>
      <c r="S16" s="192">
        <f t="shared" si="1"/>
        <v>-7</v>
      </c>
      <c r="T16" s="193">
        <v>1320</v>
      </c>
      <c r="U16" s="193" t="s">
        <v>1040</v>
      </c>
      <c r="V16" s="192">
        <f>218</f>
        <v>218</v>
      </c>
      <c r="W16" s="192">
        <f t="shared" si="2"/>
        <v>-1</v>
      </c>
      <c r="X16" s="193">
        <v>42390</v>
      </c>
      <c r="Y16" s="193" t="s">
        <v>1083</v>
      </c>
      <c r="Z16" s="194">
        <f t="shared" si="3"/>
        <v>4.5662100456621002E-3</v>
      </c>
      <c r="AA16" s="255" t="s">
        <v>1045</v>
      </c>
    </row>
    <row r="17" spans="1:27" s="16" customFormat="1" ht="51.75" customHeight="1">
      <c r="A17" s="161"/>
      <c r="B17" s="144">
        <v>46246</v>
      </c>
      <c r="C17" s="18">
        <v>46260</v>
      </c>
      <c r="D17" s="53">
        <v>46266</v>
      </c>
      <c r="E17" s="53">
        <v>46273</v>
      </c>
      <c r="F17" s="52" t="s">
        <v>23</v>
      </c>
      <c r="G17" s="252" t="s">
        <v>62</v>
      </c>
      <c r="H17" s="52" t="s">
        <v>29</v>
      </c>
      <c r="I17" s="161"/>
      <c r="J17" s="52" t="s">
        <v>18</v>
      </c>
      <c r="K17" s="140">
        <v>48062</v>
      </c>
      <c r="L17" s="17">
        <v>220</v>
      </c>
      <c r="M17" s="17" t="s">
        <v>122</v>
      </c>
      <c r="N17" s="59" t="s">
        <v>129</v>
      </c>
      <c r="O17" s="52" t="s">
        <v>55</v>
      </c>
      <c r="P17" s="17">
        <v>481</v>
      </c>
      <c r="Q17" s="25">
        <f t="shared" si="0"/>
        <v>-9</v>
      </c>
      <c r="R17" s="191">
        <f>490</f>
        <v>490</v>
      </c>
      <c r="S17" s="192">
        <f t="shared" si="1"/>
        <v>-9</v>
      </c>
      <c r="T17" s="193">
        <v>1246</v>
      </c>
      <c r="U17" s="193" t="s">
        <v>915</v>
      </c>
      <c r="V17" s="192">
        <f>478</f>
        <v>478</v>
      </c>
      <c r="W17" s="192">
        <f t="shared" si="2"/>
        <v>-3</v>
      </c>
      <c r="X17" s="193">
        <v>42426</v>
      </c>
      <c r="Y17" s="193" t="s">
        <v>1102</v>
      </c>
      <c r="Z17" s="194">
        <f t="shared" si="3"/>
        <v>6.2370062370062374E-3</v>
      </c>
      <c r="AA17" s="255" t="s">
        <v>1099</v>
      </c>
    </row>
    <row r="18" spans="1:27" s="16" customFormat="1" ht="51.75" customHeight="1">
      <c r="A18" s="161"/>
      <c r="B18" s="144">
        <v>46246</v>
      </c>
      <c r="C18" s="18">
        <v>46260</v>
      </c>
      <c r="D18" s="53">
        <v>46266</v>
      </c>
      <c r="E18" s="53">
        <v>46273</v>
      </c>
      <c r="F18" s="52" t="s">
        <v>23</v>
      </c>
      <c r="G18" s="252" t="s">
        <v>62</v>
      </c>
      <c r="H18" s="52" t="s">
        <v>29</v>
      </c>
      <c r="I18" s="161"/>
      <c r="J18" s="52" t="s">
        <v>18</v>
      </c>
      <c r="K18" s="140">
        <v>48062</v>
      </c>
      <c r="L18" s="17">
        <v>220</v>
      </c>
      <c r="M18" s="17" t="s">
        <v>122</v>
      </c>
      <c r="N18" s="59" t="s">
        <v>126</v>
      </c>
      <c r="O18" s="52" t="s">
        <v>55</v>
      </c>
      <c r="P18" s="17">
        <v>399</v>
      </c>
      <c r="Q18" s="25">
        <f t="shared" si="0"/>
        <v>-6</v>
      </c>
      <c r="R18" s="191">
        <f>405</f>
        <v>405</v>
      </c>
      <c r="S18" s="192">
        <f t="shared" si="1"/>
        <v>-6</v>
      </c>
      <c r="T18" s="193">
        <v>2066</v>
      </c>
      <c r="U18" s="193" t="s">
        <v>1025</v>
      </c>
      <c r="V18" s="192">
        <f>398</f>
        <v>398</v>
      </c>
      <c r="W18" s="192">
        <f t="shared" si="2"/>
        <v>-1</v>
      </c>
      <c r="X18" s="193">
        <v>42345</v>
      </c>
      <c r="Y18" s="193" t="s">
        <v>1040</v>
      </c>
      <c r="Z18" s="194">
        <f t="shared" si="3"/>
        <v>2.5062656641604009E-3</v>
      </c>
      <c r="AA18" s="255" t="s">
        <v>1029</v>
      </c>
    </row>
    <row r="19" spans="1:27" s="16" customFormat="1" ht="51.75" customHeight="1">
      <c r="A19" s="161"/>
      <c r="B19" s="144">
        <v>46248</v>
      </c>
      <c r="C19" s="18">
        <v>46262</v>
      </c>
      <c r="D19" s="53">
        <v>46266</v>
      </c>
      <c r="E19" s="53">
        <v>46275</v>
      </c>
      <c r="F19" s="52" t="s">
        <v>25</v>
      </c>
      <c r="G19" s="252" t="s">
        <v>62</v>
      </c>
      <c r="H19" s="52" t="s">
        <v>179</v>
      </c>
      <c r="I19" s="161"/>
      <c r="J19" s="52" t="s">
        <v>18</v>
      </c>
      <c r="K19" s="140">
        <v>48008</v>
      </c>
      <c r="L19" s="17">
        <v>240</v>
      </c>
      <c r="M19" s="17" t="s">
        <v>35</v>
      </c>
      <c r="N19" s="59" t="s">
        <v>869</v>
      </c>
      <c r="O19" s="52" t="s">
        <v>661</v>
      </c>
      <c r="P19" s="17">
        <v>212</v>
      </c>
      <c r="Q19" s="25">
        <f t="shared" si="0"/>
        <v>-14</v>
      </c>
      <c r="R19" s="191">
        <f>226</f>
        <v>226</v>
      </c>
      <c r="S19" s="192">
        <f t="shared" si="1"/>
        <v>-14</v>
      </c>
      <c r="T19" s="193">
        <v>1018</v>
      </c>
      <c r="U19" s="193" t="s">
        <v>837</v>
      </c>
      <c r="V19" s="192">
        <f>227</f>
        <v>227</v>
      </c>
      <c r="W19" s="192">
        <f t="shared" si="2"/>
        <v>15</v>
      </c>
      <c r="X19" s="193">
        <v>42466</v>
      </c>
      <c r="Y19" s="193" t="s">
        <v>1103</v>
      </c>
      <c r="Z19" s="194">
        <f t="shared" si="3"/>
        <v>-7.0754716981132074E-2</v>
      </c>
      <c r="AA19" s="255" t="s">
        <v>1122</v>
      </c>
    </row>
    <row r="20" spans="1:27" s="16" customFormat="1" ht="51.75" customHeight="1">
      <c r="A20" s="161"/>
      <c r="B20" s="144">
        <v>46248</v>
      </c>
      <c r="C20" s="18">
        <v>46262</v>
      </c>
      <c r="D20" s="53">
        <v>46266</v>
      </c>
      <c r="E20" s="20">
        <v>46275</v>
      </c>
      <c r="F20" s="56" t="s">
        <v>23</v>
      </c>
      <c r="G20" s="252" t="s">
        <v>62</v>
      </c>
      <c r="H20" s="56" t="s">
        <v>179</v>
      </c>
      <c r="I20" s="161"/>
      <c r="J20" s="56" t="s">
        <v>18</v>
      </c>
      <c r="K20" s="140">
        <v>48008</v>
      </c>
      <c r="L20" s="17">
        <v>240</v>
      </c>
      <c r="M20" s="17" t="s">
        <v>35</v>
      </c>
      <c r="N20" s="249" t="s">
        <v>126</v>
      </c>
      <c r="O20" s="52" t="s">
        <v>661</v>
      </c>
      <c r="P20" s="17">
        <v>265</v>
      </c>
      <c r="Q20" s="25">
        <f t="shared" si="0"/>
        <v>21</v>
      </c>
      <c r="R20" s="191">
        <f>135+109</f>
        <v>244</v>
      </c>
      <c r="S20" s="195">
        <f t="shared" si="1"/>
        <v>21</v>
      </c>
      <c r="T20" s="193" t="s">
        <v>1030</v>
      </c>
      <c r="U20" s="193" t="s">
        <v>1031</v>
      </c>
      <c r="V20" s="192">
        <f>134+113</f>
        <v>247</v>
      </c>
      <c r="W20" s="195">
        <f t="shared" si="2"/>
        <v>-18</v>
      </c>
      <c r="X20" s="193">
        <v>42350</v>
      </c>
      <c r="Y20" s="193" t="s">
        <v>1046</v>
      </c>
      <c r="Z20" s="226">
        <f t="shared" si="3"/>
        <v>6.7924528301886791E-2</v>
      </c>
      <c r="AA20" s="255" t="s">
        <v>1033</v>
      </c>
    </row>
    <row r="21" spans="1:27" s="16" customFormat="1" ht="56.25" customHeight="1">
      <c r="A21" s="161"/>
      <c r="B21" s="20">
        <v>46244</v>
      </c>
      <c r="C21" s="18">
        <v>46258</v>
      </c>
      <c r="D21" s="53">
        <v>46258</v>
      </c>
      <c r="E21" s="53">
        <v>46270</v>
      </c>
      <c r="F21" s="52" t="s">
        <v>23</v>
      </c>
      <c r="G21" s="252" t="s">
        <v>105</v>
      </c>
      <c r="H21" s="52" t="s">
        <v>743</v>
      </c>
      <c r="I21" s="161"/>
      <c r="J21" s="52" t="s">
        <v>162</v>
      </c>
      <c r="K21" s="141">
        <v>48206</v>
      </c>
      <c r="L21" s="17">
        <v>190</v>
      </c>
      <c r="M21" s="17" t="s">
        <v>26</v>
      </c>
      <c r="N21" s="59" t="s">
        <v>874</v>
      </c>
      <c r="O21" s="52" t="s">
        <v>71</v>
      </c>
      <c r="P21" s="17">
        <v>382</v>
      </c>
      <c r="Q21" s="25">
        <f t="shared" si="0"/>
        <v>-10</v>
      </c>
      <c r="R21" s="191">
        <f>392</f>
        <v>392</v>
      </c>
      <c r="S21" s="192">
        <f t="shared" si="1"/>
        <v>-10</v>
      </c>
      <c r="T21" s="193">
        <v>2071</v>
      </c>
      <c r="U21" s="193" t="s">
        <v>1040</v>
      </c>
      <c r="V21" s="192">
        <f>388</f>
        <v>388</v>
      </c>
      <c r="W21" s="192">
        <f t="shared" si="2"/>
        <v>6</v>
      </c>
      <c r="X21" s="193">
        <v>1967</v>
      </c>
      <c r="Y21" s="193" t="s">
        <v>1064</v>
      </c>
      <c r="Z21" s="194">
        <f t="shared" si="3"/>
        <v>-1.5706806282722516E-2</v>
      </c>
      <c r="AA21" s="255" t="s">
        <v>1054</v>
      </c>
    </row>
    <row r="22" spans="1:27" s="16" customFormat="1" ht="57" customHeight="1">
      <c r="A22" s="161"/>
      <c r="B22" s="20">
        <v>46244</v>
      </c>
      <c r="C22" s="18">
        <v>46258</v>
      </c>
      <c r="D22" s="53">
        <v>46258</v>
      </c>
      <c r="E22" s="53">
        <v>46270</v>
      </c>
      <c r="F22" s="52" t="s">
        <v>23</v>
      </c>
      <c r="G22" s="252" t="s">
        <v>105</v>
      </c>
      <c r="H22" s="52" t="s">
        <v>743</v>
      </c>
      <c r="I22" s="161"/>
      <c r="J22" s="52" t="s">
        <v>162</v>
      </c>
      <c r="K22" s="141">
        <v>48206</v>
      </c>
      <c r="L22" s="17">
        <v>190</v>
      </c>
      <c r="M22" s="17" t="s">
        <v>26</v>
      </c>
      <c r="N22" s="59" t="s">
        <v>875</v>
      </c>
      <c r="O22" s="52" t="s">
        <v>71</v>
      </c>
      <c r="P22" s="17">
        <v>554</v>
      </c>
      <c r="Q22" s="25">
        <f t="shared" si="0"/>
        <v>-6</v>
      </c>
      <c r="R22" s="191">
        <f>560</f>
        <v>560</v>
      </c>
      <c r="S22" s="192">
        <f t="shared" si="1"/>
        <v>-6</v>
      </c>
      <c r="T22" s="193">
        <v>1241</v>
      </c>
      <c r="U22" s="193" t="s">
        <v>917</v>
      </c>
      <c r="V22" s="192">
        <f>561</f>
        <v>561</v>
      </c>
      <c r="W22" s="192">
        <f t="shared" si="2"/>
        <v>7</v>
      </c>
      <c r="X22" s="193">
        <v>1953</v>
      </c>
      <c r="Y22" s="193" t="s">
        <v>1018</v>
      </c>
      <c r="Z22" s="194">
        <f t="shared" si="3"/>
        <v>-1.263537906137184E-2</v>
      </c>
      <c r="AA22" s="255" t="s">
        <v>932</v>
      </c>
    </row>
    <row r="23" spans="1:27" s="16" customFormat="1" ht="51.75" customHeight="1">
      <c r="A23" s="161"/>
      <c r="B23" s="20">
        <v>46244</v>
      </c>
      <c r="C23" s="18">
        <v>46258</v>
      </c>
      <c r="D23" s="53">
        <v>46258</v>
      </c>
      <c r="E23" s="53">
        <v>46270</v>
      </c>
      <c r="F23" s="52" t="s">
        <v>23</v>
      </c>
      <c r="G23" s="252" t="s">
        <v>105</v>
      </c>
      <c r="H23" s="52" t="s">
        <v>743</v>
      </c>
      <c r="I23" s="161"/>
      <c r="J23" s="52" t="s">
        <v>162</v>
      </c>
      <c r="K23" s="141">
        <v>48206</v>
      </c>
      <c r="L23" s="17">
        <v>190</v>
      </c>
      <c r="M23" s="17" t="s">
        <v>26</v>
      </c>
      <c r="N23" s="59" t="s">
        <v>876</v>
      </c>
      <c r="O23" s="52" t="s">
        <v>71</v>
      </c>
      <c r="P23" s="17">
        <v>701</v>
      </c>
      <c r="Q23" s="25">
        <f t="shared" si="0"/>
        <v>-3</v>
      </c>
      <c r="R23" s="191">
        <f>704</f>
        <v>704</v>
      </c>
      <c r="S23" s="192">
        <f t="shared" si="1"/>
        <v>-3</v>
      </c>
      <c r="T23" s="193">
        <v>1241</v>
      </c>
      <c r="U23" s="193" t="s">
        <v>917</v>
      </c>
      <c r="V23" s="192">
        <f>690</f>
        <v>690</v>
      </c>
      <c r="W23" s="192">
        <f t="shared" si="2"/>
        <v>-11</v>
      </c>
      <c r="X23" s="193">
        <v>1953</v>
      </c>
      <c r="Y23" s="193" t="s">
        <v>1018</v>
      </c>
      <c r="Z23" s="194">
        <f t="shared" si="3"/>
        <v>1.5691868758915834E-2</v>
      </c>
      <c r="AA23" s="255" t="s">
        <v>928</v>
      </c>
    </row>
    <row r="24" spans="1:27" s="16" customFormat="1" ht="67.5" customHeight="1">
      <c r="A24" s="161"/>
      <c r="B24" s="20">
        <v>46244</v>
      </c>
      <c r="C24" s="18">
        <v>46258</v>
      </c>
      <c r="D24" s="53">
        <v>46258</v>
      </c>
      <c r="E24" s="53">
        <v>46270</v>
      </c>
      <c r="F24" s="52" t="s">
        <v>23</v>
      </c>
      <c r="G24" s="252" t="s">
        <v>105</v>
      </c>
      <c r="H24" s="52" t="s">
        <v>743</v>
      </c>
      <c r="I24" s="161"/>
      <c r="J24" s="52" t="s">
        <v>162</v>
      </c>
      <c r="K24" s="141">
        <v>48206</v>
      </c>
      <c r="L24" s="17">
        <v>190</v>
      </c>
      <c r="M24" s="17" t="s">
        <v>26</v>
      </c>
      <c r="N24" s="59" t="s">
        <v>328</v>
      </c>
      <c r="O24" s="52" t="s">
        <v>71</v>
      </c>
      <c r="P24" s="17">
        <v>616</v>
      </c>
      <c r="Q24" s="25">
        <f t="shared" si="0"/>
        <v>-12</v>
      </c>
      <c r="R24" s="191">
        <f>628</f>
        <v>628</v>
      </c>
      <c r="S24" s="192">
        <f t="shared" si="1"/>
        <v>-12</v>
      </c>
      <c r="T24" s="193">
        <v>1312</v>
      </c>
      <c r="U24" s="193" t="s">
        <v>1000</v>
      </c>
      <c r="V24" s="192">
        <f>609</f>
        <v>609</v>
      </c>
      <c r="W24" s="192">
        <f t="shared" si="2"/>
        <v>-7</v>
      </c>
      <c r="X24" s="193">
        <v>1917</v>
      </c>
      <c r="Y24" s="193" t="s">
        <v>1025</v>
      </c>
      <c r="Z24" s="194">
        <f t="shared" si="3"/>
        <v>1.1363636363636364E-2</v>
      </c>
      <c r="AA24" s="255" t="s">
        <v>1002</v>
      </c>
    </row>
    <row r="25" spans="1:27" s="16" customFormat="1" ht="71.25" customHeight="1">
      <c r="A25" s="161"/>
      <c r="B25" s="20">
        <v>46244</v>
      </c>
      <c r="C25" s="18">
        <v>46258</v>
      </c>
      <c r="D25" s="53">
        <v>46258</v>
      </c>
      <c r="E25" s="53">
        <v>46270</v>
      </c>
      <c r="F25" s="52" t="s">
        <v>23</v>
      </c>
      <c r="G25" s="252" t="s">
        <v>105</v>
      </c>
      <c r="H25" s="52" t="s">
        <v>743</v>
      </c>
      <c r="I25" s="161"/>
      <c r="J25" s="52" t="s">
        <v>162</v>
      </c>
      <c r="K25" s="141">
        <v>48206</v>
      </c>
      <c r="L25" s="17">
        <v>190</v>
      </c>
      <c r="M25" s="17" t="s">
        <v>26</v>
      </c>
      <c r="N25" s="59" t="s">
        <v>1067</v>
      </c>
      <c r="O25" s="52" t="s">
        <v>71</v>
      </c>
      <c r="P25" s="17">
        <v>477</v>
      </c>
      <c r="Q25" s="25">
        <f t="shared" si="0"/>
        <v>-6</v>
      </c>
      <c r="R25" s="191">
        <f>483</f>
        <v>483</v>
      </c>
      <c r="S25" s="192">
        <f t="shared" si="1"/>
        <v>-6</v>
      </c>
      <c r="T25" s="193">
        <v>1312</v>
      </c>
      <c r="U25" s="193" t="s">
        <v>1000</v>
      </c>
      <c r="V25" s="192">
        <f>468</f>
        <v>468</v>
      </c>
      <c r="W25" s="192">
        <f t="shared" si="2"/>
        <v>-9</v>
      </c>
      <c r="X25" s="193">
        <v>1924</v>
      </c>
      <c r="Y25" s="193" t="s">
        <v>1040</v>
      </c>
      <c r="Z25" s="194">
        <f t="shared" si="3"/>
        <v>1.8867924528301886E-2</v>
      </c>
      <c r="AA25" s="255" t="s">
        <v>1011</v>
      </c>
    </row>
    <row r="26" spans="1:27" s="16" customFormat="1" ht="51.75" customHeight="1">
      <c r="A26" s="161"/>
      <c r="B26" s="20">
        <v>46244</v>
      </c>
      <c r="C26" s="18">
        <v>46258</v>
      </c>
      <c r="D26" s="53">
        <v>46258</v>
      </c>
      <c r="E26" s="53">
        <v>46270</v>
      </c>
      <c r="F26" s="52" t="s">
        <v>23</v>
      </c>
      <c r="G26" s="252" t="s">
        <v>105</v>
      </c>
      <c r="H26" s="52" t="s">
        <v>743</v>
      </c>
      <c r="I26" s="161"/>
      <c r="J26" s="52" t="s">
        <v>162</v>
      </c>
      <c r="K26" s="141">
        <v>48206</v>
      </c>
      <c r="L26" s="17">
        <v>190</v>
      </c>
      <c r="M26" s="17" t="s">
        <v>26</v>
      </c>
      <c r="N26" s="59" t="s">
        <v>877</v>
      </c>
      <c r="O26" s="52" t="s">
        <v>71</v>
      </c>
      <c r="P26" s="17">
        <v>241</v>
      </c>
      <c r="Q26" s="25">
        <f t="shared" si="0"/>
        <v>0</v>
      </c>
      <c r="R26" s="191">
        <f>241</f>
        <v>241</v>
      </c>
      <c r="S26" s="192">
        <f t="shared" si="1"/>
        <v>0</v>
      </c>
      <c r="T26" s="193">
        <v>3161</v>
      </c>
      <c r="U26" s="193" t="s">
        <v>1172</v>
      </c>
      <c r="V26" s="192">
        <f>246</f>
        <v>246</v>
      </c>
      <c r="W26" s="192">
        <f t="shared" si="2"/>
        <v>5</v>
      </c>
      <c r="X26" s="193">
        <v>2176</v>
      </c>
      <c r="Y26" s="193" t="s">
        <v>1227</v>
      </c>
      <c r="Z26" s="194">
        <f t="shared" si="3"/>
        <v>-2.0746887966804982E-2</v>
      </c>
      <c r="AA26" s="255" t="s">
        <v>1206</v>
      </c>
    </row>
    <row r="27" spans="1:27" s="16" customFormat="1" ht="99" customHeight="1">
      <c r="A27" s="161"/>
      <c r="B27" s="20">
        <v>46244</v>
      </c>
      <c r="C27" s="18">
        <v>46256</v>
      </c>
      <c r="D27" s="53">
        <v>46258</v>
      </c>
      <c r="E27" s="53">
        <v>46270</v>
      </c>
      <c r="F27" s="52" t="s">
        <v>23</v>
      </c>
      <c r="G27" s="252" t="s">
        <v>105</v>
      </c>
      <c r="H27" s="52" t="s">
        <v>32</v>
      </c>
      <c r="I27" s="161"/>
      <c r="J27" s="52" t="s">
        <v>34</v>
      </c>
      <c r="K27" s="57">
        <v>47830</v>
      </c>
      <c r="L27" s="17">
        <v>260</v>
      </c>
      <c r="M27" s="17" t="s">
        <v>56</v>
      </c>
      <c r="N27" s="59" t="s">
        <v>878</v>
      </c>
      <c r="O27" s="52" t="s">
        <v>146</v>
      </c>
      <c r="P27" s="17">
        <v>409</v>
      </c>
      <c r="Q27" s="25">
        <f t="shared" si="0"/>
        <v>-13</v>
      </c>
      <c r="R27" s="191">
        <f>422</f>
        <v>422</v>
      </c>
      <c r="S27" s="192">
        <f t="shared" si="1"/>
        <v>-13</v>
      </c>
      <c r="T27" s="193">
        <v>1312</v>
      </c>
      <c r="U27" s="193" t="s">
        <v>1000</v>
      </c>
      <c r="V27" s="192">
        <f>410</f>
        <v>410</v>
      </c>
      <c r="W27" s="192">
        <f t="shared" si="2"/>
        <v>1</v>
      </c>
      <c r="X27" s="193">
        <v>1917</v>
      </c>
      <c r="Y27" s="193" t="s">
        <v>1025</v>
      </c>
      <c r="Z27" s="194">
        <f t="shared" si="3"/>
        <v>-2.4449877750611247E-3</v>
      </c>
      <c r="AA27" s="255" t="s">
        <v>1017</v>
      </c>
    </row>
    <row r="28" spans="1:27" s="16" customFormat="1" ht="51.75" customHeight="1">
      <c r="A28" s="161"/>
      <c r="B28" s="20">
        <v>46245</v>
      </c>
      <c r="C28" s="18">
        <v>46256</v>
      </c>
      <c r="D28" s="53">
        <v>46258</v>
      </c>
      <c r="E28" s="53">
        <v>46269</v>
      </c>
      <c r="F28" s="52" t="s">
        <v>23</v>
      </c>
      <c r="G28" s="252" t="s">
        <v>105</v>
      </c>
      <c r="H28" s="52" t="s">
        <v>32</v>
      </c>
      <c r="I28" s="161"/>
      <c r="J28" s="52" t="s">
        <v>34</v>
      </c>
      <c r="K28" s="57">
        <v>47803</v>
      </c>
      <c r="L28" s="17">
        <v>160</v>
      </c>
      <c r="M28" s="17" t="s">
        <v>868</v>
      </c>
      <c r="N28" s="59" t="s">
        <v>113</v>
      </c>
      <c r="O28" s="52" t="s">
        <v>879</v>
      </c>
      <c r="P28" s="17">
        <v>963</v>
      </c>
      <c r="Q28" s="25">
        <f t="shared" si="0"/>
        <v>11</v>
      </c>
      <c r="R28" s="191">
        <f>649+303</f>
        <v>952</v>
      </c>
      <c r="S28" s="192">
        <f t="shared" si="1"/>
        <v>11</v>
      </c>
      <c r="T28" s="193">
        <v>1213</v>
      </c>
      <c r="U28" s="193" t="s">
        <v>831</v>
      </c>
      <c r="V28" s="192">
        <f>645+297</f>
        <v>942</v>
      </c>
      <c r="W28" s="192">
        <f t="shared" si="2"/>
        <v>-21</v>
      </c>
      <c r="X28" s="193" t="s">
        <v>918</v>
      </c>
      <c r="Y28" s="193" t="s">
        <v>919</v>
      </c>
      <c r="Z28" s="194">
        <f t="shared" si="3"/>
        <v>2.1806853582554516E-2</v>
      </c>
      <c r="AA28" s="255" t="s">
        <v>945</v>
      </c>
    </row>
    <row r="29" spans="1:27" s="16" customFormat="1" ht="51.75" customHeight="1">
      <c r="A29" s="161"/>
      <c r="B29" s="20">
        <v>46245</v>
      </c>
      <c r="C29" s="18">
        <v>46256</v>
      </c>
      <c r="D29" s="53">
        <v>46258</v>
      </c>
      <c r="E29" s="53">
        <v>46267</v>
      </c>
      <c r="F29" s="52" t="s">
        <v>23</v>
      </c>
      <c r="G29" s="252" t="s">
        <v>105</v>
      </c>
      <c r="H29" s="52" t="s">
        <v>32</v>
      </c>
      <c r="I29" s="161"/>
      <c r="J29" s="52" t="s">
        <v>34</v>
      </c>
      <c r="K29" s="57">
        <v>47805</v>
      </c>
      <c r="L29" s="17">
        <v>160</v>
      </c>
      <c r="M29" s="17" t="s">
        <v>868</v>
      </c>
      <c r="N29" s="59" t="s">
        <v>113</v>
      </c>
      <c r="O29" s="52" t="s">
        <v>879</v>
      </c>
      <c r="P29" s="17">
        <v>780</v>
      </c>
      <c r="Q29" s="25">
        <f t="shared" si="0"/>
        <v>-8</v>
      </c>
      <c r="R29" s="191">
        <f>665+123</f>
        <v>788</v>
      </c>
      <c r="S29" s="192">
        <f t="shared" si="1"/>
        <v>-8</v>
      </c>
      <c r="T29" s="193">
        <v>1210</v>
      </c>
      <c r="U29" s="193" t="s">
        <v>824</v>
      </c>
      <c r="V29" s="192">
        <f>665+123</f>
        <v>788</v>
      </c>
      <c r="W29" s="192">
        <f t="shared" si="2"/>
        <v>8</v>
      </c>
      <c r="X29" s="193">
        <v>1783</v>
      </c>
      <c r="Y29" s="193" t="s">
        <v>915</v>
      </c>
      <c r="Z29" s="194">
        <f t="shared" si="3"/>
        <v>-1.0256410256410255E-2</v>
      </c>
      <c r="AA29" s="255" t="s">
        <v>944</v>
      </c>
    </row>
    <row r="30" spans="1:27" s="16" customFormat="1" ht="51.75" customHeight="1">
      <c r="A30" s="161"/>
      <c r="B30" s="144">
        <v>46254</v>
      </c>
      <c r="C30" s="118">
        <v>46268</v>
      </c>
      <c r="D30" s="224">
        <v>46268</v>
      </c>
      <c r="E30" s="224">
        <v>46274</v>
      </c>
      <c r="F30" s="52" t="s">
        <v>23</v>
      </c>
      <c r="G30" s="253" t="s">
        <v>99</v>
      </c>
      <c r="H30" s="52" t="s">
        <v>926</v>
      </c>
      <c r="I30" s="161"/>
      <c r="J30" s="52" t="s">
        <v>444</v>
      </c>
      <c r="K30" s="244">
        <v>48552</v>
      </c>
      <c r="L30" s="17">
        <v>180</v>
      </c>
      <c r="M30" s="17" t="s">
        <v>42</v>
      </c>
      <c r="N30" s="59" t="s">
        <v>1069</v>
      </c>
      <c r="O30"/>
      <c r="P30" s="17">
        <v>869</v>
      </c>
      <c r="Q30" s="25">
        <f t="shared" si="0"/>
        <v>-11</v>
      </c>
      <c r="R30" s="191">
        <f>394+486</f>
        <v>880</v>
      </c>
      <c r="S30" s="192">
        <f t="shared" si="1"/>
        <v>-11</v>
      </c>
      <c r="T30" s="193">
        <v>3119</v>
      </c>
      <c r="U30" s="193" t="s">
        <v>1172</v>
      </c>
      <c r="V30" s="192">
        <f>405+472</f>
        <v>877</v>
      </c>
      <c r="W30" s="192">
        <f t="shared" si="2"/>
        <v>8</v>
      </c>
      <c r="X30" s="193">
        <v>225597</v>
      </c>
      <c r="Y30" s="193" t="s">
        <v>1254</v>
      </c>
      <c r="Z30" s="194">
        <f t="shared" si="3"/>
        <v>-9.2059838895281933E-3</v>
      </c>
      <c r="AA30" s="255" t="s">
        <v>1209</v>
      </c>
    </row>
    <row r="31" spans="1:27" s="16" customFormat="1" ht="51.75" customHeight="1">
      <c r="A31" s="161"/>
      <c r="B31" s="144">
        <v>46254</v>
      </c>
      <c r="C31" s="118">
        <v>46268</v>
      </c>
      <c r="D31" s="224">
        <v>46268</v>
      </c>
      <c r="E31" s="224">
        <v>46274</v>
      </c>
      <c r="F31" s="52" t="s">
        <v>23</v>
      </c>
      <c r="G31" s="253" t="s">
        <v>99</v>
      </c>
      <c r="H31" s="52" t="s">
        <v>926</v>
      </c>
      <c r="I31" s="161"/>
      <c r="J31" s="52" t="s">
        <v>444</v>
      </c>
      <c r="K31" s="244">
        <v>48552</v>
      </c>
      <c r="L31" s="17">
        <v>180</v>
      </c>
      <c r="M31" s="17" t="s">
        <v>60</v>
      </c>
      <c r="N31" s="59" t="s">
        <v>46</v>
      </c>
      <c r="O31" s="52" t="s">
        <v>52</v>
      </c>
      <c r="P31" s="17">
        <v>198</v>
      </c>
      <c r="Q31" s="25">
        <f t="shared" si="0"/>
        <v>-3</v>
      </c>
      <c r="R31" s="191">
        <f>201</f>
        <v>201</v>
      </c>
      <c r="S31" s="192">
        <f t="shared" si="1"/>
        <v>-3</v>
      </c>
      <c r="T31" s="193">
        <v>3119</v>
      </c>
      <c r="U31" s="193" t="s">
        <v>1172</v>
      </c>
      <c r="V31" s="192">
        <f>177+16</f>
        <v>193</v>
      </c>
      <c r="W31" s="192">
        <f t="shared" si="2"/>
        <v>-5</v>
      </c>
      <c r="X31" s="193" t="s">
        <v>1295</v>
      </c>
      <c r="Y31" s="193" t="s">
        <v>1296</v>
      </c>
      <c r="Z31" s="194">
        <f t="shared" si="3"/>
        <v>2.5252525252525252E-2</v>
      </c>
      <c r="AA31" s="255" t="s">
        <v>1210</v>
      </c>
    </row>
    <row r="32" spans="1:27" s="16" customFormat="1" ht="51.75" customHeight="1">
      <c r="A32" s="161"/>
      <c r="B32" s="144">
        <v>46256</v>
      </c>
      <c r="C32" s="118">
        <v>46266</v>
      </c>
      <c r="D32" s="224">
        <v>46267</v>
      </c>
      <c r="E32" s="224">
        <v>46273</v>
      </c>
      <c r="F32" s="52" t="s">
        <v>23</v>
      </c>
      <c r="G32" s="253" t="s">
        <v>99</v>
      </c>
      <c r="H32" s="52" t="s">
        <v>926</v>
      </c>
      <c r="I32"/>
      <c r="J32" s="52" t="s">
        <v>444</v>
      </c>
      <c r="K32" s="244" t="s">
        <v>1068</v>
      </c>
      <c r="L32" s="17">
        <v>180</v>
      </c>
      <c r="M32" s="17" t="s">
        <v>42</v>
      </c>
      <c r="N32" s="59" t="s">
        <v>46</v>
      </c>
      <c r="O32" s="52" t="s">
        <v>52</v>
      </c>
      <c r="P32" s="17">
        <v>414</v>
      </c>
      <c r="Q32" s="25">
        <f t="shared" si="0"/>
        <v>-7</v>
      </c>
      <c r="R32" s="191">
        <f>421</f>
        <v>421</v>
      </c>
      <c r="S32" s="192">
        <f t="shared" si="1"/>
        <v>-7</v>
      </c>
      <c r="T32" s="193">
        <v>3112</v>
      </c>
      <c r="U32" s="193" t="s">
        <v>1172</v>
      </c>
      <c r="V32" s="192">
        <f>393</f>
        <v>393</v>
      </c>
      <c r="W32" s="192">
        <f t="shared" si="2"/>
        <v>-21</v>
      </c>
      <c r="X32" s="193">
        <v>225764</v>
      </c>
      <c r="Y32" s="193" t="s">
        <v>1294</v>
      </c>
      <c r="Z32" s="194">
        <f t="shared" si="3"/>
        <v>5.0724637681159424E-2</v>
      </c>
      <c r="AA32" s="255" t="s">
        <v>1211</v>
      </c>
    </row>
    <row r="33" spans="1:27" s="16" customFormat="1" ht="73.5" customHeight="1">
      <c r="A33" s="161"/>
      <c r="B33" s="144">
        <v>46256</v>
      </c>
      <c r="C33" s="118">
        <v>46266</v>
      </c>
      <c r="D33" s="224">
        <v>46267</v>
      </c>
      <c r="E33" s="224">
        <v>46273</v>
      </c>
      <c r="F33" s="17" t="s">
        <v>23</v>
      </c>
      <c r="G33" s="253" t="s">
        <v>99</v>
      </c>
      <c r="H33" s="52" t="s">
        <v>926</v>
      </c>
      <c r="I33"/>
      <c r="J33" s="52" t="s">
        <v>444</v>
      </c>
      <c r="K33" s="244" t="s">
        <v>1068</v>
      </c>
      <c r="L33" s="17">
        <v>180</v>
      </c>
      <c r="M33" s="17" t="s">
        <v>42</v>
      </c>
      <c r="N33" s="59" t="s">
        <v>1138</v>
      </c>
      <c r="O33" s="52" t="s">
        <v>52</v>
      </c>
      <c r="P33" s="17">
        <f>191-10</f>
        <v>181</v>
      </c>
      <c r="Q33" s="25">
        <f t="shared" ref="Q33:Q38" si="4">P33-R33</f>
        <v>-5</v>
      </c>
      <c r="R33" s="191">
        <f>186</f>
        <v>186</v>
      </c>
      <c r="S33" s="192">
        <f t="shared" ref="S33:S38" si="5">P33-R33</f>
        <v>-5</v>
      </c>
      <c r="T33" s="193">
        <v>3123</v>
      </c>
      <c r="U33" s="193" t="s">
        <v>1200</v>
      </c>
      <c r="V33" s="192">
        <f>188</f>
        <v>188</v>
      </c>
      <c r="W33" s="192">
        <f t="shared" ref="W33:W38" si="6">+V33-P33</f>
        <v>7</v>
      </c>
      <c r="X33" s="193">
        <v>225523</v>
      </c>
      <c r="Y33" s="193" t="s">
        <v>1253</v>
      </c>
      <c r="Z33" s="194">
        <f t="shared" ref="Z33:Z38" si="7">(P33-V33)*100/P33/100</f>
        <v>-3.8674033149171269E-2</v>
      </c>
      <c r="AA33" s="255" t="s">
        <v>1185</v>
      </c>
    </row>
    <row r="34" spans="1:27" s="16" customFormat="1" ht="51.75" customHeight="1">
      <c r="A34" s="161"/>
      <c r="B34" s="21"/>
      <c r="C34" s="21"/>
      <c r="D34" s="21"/>
      <c r="E34" s="21"/>
      <c r="F34" s="43"/>
      <c r="G34" s="252"/>
      <c r="H34" s="44"/>
      <c r="I34" s="161"/>
      <c r="J34" s="162"/>
      <c r="K34" s="162"/>
      <c r="L34" s="45"/>
      <c r="M34" s="45"/>
      <c r="N34" s="45"/>
      <c r="O34" s="45"/>
      <c r="P34" s="45">
        <v>0</v>
      </c>
      <c r="Q34" s="25">
        <f t="shared" si="4"/>
        <v>0</v>
      </c>
      <c r="R34" s="191">
        <v>0</v>
      </c>
      <c r="S34" s="192">
        <f t="shared" si="5"/>
        <v>0</v>
      </c>
      <c r="T34" s="193"/>
      <c r="U34" s="193"/>
      <c r="V34" s="192">
        <v>0</v>
      </c>
      <c r="W34" s="192">
        <f t="shared" si="6"/>
        <v>0</v>
      </c>
      <c r="X34" s="193"/>
      <c r="Y34" s="193"/>
      <c r="Z34" s="194" t="e">
        <f t="shared" si="7"/>
        <v>#DIV/0!</v>
      </c>
      <c r="AA34" s="255"/>
    </row>
    <row r="35" spans="1:27" s="16" customFormat="1" ht="51.75" hidden="1" customHeight="1">
      <c r="A35" s="161"/>
      <c r="B35" s="21"/>
      <c r="C35" s="21"/>
      <c r="D35" s="21"/>
      <c r="E35" s="21"/>
      <c r="F35" s="43"/>
      <c r="G35" s="252"/>
      <c r="H35" s="44"/>
      <c r="I35" s="161"/>
      <c r="J35" s="162"/>
      <c r="K35" s="162"/>
      <c r="L35" s="45"/>
      <c r="M35" s="45"/>
      <c r="N35" s="45"/>
      <c r="O35" s="45"/>
      <c r="P35" s="45">
        <v>0</v>
      </c>
      <c r="Q35" s="25">
        <f t="shared" si="4"/>
        <v>0</v>
      </c>
      <c r="R35" s="191">
        <v>0</v>
      </c>
      <c r="S35" s="192">
        <f t="shared" si="5"/>
        <v>0</v>
      </c>
      <c r="T35" s="193"/>
      <c r="U35" s="193"/>
      <c r="V35" s="192">
        <v>0</v>
      </c>
      <c r="W35" s="192">
        <f t="shared" si="6"/>
        <v>0</v>
      </c>
      <c r="X35" s="193"/>
      <c r="Y35" s="193"/>
      <c r="Z35" s="194" t="e">
        <f t="shared" si="7"/>
        <v>#DIV/0!</v>
      </c>
      <c r="AA35" s="255"/>
    </row>
    <row r="36" spans="1:27" s="16" customFormat="1" ht="51.75" hidden="1" customHeight="1">
      <c r="A36" s="161"/>
      <c r="B36" s="21"/>
      <c r="C36" s="21"/>
      <c r="D36" s="21"/>
      <c r="E36" s="21"/>
      <c r="F36" s="43"/>
      <c r="G36" s="252"/>
      <c r="H36" s="44"/>
      <c r="I36" s="161"/>
      <c r="J36" s="162"/>
      <c r="K36" s="162"/>
      <c r="L36" s="45"/>
      <c r="M36" s="45"/>
      <c r="N36" s="45"/>
      <c r="O36" s="45"/>
      <c r="P36" s="45">
        <v>0</v>
      </c>
      <c r="Q36" s="25">
        <f t="shared" si="4"/>
        <v>0</v>
      </c>
      <c r="R36" s="191">
        <v>0</v>
      </c>
      <c r="S36" s="192">
        <f t="shared" si="5"/>
        <v>0</v>
      </c>
      <c r="T36" s="193"/>
      <c r="U36" s="193"/>
      <c r="V36" s="192">
        <v>0</v>
      </c>
      <c r="W36" s="192">
        <f t="shared" si="6"/>
        <v>0</v>
      </c>
      <c r="X36" s="193"/>
      <c r="Y36" s="193"/>
      <c r="Z36" s="194" t="e">
        <f t="shared" si="7"/>
        <v>#DIV/0!</v>
      </c>
      <c r="AA36" s="255"/>
    </row>
    <row r="37" spans="1:27" s="16" customFormat="1" ht="51.75" hidden="1" customHeight="1">
      <c r="A37" s="161"/>
      <c r="B37" s="21"/>
      <c r="C37" s="21"/>
      <c r="D37" s="21"/>
      <c r="E37" s="21"/>
      <c r="F37" s="43"/>
      <c r="G37" s="252"/>
      <c r="H37" s="44"/>
      <c r="I37" s="161"/>
      <c r="J37" s="162"/>
      <c r="K37" s="162"/>
      <c r="L37" s="45"/>
      <c r="M37" s="45"/>
      <c r="N37" s="45"/>
      <c r="O37" s="45"/>
      <c r="P37" s="45">
        <v>0</v>
      </c>
      <c r="Q37" s="25">
        <f t="shared" si="4"/>
        <v>0</v>
      </c>
      <c r="R37" s="191">
        <v>0</v>
      </c>
      <c r="S37" s="192">
        <f t="shared" si="5"/>
        <v>0</v>
      </c>
      <c r="T37" s="193"/>
      <c r="U37" s="193"/>
      <c r="V37" s="192">
        <v>0</v>
      </c>
      <c r="W37" s="192">
        <f t="shared" si="6"/>
        <v>0</v>
      </c>
      <c r="X37" s="193"/>
      <c r="Y37" s="193"/>
      <c r="Z37" s="194" t="e">
        <f t="shared" si="7"/>
        <v>#DIV/0!</v>
      </c>
      <c r="AA37" s="255"/>
    </row>
    <row r="38" spans="1:27" s="16" customFormat="1" ht="51.75" customHeight="1">
      <c r="A38" s="161"/>
      <c r="B38" s="21"/>
      <c r="C38" s="21"/>
      <c r="D38" s="21"/>
      <c r="E38" s="21"/>
      <c r="F38" s="43"/>
      <c r="G38" s="252"/>
      <c r="H38" s="44"/>
      <c r="I38" s="161"/>
      <c r="J38" s="162"/>
      <c r="K38" s="162"/>
      <c r="L38" s="45"/>
      <c r="M38" s="45"/>
      <c r="N38" s="45"/>
      <c r="O38" s="45"/>
      <c r="P38" s="45">
        <v>0</v>
      </c>
      <c r="Q38" s="25">
        <f t="shared" si="4"/>
        <v>0</v>
      </c>
      <c r="R38" s="191">
        <v>0</v>
      </c>
      <c r="S38" s="192">
        <f t="shared" si="5"/>
        <v>0</v>
      </c>
      <c r="T38" s="193"/>
      <c r="U38" s="193"/>
      <c r="V38" s="192">
        <v>0</v>
      </c>
      <c r="W38" s="192">
        <f t="shared" si="6"/>
        <v>0</v>
      </c>
      <c r="X38" s="193"/>
      <c r="Y38" s="193"/>
      <c r="Z38" s="194" t="e">
        <f t="shared" si="7"/>
        <v>#DIV/0!</v>
      </c>
      <c r="AA38" s="255"/>
    </row>
    <row r="39" spans="1:27" ht="16.5">
      <c r="A39" s="161"/>
      <c r="B39" s="21"/>
      <c r="C39" s="21"/>
      <c r="D39" s="21"/>
      <c r="E39" s="21"/>
      <c r="F39" s="43"/>
      <c r="G39" s="252"/>
      <c r="H39" s="44"/>
      <c r="I39" s="161"/>
      <c r="J39" s="162"/>
      <c r="K39" s="162"/>
      <c r="L39" s="45"/>
      <c r="M39" s="45"/>
      <c r="N39" s="45"/>
      <c r="O39" s="45"/>
      <c r="P39" s="142">
        <f>SUM(P5:P38)</f>
        <v>11693</v>
      </c>
      <c r="Q39" s="142">
        <f>SUM(Q5:Q38)</f>
        <v>-147</v>
      </c>
      <c r="R39" s="142">
        <f>SUM(R5:R38)</f>
        <v>11840</v>
      </c>
      <c r="S39" s="142">
        <f>SUM(S5:S38)</f>
        <v>-147</v>
      </c>
      <c r="T39" s="142"/>
      <c r="U39" s="142"/>
      <c r="V39" s="142">
        <f>SUM(V5:V38)</f>
        <v>11627</v>
      </c>
      <c r="W39" s="142">
        <f>SUM(W5:W38)</f>
        <v>-66</v>
      </c>
      <c r="X39" s="142">
        <f>SUM(X36:X38)</f>
        <v>0</v>
      </c>
      <c r="Y39" s="142">
        <f>SUM(Y36:Y38)</f>
        <v>0</v>
      </c>
      <c r="Z39" s="142" t="e">
        <f>SUM(Z33:Z38)</f>
        <v>#DIV/0!</v>
      </c>
      <c r="AA39" s="255"/>
    </row>
    <row r="40" spans="1:27" ht="20.25">
      <c r="A40" s="345" t="s">
        <v>866</v>
      </c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  <c r="AA40" s="346"/>
    </row>
    <row r="41" spans="1:27" ht="85.5">
      <c r="A41" s="196" t="s">
        <v>1</v>
      </c>
      <c r="B41" s="25" t="s">
        <v>140</v>
      </c>
      <c r="C41" s="25" t="s">
        <v>141</v>
      </c>
      <c r="D41" s="25" t="s">
        <v>142</v>
      </c>
      <c r="E41" s="25" t="s">
        <v>143</v>
      </c>
      <c r="F41" s="199" t="s">
        <v>115</v>
      </c>
      <c r="G41" s="251" t="s">
        <v>117</v>
      </c>
      <c r="H41" s="200" t="s">
        <v>48</v>
      </c>
      <c r="I41" s="196" t="s">
        <v>2</v>
      </c>
      <c r="J41" s="174" t="s">
        <v>3</v>
      </c>
      <c r="K41" s="196" t="s">
        <v>4</v>
      </c>
      <c r="L41" s="197" t="s">
        <v>5</v>
      </c>
      <c r="M41" s="198" t="s">
        <v>6</v>
      </c>
      <c r="N41" s="196" t="s">
        <v>7</v>
      </c>
      <c r="O41" s="198" t="s">
        <v>8</v>
      </c>
      <c r="P41" s="198" t="s">
        <v>9</v>
      </c>
      <c r="Q41" s="198" t="s">
        <v>10</v>
      </c>
      <c r="R41" s="198" t="s">
        <v>11</v>
      </c>
      <c r="S41" s="198" t="s">
        <v>12</v>
      </c>
      <c r="T41" s="198" t="s">
        <v>119</v>
      </c>
      <c r="U41" s="198" t="s">
        <v>13</v>
      </c>
      <c r="V41" s="198" t="s">
        <v>14</v>
      </c>
      <c r="W41" s="198" t="s">
        <v>15</v>
      </c>
      <c r="X41" s="196" t="s">
        <v>119</v>
      </c>
      <c r="Y41" s="198" t="s">
        <v>118</v>
      </c>
      <c r="Z41" s="201" t="s">
        <v>16</v>
      </c>
      <c r="AA41" s="178" t="s">
        <v>17</v>
      </c>
    </row>
    <row r="42" spans="1:27" s="16" customFormat="1" ht="51.75" customHeight="1">
      <c r="A42" s="161"/>
      <c r="B42" s="144">
        <v>46254</v>
      </c>
      <c r="C42" s="18">
        <v>46270</v>
      </c>
      <c r="D42" s="53">
        <v>46273</v>
      </c>
      <c r="E42" s="53">
        <v>46283</v>
      </c>
      <c r="F42" s="52" t="s">
        <v>25</v>
      </c>
      <c r="G42" s="252" t="s">
        <v>62</v>
      </c>
      <c r="H42" s="52" t="s">
        <v>128</v>
      </c>
      <c r="I42" s="161"/>
      <c r="J42" s="52" t="s">
        <v>18</v>
      </c>
      <c r="K42" s="140">
        <v>48097</v>
      </c>
      <c r="L42" s="17">
        <v>200</v>
      </c>
      <c r="M42" s="17" t="s">
        <v>45</v>
      </c>
      <c r="N42" s="52" t="s">
        <v>870</v>
      </c>
      <c r="O42" s="52" t="s">
        <v>157</v>
      </c>
      <c r="P42" s="17">
        <v>510</v>
      </c>
      <c r="Q42" s="25">
        <f t="shared" ref="Q42:Q62" si="8">P42-R42</f>
        <v>510</v>
      </c>
      <c r="R42" s="191">
        <v>0</v>
      </c>
      <c r="S42" s="192">
        <f t="shared" ref="S42:S62" si="9">P42-R42</f>
        <v>510</v>
      </c>
      <c r="T42" s="193"/>
      <c r="U42" s="193"/>
      <c r="V42" s="192">
        <v>0</v>
      </c>
      <c r="W42" s="192">
        <f t="shared" ref="W42:W62" si="10">+V42-P42</f>
        <v>-510</v>
      </c>
      <c r="X42" s="193"/>
      <c r="Y42" s="193"/>
      <c r="Z42" s="194">
        <f t="shared" ref="Z42:Z62" si="11">(P42-V42)*100/P42/100</f>
        <v>1</v>
      </c>
      <c r="AA42" s="255" t="s">
        <v>1130</v>
      </c>
    </row>
    <row r="43" spans="1:27" s="16" customFormat="1" ht="51.75" customHeight="1">
      <c r="A43" s="161"/>
      <c r="B43" s="144">
        <v>46254</v>
      </c>
      <c r="C43" s="18">
        <v>46270</v>
      </c>
      <c r="D43" s="53">
        <v>46273</v>
      </c>
      <c r="E43" s="53">
        <v>46283</v>
      </c>
      <c r="F43" s="52" t="s">
        <v>25</v>
      </c>
      <c r="G43" s="252" t="s">
        <v>62</v>
      </c>
      <c r="H43" s="52" t="s">
        <v>128</v>
      </c>
      <c r="I43" s="161"/>
      <c r="J43" s="52" t="s">
        <v>18</v>
      </c>
      <c r="K43" s="140">
        <v>48097</v>
      </c>
      <c r="L43" s="17">
        <v>200</v>
      </c>
      <c r="M43" s="17" t="s">
        <v>45</v>
      </c>
      <c r="N43" s="59" t="s">
        <v>871</v>
      </c>
      <c r="O43" s="52" t="s">
        <v>157</v>
      </c>
      <c r="P43" s="17">
        <v>550</v>
      </c>
      <c r="Q43" s="25">
        <f t="shared" si="8"/>
        <v>0</v>
      </c>
      <c r="R43" s="191">
        <f>550</f>
        <v>550</v>
      </c>
      <c r="S43" s="192">
        <f t="shared" si="9"/>
        <v>0</v>
      </c>
      <c r="T43" s="193">
        <v>2159</v>
      </c>
      <c r="U43" s="193" t="s">
        <v>1129</v>
      </c>
      <c r="V43" s="192">
        <f>544</f>
        <v>544</v>
      </c>
      <c r="W43" s="192">
        <f t="shared" ref="W43" si="12">+V43-P43</f>
        <v>-6</v>
      </c>
      <c r="X43" s="193">
        <v>42590</v>
      </c>
      <c r="Y43" s="193" t="s">
        <v>1193</v>
      </c>
      <c r="Z43" s="194">
        <f t="shared" si="11"/>
        <v>1.0909090909090908E-2</v>
      </c>
      <c r="AA43" s="255" t="s">
        <v>1135</v>
      </c>
    </row>
    <row r="44" spans="1:27" s="16" customFormat="1" ht="51.75" customHeight="1">
      <c r="A44" s="161"/>
      <c r="B44" s="144">
        <v>46254</v>
      </c>
      <c r="C44" s="18">
        <v>46270</v>
      </c>
      <c r="D44" s="53">
        <v>46273</v>
      </c>
      <c r="E44" s="53">
        <v>46283</v>
      </c>
      <c r="F44" s="52" t="s">
        <v>25</v>
      </c>
      <c r="G44" s="252" t="s">
        <v>62</v>
      </c>
      <c r="H44" s="52" t="s">
        <v>128</v>
      </c>
      <c r="I44" s="161"/>
      <c r="J44" s="52" t="s">
        <v>18</v>
      </c>
      <c r="K44" s="140">
        <v>48097</v>
      </c>
      <c r="L44" s="17">
        <v>200</v>
      </c>
      <c r="M44" s="17" t="s">
        <v>45</v>
      </c>
      <c r="N44" s="59" t="s">
        <v>872</v>
      </c>
      <c r="O44" s="52" t="s">
        <v>157</v>
      </c>
      <c r="P44" s="17">
        <v>214</v>
      </c>
      <c r="Q44" s="25">
        <f t="shared" si="8"/>
        <v>-10</v>
      </c>
      <c r="R44" s="191">
        <f>224</f>
        <v>224</v>
      </c>
      <c r="S44" s="192">
        <f t="shared" si="9"/>
        <v>-10</v>
      </c>
      <c r="T44" s="193">
        <v>2159</v>
      </c>
      <c r="U44" s="193" t="s">
        <v>1129</v>
      </c>
      <c r="V44" s="192">
        <f>213</f>
        <v>213</v>
      </c>
      <c r="W44" s="192">
        <f t="shared" si="10"/>
        <v>-1</v>
      </c>
      <c r="X44" s="193">
        <v>42645</v>
      </c>
      <c r="Y44" s="193" t="s">
        <v>1226</v>
      </c>
      <c r="Z44" s="194">
        <f t="shared" si="11"/>
        <v>4.6728971962616819E-3</v>
      </c>
      <c r="AA44" s="255" t="s">
        <v>1131</v>
      </c>
    </row>
    <row r="45" spans="1:27" s="16" customFormat="1" ht="51.75" customHeight="1">
      <c r="A45" s="161"/>
      <c r="B45" s="144">
        <v>46254</v>
      </c>
      <c r="C45" s="118">
        <v>46267</v>
      </c>
      <c r="D45" s="224">
        <v>46269</v>
      </c>
      <c r="E45" s="224">
        <v>46279</v>
      </c>
      <c r="F45" s="52" t="s">
        <v>23</v>
      </c>
      <c r="G45" s="252" t="s">
        <v>105</v>
      </c>
      <c r="H45" s="247" t="s">
        <v>743</v>
      </c>
      <c r="I45" s="161"/>
      <c r="J45" s="52" t="s">
        <v>162</v>
      </c>
      <c r="K45" s="141" t="s">
        <v>873</v>
      </c>
      <c r="L45" s="17">
        <v>190</v>
      </c>
      <c r="M45" s="17" t="s">
        <v>26</v>
      </c>
      <c r="N45" s="59" t="s">
        <v>27</v>
      </c>
      <c r="O45" s="17" t="s">
        <v>71</v>
      </c>
      <c r="P45" s="17">
        <v>250</v>
      </c>
      <c r="Q45" s="25">
        <f t="shared" si="8"/>
        <v>-10</v>
      </c>
      <c r="R45" s="191">
        <f>260</f>
        <v>260</v>
      </c>
      <c r="S45" s="192">
        <f t="shared" si="9"/>
        <v>-10</v>
      </c>
      <c r="T45" s="193">
        <v>2071</v>
      </c>
      <c r="U45" s="193" t="s">
        <v>1040</v>
      </c>
      <c r="V45" s="192">
        <f>252</f>
        <v>252</v>
      </c>
      <c r="W45" s="192">
        <f t="shared" si="10"/>
        <v>2</v>
      </c>
      <c r="X45" s="193">
        <v>1967</v>
      </c>
      <c r="Y45" s="193" t="s">
        <v>1064</v>
      </c>
      <c r="Z45" s="194">
        <f t="shared" si="11"/>
        <v>-8.0000000000000002E-3</v>
      </c>
      <c r="AA45" s="255" t="s">
        <v>924</v>
      </c>
    </row>
    <row r="46" spans="1:27" s="16" customFormat="1" ht="51.75" customHeight="1">
      <c r="A46" s="161"/>
      <c r="B46" s="144">
        <v>46254</v>
      </c>
      <c r="C46" s="118">
        <v>46267</v>
      </c>
      <c r="D46" s="224">
        <v>46269</v>
      </c>
      <c r="E46" s="224">
        <v>46279</v>
      </c>
      <c r="F46" s="52" t="s">
        <v>23</v>
      </c>
      <c r="G46" s="252" t="s">
        <v>105</v>
      </c>
      <c r="H46" s="247" t="s">
        <v>743</v>
      </c>
      <c r="I46" s="161"/>
      <c r="J46" s="52" t="s">
        <v>162</v>
      </c>
      <c r="K46" s="141" t="s">
        <v>873</v>
      </c>
      <c r="L46" s="17">
        <v>190</v>
      </c>
      <c r="M46" s="17" t="s">
        <v>26</v>
      </c>
      <c r="N46" s="59" t="s">
        <v>328</v>
      </c>
      <c r="O46" s="17" t="s">
        <v>71</v>
      </c>
      <c r="P46" s="17">
        <v>188</v>
      </c>
      <c r="Q46" s="25">
        <f t="shared" si="8"/>
        <v>-6</v>
      </c>
      <c r="R46" s="191">
        <f>194</f>
        <v>194</v>
      </c>
      <c r="S46" s="192">
        <f t="shared" si="9"/>
        <v>-6</v>
      </c>
      <c r="T46" s="193">
        <v>1312</v>
      </c>
      <c r="U46" s="193" t="s">
        <v>1000</v>
      </c>
      <c r="V46" s="192">
        <f>210</f>
        <v>210</v>
      </c>
      <c r="W46" s="192">
        <f t="shared" si="10"/>
        <v>22</v>
      </c>
      <c r="X46" s="193">
        <v>1917</v>
      </c>
      <c r="Y46" s="193" t="s">
        <v>1025</v>
      </c>
      <c r="Z46" s="194">
        <f t="shared" si="11"/>
        <v>-0.11702127659574468</v>
      </c>
      <c r="AA46" s="255" t="s">
        <v>1003</v>
      </c>
    </row>
    <row r="47" spans="1:27" s="16" customFormat="1" ht="51.75" customHeight="1">
      <c r="A47" s="161"/>
      <c r="B47" s="20">
        <v>46266</v>
      </c>
      <c r="C47" s="18">
        <v>46275</v>
      </c>
      <c r="D47" s="53">
        <v>46276</v>
      </c>
      <c r="E47" s="53">
        <v>46283</v>
      </c>
      <c r="F47" s="52" t="s">
        <v>23</v>
      </c>
      <c r="G47" s="252" t="s">
        <v>105</v>
      </c>
      <c r="H47" s="52" t="s">
        <v>32</v>
      </c>
      <c r="I47" s="161"/>
      <c r="J47" s="52" t="s">
        <v>34</v>
      </c>
      <c r="K47" s="57">
        <v>47834</v>
      </c>
      <c r="L47" s="17">
        <v>180</v>
      </c>
      <c r="M47" s="17" t="s">
        <v>56</v>
      </c>
      <c r="N47" s="59" t="s">
        <v>149</v>
      </c>
      <c r="O47" s="52" t="s">
        <v>52</v>
      </c>
      <c r="P47" s="17">
        <v>319</v>
      </c>
      <c r="Q47" s="25">
        <f t="shared" si="8"/>
        <v>-12</v>
      </c>
      <c r="R47" s="191">
        <f>331</f>
        <v>331</v>
      </c>
      <c r="S47" s="192">
        <f t="shared" si="9"/>
        <v>-12</v>
      </c>
      <c r="T47" s="193">
        <v>3148</v>
      </c>
      <c r="U47" s="193" t="s">
        <v>1291</v>
      </c>
      <c r="V47" s="192">
        <f>4+151+79+95</f>
        <v>329</v>
      </c>
      <c r="W47" s="192">
        <f t="shared" si="10"/>
        <v>10</v>
      </c>
      <c r="X47" s="193" t="s">
        <v>1399</v>
      </c>
      <c r="Y47" s="193" t="s">
        <v>1400</v>
      </c>
      <c r="Z47" s="194">
        <f t="shared" si="11"/>
        <v>-3.1347962382445138E-2</v>
      </c>
      <c r="AA47" s="255" t="s">
        <v>922</v>
      </c>
    </row>
    <row r="48" spans="1:27" s="16" customFormat="1" ht="51.75" customHeight="1">
      <c r="A48" s="161"/>
      <c r="B48" s="20">
        <v>46260</v>
      </c>
      <c r="C48" s="18">
        <v>46268</v>
      </c>
      <c r="D48" s="53">
        <v>46270</v>
      </c>
      <c r="E48" s="53">
        <v>46277</v>
      </c>
      <c r="F48" s="52" t="s">
        <v>23</v>
      </c>
      <c r="G48" s="252" t="s">
        <v>62</v>
      </c>
      <c r="H48" s="52" t="s">
        <v>39</v>
      </c>
      <c r="I48" s="161"/>
      <c r="J48" s="52" t="s">
        <v>18</v>
      </c>
      <c r="K48" s="140" t="s">
        <v>1065</v>
      </c>
      <c r="L48" s="17">
        <v>200</v>
      </c>
      <c r="M48" s="17" t="s">
        <v>45</v>
      </c>
      <c r="N48" s="59" t="s">
        <v>1066</v>
      </c>
      <c r="O48" s="52" t="s">
        <v>28</v>
      </c>
      <c r="P48" s="17">
        <v>61</v>
      </c>
      <c r="Q48" s="25">
        <f t="shared" si="8"/>
        <v>-8</v>
      </c>
      <c r="R48" s="191">
        <f>69</f>
        <v>69</v>
      </c>
      <c r="S48" s="192">
        <f t="shared" si="9"/>
        <v>-8</v>
      </c>
      <c r="T48" s="193">
        <v>3103</v>
      </c>
      <c r="U48" s="193" t="s">
        <v>1137</v>
      </c>
      <c r="V48" s="192">
        <f>68</f>
        <v>68</v>
      </c>
      <c r="W48" s="192">
        <f t="shared" si="10"/>
        <v>7</v>
      </c>
      <c r="X48" s="193">
        <v>42702</v>
      </c>
      <c r="Y48" s="193" t="s">
        <v>1299</v>
      </c>
      <c r="Z48" s="194">
        <f t="shared" si="11"/>
        <v>-0.11475409836065573</v>
      </c>
      <c r="AA48" s="255" t="s">
        <v>1207</v>
      </c>
    </row>
    <row r="49" spans="1:27" s="16" customFormat="1" ht="51.75" customHeight="1">
      <c r="A49" s="161"/>
      <c r="B49" s="20">
        <v>46260</v>
      </c>
      <c r="C49" s="18">
        <v>46268</v>
      </c>
      <c r="D49" s="53">
        <v>46270</v>
      </c>
      <c r="E49" s="53">
        <v>46277</v>
      </c>
      <c r="F49" s="52" t="s">
        <v>23</v>
      </c>
      <c r="G49" s="252" t="s">
        <v>62</v>
      </c>
      <c r="H49" s="52" t="s">
        <v>39</v>
      </c>
      <c r="I49" s="161"/>
      <c r="J49" s="52" t="s">
        <v>18</v>
      </c>
      <c r="K49" s="140" t="s">
        <v>1065</v>
      </c>
      <c r="L49" s="17">
        <v>200</v>
      </c>
      <c r="M49" s="17" t="s">
        <v>45</v>
      </c>
      <c r="N49" s="59" t="s">
        <v>54</v>
      </c>
      <c r="O49" s="52" t="s">
        <v>28</v>
      </c>
      <c r="P49" s="17">
        <v>61</v>
      </c>
      <c r="Q49" s="25">
        <f t="shared" si="8"/>
        <v>-7</v>
      </c>
      <c r="R49" s="191">
        <f>68</f>
        <v>68</v>
      </c>
      <c r="S49" s="192">
        <f t="shared" si="9"/>
        <v>-7</v>
      </c>
      <c r="T49" s="193">
        <v>3153</v>
      </c>
      <c r="U49" s="193" t="s">
        <v>1172</v>
      </c>
      <c r="V49" s="192">
        <f>66</f>
        <v>66</v>
      </c>
      <c r="W49" s="192">
        <f t="shared" si="10"/>
        <v>5</v>
      </c>
      <c r="X49" s="193">
        <v>42702</v>
      </c>
      <c r="Y49" s="193" t="s">
        <v>1299</v>
      </c>
      <c r="Z49" s="194">
        <f t="shared" si="11"/>
        <v>-8.1967213114754092E-2</v>
      </c>
      <c r="AA49" s="255" t="s">
        <v>1212</v>
      </c>
    </row>
    <row r="50" spans="1:27" s="16" customFormat="1" ht="51.75" customHeight="1">
      <c r="A50" s="161"/>
      <c r="B50" s="20">
        <v>46249</v>
      </c>
      <c r="C50" s="18">
        <v>46279</v>
      </c>
      <c r="D50" s="53">
        <v>46279</v>
      </c>
      <c r="E50" s="53">
        <v>46283</v>
      </c>
      <c r="F50" s="56" t="s">
        <v>23</v>
      </c>
      <c r="G50" s="252" t="s">
        <v>105</v>
      </c>
      <c r="H50" s="52" t="s">
        <v>138</v>
      </c>
      <c r="I50" s="161"/>
      <c r="J50" s="56" t="s">
        <v>34</v>
      </c>
      <c r="K50" s="57">
        <v>47943</v>
      </c>
      <c r="L50" s="17">
        <v>180</v>
      </c>
      <c r="M50" s="17" t="s">
        <v>42</v>
      </c>
      <c r="N50" s="59" t="s">
        <v>814</v>
      </c>
      <c r="O50" s="56" t="s">
        <v>670</v>
      </c>
      <c r="P50" s="55">
        <f>390+10</f>
        <v>400</v>
      </c>
      <c r="Q50" s="25">
        <f t="shared" si="8"/>
        <v>-2</v>
      </c>
      <c r="R50" s="191">
        <f>402</f>
        <v>402</v>
      </c>
      <c r="S50" s="192">
        <f t="shared" si="9"/>
        <v>-2</v>
      </c>
      <c r="T50" s="193">
        <v>3141</v>
      </c>
      <c r="U50" s="193" t="s">
        <v>1244</v>
      </c>
      <c r="V50" s="192">
        <f>360+28</f>
        <v>388</v>
      </c>
      <c r="W50" s="192">
        <f t="shared" si="10"/>
        <v>-12</v>
      </c>
      <c r="X50" s="193" t="s">
        <v>1313</v>
      </c>
      <c r="Y50" s="193" t="s">
        <v>1314</v>
      </c>
      <c r="Z50" s="194">
        <f t="shared" si="11"/>
        <v>0.03</v>
      </c>
      <c r="AA50" s="255" t="s">
        <v>1204</v>
      </c>
    </row>
    <row r="51" spans="1:27" s="16" customFormat="1" ht="51.75" customHeight="1">
      <c r="A51" s="161"/>
      <c r="B51" s="20">
        <v>46249</v>
      </c>
      <c r="C51" s="18">
        <v>46279</v>
      </c>
      <c r="D51" s="53">
        <v>46279</v>
      </c>
      <c r="E51" s="53">
        <v>46283</v>
      </c>
      <c r="F51" s="56" t="s">
        <v>23</v>
      </c>
      <c r="G51" s="252" t="s">
        <v>105</v>
      </c>
      <c r="H51" s="52" t="s">
        <v>138</v>
      </c>
      <c r="I51" s="161"/>
      <c r="J51" s="56" t="s">
        <v>34</v>
      </c>
      <c r="K51" s="57">
        <v>47943</v>
      </c>
      <c r="L51" s="17">
        <v>180</v>
      </c>
      <c r="M51" s="17" t="s">
        <v>42</v>
      </c>
      <c r="N51" s="59" t="s">
        <v>815</v>
      </c>
      <c r="O51" s="52" t="s">
        <v>670</v>
      </c>
      <c r="P51" s="55">
        <f>220+10</f>
        <v>230</v>
      </c>
      <c r="Q51" s="25">
        <f t="shared" si="8"/>
        <v>3</v>
      </c>
      <c r="R51" s="191">
        <f>227</f>
        <v>227</v>
      </c>
      <c r="S51" s="192">
        <f t="shared" si="9"/>
        <v>3</v>
      </c>
      <c r="T51" s="193">
        <v>3141</v>
      </c>
      <c r="U51" s="193" t="s">
        <v>1244</v>
      </c>
      <c r="V51" s="192">
        <f>222</f>
        <v>222</v>
      </c>
      <c r="W51" s="192">
        <f t="shared" si="10"/>
        <v>-8</v>
      </c>
      <c r="X51" s="193">
        <v>2044</v>
      </c>
      <c r="Y51" s="193" t="s">
        <v>1291</v>
      </c>
      <c r="Z51" s="194">
        <f t="shared" si="11"/>
        <v>3.4782608695652174E-2</v>
      </c>
      <c r="AA51" s="255" t="s">
        <v>1205</v>
      </c>
    </row>
    <row r="52" spans="1:27" s="16" customFormat="1" ht="51.75" customHeight="1">
      <c r="A52" s="161"/>
      <c r="B52" s="20">
        <v>46249</v>
      </c>
      <c r="C52" s="18">
        <v>46279</v>
      </c>
      <c r="D52" s="53">
        <v>46279</v>
      </c>
      <c r="E52" s="53">
        <v>46283</v>
      </c>
      <c r="F52" s="56" t="s">
        <v>23</v>
      </c>
      <c r="G52" s="252" t="s">
        <v>105</v>
      </c>
      <c r="H52" s="52" t="s">
        <v>138</v>
      </c>
      <c r="I52" s="161"/>
      <c r="J52" s="56" t="s">
        <v>34</v>
      </c>
      <c r="K52" s="57">
        <v>47943</v>
      </c>
      <c r="L52" s="17">
        <v>180</v>
      </c>
      <c r="M52" s="17" t="s">
        <v>42</v>
      </c>
      <c r="N52" s="59" t="s">
        <v>1168</v>
      </c>
      <c r="O52" s="52" t="s">
        <v>670</v>
      </c>
      <c r="P52" s="17">
        <f>180+10</f>
        <v>190</v>
      </c>
      <c r="Q52" s="25">
        <f t="shared" si="8"/>
        <v>0</v>
      </c>
      <c r="R52" s="191">
        <f>190</f>
        <v>190</v>
      </c>
      <c r="S52" s="192">
        <f t="shared" si="9"/>
        <v>0</v>
      </c>
      <c r="T52" s="193">
        <v>3139</v>
      </c>
      <c r="U52" s="193" t="s">
        <v>1244</v>
      </c>
      <c r="V52" s="192">
        <f>2+180</f>
        <v>182</v>
      </c>
      <c r="W52" s="192">
        <f t="shared" si="10"/>
        <v>-8</v>
      </c>
      <c r="X52" s="193" t="s">
        <v>1394</v>
      </c>
      <c r="Y52" s="193" t="s">
        <v>1395</v>
      </c>
      <c r="Z52" s="194">
        <f t="shared" si="11"/>
        <v>4.2105263157894736E-2</v>
      </c>
      <c r="AA52" s="255" t="s">
        <v>1316</v>
      </c>
    </row>
    <row r="53" spans="1:27" s="16" customFormat="1" ht="51.75" customHeight="1">
      <c r="A53" s="161"/>
      <c r="B53" s="21"/>
      <c r="C53" s="21"/>
      <c r="D53" s="21"/>
      <c r="E53" s="21"/>
      <c r="F53" s="43"/>
      <c r="G53" s="252"/>
      <c r="H53" s="44"/>
      <c r="I53" s="161"/>
      <c r="J53" s="162"/>
      <c r="K53" s="162"/>
      <c r="L53" s="45"/>
      <c r="M53" s="45"/>
      <c r="N53" s="45"/>
      <c r="O53" s="45"/>
      <c r="P53" s="45">
        <v>0</v>
      </c>
      <c r="Q53" s="25">
        <f t="shared" si="8"/>
        <v>0</v>
      </c>
      <c r="R53" s="191">
        <v>0</v>
      </c>
      <c r="S53" s="192">
        <f t="shared" si="9"/>
        <v>0</v>
      </c>
      <c r="T53" s="193"/>
      <c r="U53" s="193"/>
      <c r="V53" s="192">
        <v>0</v>
      </c>
      <c r="W53" s="192">
        <f t="shared" si="10"/>
        <v>0</v>
      </c>
      <c r="X53" s="193"/>
      <c r="Y53" s="193"/>
      <c r="Z53" s="194" t="e">
        <f t="shared" si="11"/>
        <v>#DIV/0!</v>
      </c>
      <c r="AA53" s="255"/>
    </row>
    <row r="54" spans="1:27" s="16" customFormat="1" ht="51.75" hidden="1" customHeight="1">
      <c r="A54" s="161"/>
      <c r="B54" s="21"/>
      <c r="C54" s="21"/>
      <c r="D54" s="21"/>
      <c r="E54" s="21"/>
      <c r="F54" s="43"/>
      <c r="G54" s="252"/>
      <c r="H54" s="44"/>
      <c r="I54" s="161"/>
      <c r="J54" s="162"/>
      <c r="K54" s="162"/>
      <c r="L54" s="45"/>
      <c r="M54" s="45"/>
      <c r="N54" s="45"/>
      <c r="O54" s="45"/>
      <c r="P54" s="45">
        <v>0</v>
      </c>
      <c r="Q54" s="25">
        <f t="shared" si="8"/>
        <v>0</v>
      </c>
      <c r="R54" s="191">
        <v>0</v>
      </c>
      <c r="S54" s="192">
        <f t="shared" si="9"/>
        <v>0</v>
      </c>
      <c r="T54" s="193"/>
      <c r="U54" s="193"/>
      <c r="V54" s="192">
        <v>0</v>
      </c>
      <c r="W54" s="192">
        <f t="shared" si="10"/>
        <v>0</v>
      </c>
      <c r="X54" s="193"/>
      <c r="Y54" s="193"/>
      <c r="Z54" s="194" t="e">
        <f t="shared" si="11"/>
        <v>#DIV/0!</v>
      </c>
      <c r="AA54" s="255"/>
    </row>
    <row r="55" spans="1:27" s="16" customFormat="1" ht="51.75" hidden="1" customHeight="1">
      <c r="A55" s="161"/>
      <c r="B55" s="21"/>
      <c r="C55" s="21"/>
      <c r="D55" s="21"/>
      <c r="E55" s="21"/>
      <c r="F55" s="43"/>
      <c r="G55" s="252"/>
      <c r="H55" s="44"/>
      <c r="I55" s="161"/>
      <c r="J55" s="162"/>
      <c r="K55" s="162"/>
      <c r="L55" s="45"/>
      <c r="M55" s="45"/>
      <c r="N55" s="45"/>
      <c r="O55" s="45"/>
      <c r="P55" s="45">
        <v>0</v>
      </c>
      <c r="Q55" s="25">
        <f t="shared" si="8"/>
        <v>0</v>
      </c>
      <c r="R55" s="191">
        <v>0</v>
      </c>
      <c r="S55" s="192">
        <f t="shared" si="9"/>
        <v>0</v>
      </c>
      <c r="T55" s="193"/>
      <c r="U55" s="193"/>
      <c r="V55" s="192">
        <v>0</v>
      </c>
      <c r="W55" s="192">
        <f t="shared" si="10"/>
        <v>0</v>
      </c>
      <c r="X55" s="193"/>
      <c r="Y55" s="193"/>
      <c r="Z55" s="194" t="e">
        <f t="shared" si="11"/>
        <v>#DIV/0!</v>
      </c>
      <c r="AA55" s="255"/>
    </row>
    <row r="56" spans="1:27" s="16" customFormat="1" ht="51.75" hidden="1" customHeight="1">
      <c r="A56" s="161"/>
      <c r="B56" s="21"/>
      <c r="C56" s="21"/>
      <c r="D56" s="21"/>
      <c r="E56" s="21"/>
      <c r="F56" s="43"/>
      <c r="G56" s="252"/>
      <c r="H56" s="44"/>
      <c r="I56" s="161"/>
      <c r="J56" s="162"/>
      <c r="K56" s="162"/>
      <c r="L56" s="45"/>
      <c r="M56" s="45"/>
      <c r="N56" s="45"/>
      <c r="O56" s="45"/>
      <c r="P56" s="45">
        <v>0</v>
      </c>
      <c r="Q56" s="25">
        <f t="shared" si="8"/>
        <v>0</v>
      </c>
      <c r="R56" s="191">
        <v>0</v>
      </c>
      <c r="S56" s="192">
        <f t="shared" si="9"/>
        <v>0</v>
      </c>
      <c r="T56" s="193"/>
      <c r="U56" s="193"/>
      <c r="V56" s="192">
        <v>0</v>
      </c>
      <c r="W56" s="192">
        <f t="shared" si="10"/>
        <v>0</v>
      </c>
      <c r="X56" s="193"/>
      <c r="Y56" s="193"/>
      <c r="Z56" s="194" t="e">
        <f t="shared" si="11"/>
        <v>#DIV/0!</v>
      </c>
      <c r="AA56" s="255"/>
    </row>
    <row r="57" spans="1:27" s="16" customFormat="1" ht="51.75" hidden="1" customHeight="1">
      <c r="A57" s="161"/>
      <c r="B57" s="21"/>
      <c r="C57" s="21"/>
      <c r="D57" s="21"/>
      <c r="E57" s="21"/>
      <c r="F57" s="43"/>
      <c r="G57" s="252"/>
      <c r="H57" s="44"/>
      <c r="I57" s="161"/>
      <c r="J57" s="162"/>
      <c r="K57" s="162"/>
      <c r="L57" s="45"/>
      <c r="M57" s="45"/>
      <c r="N57" s="45"/>
      <c r="O57" s="45"/>
      <c r="P57" s="45">
        <v>0</v>
      </c>
      <c r="Q57" s="25">
        <f t="shared" si="8"/>
        <v>0</v>
      </c>
      <c r="R57" s="191">
        <v>0</v>
      </c>
      <c r="S57" s="192">
        <f t="shared" si="9"/>
        <v>0</v>
      </c>
      <c r="T57" s="193"/>
      <c r="U57" s="193"/>
      <c r="V57" s="192">
        <v>0</v>
      </c>
      <c r="W57" s="192">
        <f t="shared" si="10"/>
        <v>0</v>
      </c>
      <c r="X57" s="193"/>
      <c r="Y57" s="193"/>
      <c r="Z57" s="194" t="e">
        <f t="shared" si="11"/>
        <v>#DIV/0!</v>
      </c>
      <c r="AA57" s="255"/>
    </row>
    <row r="58" spans="1:27" s="16" customFormat="1" ht="51.75" hidden="1" customHeight="1">
      <c r="A58" s="161"/>
      <c r="B58" s="21"/>
      <c r="C58" s="21"/>
      <c r="D58" s="21"/>
      <c r="E58" s="21"/>
      <c r="F58" s="43"/>
      <c r="G58" s="252"/>
      <c r="H58" s="44"/>
      <c r="I58" s="161"/>
      <c r="J58" s="162"/>
      <c r="K58" s="162"/>
      <c r="L58" s="45"/>
      <c r="M58" s="45"/>
      <c r="N58" s="45"/>
      <c r="O58" s="45"/>
      <c r="P58" s="45">
        <v>0</v>
      </c>
      <c r="Q58" s="25">
        <f t="shared" si="8"/>
        <v>0</v>
      </c>
      <c r="R58" s="191">
        <v>0</v>
      </c>
      <c r="S58" s="192">
        <f t="shared" si="9"/>
        <v>0</v>
      </c>
      <c r="T58" s="193"/>
      <c r="U58" s="193"/>
      <c r="V58" s="192">
        <v>0</v>
      </c>
      <c r="W58" s="192">
        <f t="shared" si="10"/>
        <v>0</v>
      </c>
      <c r="X58" s="193"/>
      <c r="Y58" s="193"/>
      <c r="Z58" s="194" t="e">
        <f t="shared" si="11"/>
        <v>#DIV/0!</v>
      </c>
      <c r="AA58" s="255"/>
    </row>
    <row r="59" spans="1:27" s="16" customFormat="1" ht="51.75" hidden="1" customHeight="1">
      <c r="A59" s="161"/>
      <c r="B59" s="21"/>
      <c r="C59" s="21"/>
      <c r="D59" s="21"/>
      <c r="E59" s="21"/>
      <c r="F59" s="43"/>
      <c r="G59" s="252"/>
      <c r="H59" s="44"/>
      <c r="I59" s="161"/>
      <c r="J59" s="162"/>
      <c r="K59" s="162"/>
      <c r="L59" s="45"/>
      <c r="M59" s="45"/>
      <c r="N59" s="45"/>
      <c r="O59" s="45"/>
      <c r="P59" s="45">
        <v>0</v>
      </c>
      <c r="Q59" s="25">
        <f t="shared" si="8"/>
        <v>0</v>
      </c>
      <c r="R59" s="191">
        <v>0</v>
      </c>
      <c r="S59" s="192">
        <f t="shared" si="9"/>
        <v>0</v>
      </c>
      <c r="T59" s="193"/>
      <c r="U59" s="193"/>
      <c r="V59" s="192">
        <v>0</v>
      </c>
      <c r="W59" s="192">
        <f t="shared" si="10"/>
        <v>0</v>
      </c>
      <c r="X59" s="193"/>
      <c r="Y59" s="193"/>
      <c r="Z59" s="194" t="e">
        <f t="shared" si="11"/>
        <v>#DIV/0!</v>
      </c>
      <c r="AA59" s="255"/>
    </row>
    <row r="60" spans="1:27" s="16" customFormat="1" ht="51.75" hidden="1" customHeight="1">
      <c r="A60" s="161"/>
      <c r="B60" s="21"/>
      <c r="C60" s="21"/>
      <c r="D60" s="21"/>
      <c r="E60" s="21"/>
      <c r="F60" s="43"/>
      <c r="G60" s="252"/>
      <c r="H60" s="44"/>
      <c r="I60" s="161"/>
      <c r="J60" s="162"/>
      <c r="K60" s="162"/>
      <c r="L60" s="45"/>
      <c r="M60" s="45"/>
      <c r="N60" s="45"/>
      <c r="O60" s="45"/>
      <c r="P60" s="45">
        <v>0</v>
      </c>
      <c r="Q60" s="25">
        <f t="shared" si="8"/>
        <v>0</v>
      </c>
      <c r="R60" s="191">
        <v>0</v>
      </c>
      <c r="S60" s="192">
        <f t="shared" si="9"/>
        <v>0</v>
      </c>
      <c r="T60" s="193"/>
      <c r="U60" s="193"/>
      <c r="V60" s="192">
        <v>0</v>
      </c>
      <c r="W60" s="192">
        <f t="shared" si="10"/>
        <v>0</v>
      </c>
      <c r="X60" s="193"/>
      <c r="Y60" s="193"/>
      <c r="Z60" s="194" t="e">
        <f t="shared" si="11"/>
        <v>#DIV/0!</v>
      </c>
      <c r="AA60" s="255"/>
    </row>
    <row r="61" spans="1:27" s="16" customFormat="1" ht="51.75" hidden="1" customHeight="1">
      <c r="A61" s="161"/>
      <c r="B61" s="21"/>
      <c r="C61" s="21"/>
      <c r="D61" s="21"/>
      <c r="E61" s="21"/>
      <c r="F61" s="43"/>
      <c r="G61" s="252"/>
      <c r="H61" s="44"/>
      <c r="I61" s="161"/>
      <c r="J61" s="162"/>
      <c r="K61" s="162"/>
      <c r="L61" s="45"/>
      <c r="M61" s="45"/>
      <c r="N61" s="45"/>
      <c r="O61" s="45"/>
      <c r="P61" s="45">
        <v>0</v>
      </c>
      <c r="Q61" s="25">
        <f t="shared" si="8"/>
        <v>0</v>
      </c>
      <c r="R61" s="191">
        <v>0</v>
      </c>
      <c r="S61" s="192">
        <f t="shared" si="9"/>
        <v>0</v>
      </c>
      <c r="T61" s="193"/>
      <c r="U61" s="193"/>
      <c r="V61" s="192">
        <v>0</v>
      </c>
      <c r="W61" s="192">
        <f t="shared" si="10"/>
        <v>0</v>
      </c>
      <c r="X61" s="193"/>
      <c r="Y61" s="193"/>
      <c r="Z61" s="194" t="e">
        <f t="shared" si="11"/>
        <v>#DIV/0!</v>
      </c>
      <c r="AA61" s="255"/>
    </row>
    <row r="62" spans="1:27" s="16" customFormat="1" ht="51.75" customHeight="1">
      <c r="A62" s="161"/>
      <c r="B62" s="21"/>
      <c r="C62" s="21"/>
      <c r="D62" s="21"/>
      <c r="E62" s="21"/>
      <c r="F62" s="43"/>
      <c r="G62" s="252"/>
      <c r="H62" s="44"/>
      <c r="I62" s="161"/>
      <c r="J62" s="162"/>
      <c r="K62" s="162"/>
      <c r="L62" s="45"/>
      <c r="M62" s="45"/>
      <c r="N62" s="45"/>
      <c r="O62" s="45"/>
      <c r="P62" s="45">
        <v>0</v>
      </c>
      <c r="Q62" s="25">
        <f t="shared" si="8"/>
        <v>0</v>
      </c>
      <c r="R62" s="191">
        <v>0</v>
      </c>
      <c r="S62" s="192">
        <f t="shared" si="9"/>
        <v>0</v>
      </c>
      <c r="T62" s="193"/>
      <c r="U62" s="193"/>
      <c r="V62" s="192">
        <v>0</v>
      </c>
      <c r="W62" s="192">
        <f t="shared" si="10"/>
        <v>0</v>
      </c>
      <c r="X62" s="193"/>
      <c r="Y62" s="193"/>
      <c r="Z62" s="194" t="e">
        <f t="shared" si="11"/>
        <v>#DIV/0!</v>
      </c>
      <c r="AA62" s="255"/>
    </row>
    <row r="63" spans="1:27" ht="16.5">
      <c r="A63" s="161"/>
      <c r="B63" s="21"/>
      <c r="C63" s="21"/>
      <c r="D63" s="21"/>
      <c r="E63" s="21"/>
      <c r="F63" s="43"/>
      <c r="G63" s="252"/>
      <c r="H63" s="44"/>
      <c r="I63" s="161"/>
      <c r="J63" s="162"/>
      <c r="K63" s="162"/>
      <c r="L63" s="45"/>
      <c r="M63" s="45"/>
      <c r="N63" s="45"/>
      <c r="O63" s="45"/>
      <c r="P63" s="142">
        <f>SUM(P42:P62)</f>
        <v>2973</v>
      </c>
      <c r="Q63" s="142">
        <f>SUM(Q42:Q62)</f>
        <v>458</v>
      </c>
      <c r="R63" s="142">
        <f>SUM(R42:R62)</f>
        <v>2515</v>
      </c>
      <c r="S63" s="142">
        <f>SUM(S42:S62)</f>
        <v>458</v>
      </c>
      <c r="T63" s="142"/>
      <c r="U63" s="142"/>
      <c r="V63" s="142">
        <f>SUM(V42:V62)</f>
        <v>2474</v>
      </c>
      <c r="W63" s="142">
        <f>SUM(W42:W62)</f>
        <v>-499</v>
      </c>
      <c r="X63" s="142">
        <f>SUM(X58:X62)</f>
        <v>0</v>
      </c>
      <c r="Y63" s="142">
        <f>SUM(Y58:Y62)</f>
        <v>0</v>
      </c>
      <c r="Z63" s="142" t="e">
        <f>SUM(Z56:Z62)</f>
        <v>#DIV/0!</v>
      </c>
      <c r="AA63" s="255"/>
    </row>
    <row r="64" spans="1:27" ht="20.25">
      <c r="A64" s="345" t="s">
        <v>867</v>
      </c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  <c r="Y64" s="346"/>
      <c r="Z64" s="346"/>
      <c r="AA64" s="346"/>
    </row>
    <row r="65" spans="1:27" ht="85.5">
      <c r="A65" s="196" t="s">
        <v>1</v>
      </c>
      <c r="B65" s="25" t="s">
        <v>140</v>
      </c>
      <c r="C65" s="25" t="s">
        <v>141</v>
      </c>
      <c r="D65" s="25" t="s">
        <v>142</v>
      </c>
      <c r="E65" s="25" t="s">
        <v>143</v>
      </c>
      <c r="F65" s="199" t="s">
        <v>115</v>
      </c>
      <c r="G65" s="251" t="s">
        <v>117</v>
      </c>
      <c r="H65" s="200" t="s">
        <v>48</v>
      </c>
      <c r="I65" s="196" t="s">
        <v>2</v>
      </c>
      <c r="J65" s="174" t="s">
        <v>3</v>
      </c>
      <c r="K65" s="196" t="s">
        <v>4</v>
      </c>
      <c r="L65" s="197" t="s">
        <v>5</v>
      </c>
      <c r="M65" s="198" t="s">
        <v>6</v>
      </c>
      <c r="N65" s="196" t="s">
        <v>7</v>
      </c>
      <c r="O65" s="198" t="s">
        <v>8</v>
      </c>
      <c r="P65" s="198" t="s">
        <v>9</v>
      </c>
      <c r="Q65" s="198" t="s">
        <v>10</v>
      </c>
      <c r="R65" s="198" t="s">
        <v>11</v>
      </c>
      <c r="S65" s="198" t="s">
        <v>12</v>
      </c>
      <c r="T65" s="198" t="s">
        <v>119</v>
      </c>
      <c r="U65" s="198" t="s">
        <v>13</v>
      </c>
      <c r="V65" s="198" t="s">
        <v>14</v>
      </c>
      <c r="W65" s="198" t="s">
        <v>15</v>
      </c>
      <c r="X65" s="196" t="s">
        <v>119</v>
      </c>
      <c r="Y65" s="198" t="s">
        <v>118</v>
      </c>
      <c r="Z65" s="201" t="s">
        <v>16</v>
      </c>
      <c r="AA65" s="178" t="s">
        <v>17</v>
      </c>
    </row>
    <row r="66" spans="1:27" s="16" customFormat="1" ht="51.75" customHeight="1">
      <c r="A66" s="161"/>
      <c r="B66" s="20">
        <v>46270</v>
      </c>
      <c r="C66" s="18">
        <v>46282</v>
      </c>
      <c r="D66" s="53">
        <v>46287</v>
      </c>
      <c r="E66" s="53">
        <v>46295</v>
      </c>
      <c r="F66" s="52" t="s">
        <v>25</v>
      </c>
      <c r="G66" s="253" t="s">
        <v>62</v>
      </c>
      <c r="H66" s="52" t="s">
        <v>128</v>
      </c>
      <c r="I66" s="161"/>
      <c r="J66" s="52" t="s">
        <v>18</v>
      </c>
      <c r="K66" s="140">
        <v>48095</v>
      </c>
      <c r="L66" s="17">
        <v>200</v>
      </c>
      <c r="M66" s="17" t="s">
        <v>102</v>
      </c>
      <c r="N66" s="52" t="s">
        <v>870</v>
      </c>
      <c r="O66" s="52" t="s">
        <v>157</v>
      </c>
      <c r="P66" s="17">
        <v>270</v>
      </c>
      <c r="Q66" s="25">
        <f t="shared" ref="Q66:Q112" si="13">P66-R66</f>
        <v>-1</v>
      </c>
      <c r="R66" s="191">
        <f>271</f>
        <v>271</v>
      </c>
      <c r="S66" s="192">
        <f t="shared" ref="S66:S112" si="14">P66-R66</f>
        <v>-1</v>
      </c>
      <c r="T66" s="193">
        <v>2197</v>
      </c>
      <c r="U66" s="193" t="s">
        <v>1310</v>
      </c>
      <c r="V66" s="192">
        <v>0</v>
      </c>
      <c r="W66" s="192">
        <f t="shared" ref="W66:W112" si="15">+V66-P66</f>
        <v>-270</v>
      </c>
      <c r="X66" s="193"/>
      <c r="Y66" s="193"/>
      <c r="Z66" s="194">
        <f t="shared" ref="Z66:Z112" si="16">(P66-V66)*100/P66/100</f>
        <v>1</v>
      </c>
      <c r="AA66" s="255" t="s">
        <v>1132</v>
      </c>
    </row>
    <row r="67" spans="1:27" s="16" customFormat="1" ht="51.75" customHeight="1">
      <c r="A67" s="161"/>
      <c r="B67" s="20">
        <v>46270</v>
      </c>
      <c r="C67" s="18">
        <v>46282</v>
      </c>
      <c r="D67" s="53">
        <v>46287</v>
      </c>
      <c r="E67" s="53">
        <v>46295</v>
      </c>
      <c r="F67" s="52" t="s">
        <v>25</v>
      </c>
      <c r="G67" s="253" t="s">
        <v>62</v>
      </c>
      <c r="H67" s="52" t="s">
        <v>128</v>
      </c>
      <c r="I67" s="161"/>
      <c r="J67" s="52" t="s">
        <v>18</v>
      </c>
      <c r="K67" s="140">
        <v>48095</v>
      </c>
      <c r="L67" s="17">
        <v>200</v>
      </c>
      <c r="M67" s="17" t="s">
        <v>102</v>
      </c>
      <c r="N67" s="59" t="s">
        <v>872</v>
      </c>
      <c r="O67" s="52" t="s">
        <v>157</v>
      </c>
      <c r="P67" s="17">
        <v>355</v>
      </c>
      <c r="Q67" s="25">
        <f t="shared" si="13"/>
        <v>-6</v>
      </c>
      <c r="R67" s="191">
        <f>361</f>
        <v>361</v>
      </c>
      <c r="S67" s="192">
        <f t="shared" si="14"/>
        <v>-6</v>
      </c>
      <c r="T67" s="193">
        <v>2168</v>
      </c>
      <c r="U67" s="193" t="s">
        <v>1169</v>
      </c>
      <c r="V67" s="192">
        <f>341</f>
        <v>341</v>
      </c>
      <c r="W67" s="192">
        <f t="shared" si="15"/>
        <v>-14</v>
      </c>
      <c r="X67" s="193">
        <v>42648</v>
      </c>
      <c r="Y67" s="193" t="s">
        <v>1244</v>
      </c>
      <c r="Z67" s="194">
        <f t="shared" si="16"/>
        <v>3.9436619718309862E-2</v>
      </c>
      <c r="AA67" s="255" t="s">
        <v>1213</v>
      </c>
    </row>
    <row r="68" spans="1:27" s="16" customFormat="1" ht="51.75" customHeight="1">
      <c r="A68" s="161"/>
      <c r="B68" s="20">
        <v>46275</v>
      </c>
      <c r="C68" s="18">
        <v>46285</v>
      </c>
      <c r="D68" s="53">
        <v>46289</v>
      </c>
      <c r="E68" s="53">
        <v>46295</v>
      </c>
      <c r="F68" s="52" t="s">
        <v>121</v>
      </c>
      <c r="G68" s="253" t="s">
        <v>105</v>
      </c>
      <c r="H68" s="52" t="s">
        <v>743</v>
      </c>
      <c r="I68" s="161"/>
      <c r="J68" s="52" t="s">
        <v>162</v>
      </c>
      <c r="K68" s="141">
        <v>48232</v>
      </c>
      <c r="L68" s="17">
        <v>150</v>
      </c>
      <c r="M68" s="17" t="s">
        <v>868</v>
      </c>
      <c r="N68" s="59" t="s">
        <v>328</v>
      </c>
      <c r="O68" s="52" t="s">
        <v>20</v>
      </c>
      <c r="P68" s="17">
        <v>101</v>
      </c>
      <c r="Q68" s="25">
        <f t="shared" si="13"/>
        <v>-2</v>
      </c>
      <c r="R68" s="191">
        <f>103</f>
        <v>103</v>
      </c>
      <c r="S68" s="192">
        <f t="shared" si="14"/>
        <v>-2</v>
      </c>
      <c r="T68" s="193">
        <v>3161</v>
      </c>
      <c r="U68" s="193" t="s">
        <v>1172</v>
      </c>
      <c r="V68" s="192">
        <f>104</f>
        <v>104</v>
      </c>
      <c r="W68" s="192">
        <f t="shared" si="15"/>
        <v>3</v>
      </c>
      <c r="X68" s="193">
        <v>2185</v>
      </c>
      <c r="Y68" s="193" t="s">
        <v>1226</v>
      </c>
      <c r="Z68" s="194">
        <f t="shared" si="16"/>
        <v>-2.9702970297029702E-2</v>
      </c>
      <c r="AA68" s="255" t="s">
        <v>1215</v>
      </c>
    </row>
    <row r="69" spans="1:27" s="16" customFormat="1" ht="51.75" customHeight="1">
      <c r="A69" s="161"/>
      <c r="B69" s="20">
        <v>46272</v>
      </c>
      <c r="C69" s="18">
        <v>46283</v>
      </c>
      <c r="D69" s="53">
        <v>46289</v>
      </c>
      <c r="E69" s="53">
        <v>46295</v>
      </c>
      <c r="F69" s="52" t="s">
        <v>121</v>
      </c>
      <c r="G69" s="253" t="s">
        <v>105</v>
      </c>
      <c r="H69" s="52" t="s">
        <v>743</v>
      </c>
      <c r="I69" s="161"/>
      <c r="J69" s="52" t="s">
        <v>162</v>
      </c>
      <c r="K69" s="141">
        <v>48233</v>
      </c>
      <c r="L69" s="17">
        <v>150</v>
      </c>
      <c r="M69" s="17" t="s">
        <v>868</v>
      </c>
      <c r="N69" s="59" t="s">
        <v>328</v>
      </c>
      <c r="O69" s="52" t="s">
        <v>20</v>
      </c>
      <c r="P69" s="17">
        <v>81</v>
      </c>
      <c r="Q69" s="25">
        <f t="shared" si="13"/>
        <v>-2</v>
      </c>
      <c r="R69" s="191">
        <f>83</f>
        <v>83</v>
      </c>
      <c r="S69" s="192">
        <f t="shared" si="14"/>
        <v>-2</v>
      </c>
      <c r="T69" s="193">
        <v>3161</v>
      </c>
      <c r="U69" s="193" t="s">
        <v>1172</v>
      </c>
      <c r="V69" s="192">
        <f>79</f>
        <v>79</v>
      </c>
      <c r="W69" s="192">
        <f t="shared" si="15"/>
        <v>-2</v>
      </c>
      <c r="X69" s="193">
        <v>2185</v>
      </c>
      <c r="Y69" s="193" t="s">
        <v>1226</v>
      </c>
      <c r="Z69" s="194">
        <f t="shared" si="16"/>
        <v>2.4691358024691357E-2</v>
      </c>
      <c r="AA69" s="255" t="s">
        <v>1214</v>
      </c>
    </row>
    <row r="70" spans="1:27" s="16" customFormat="1" ht="51.75" customHeight="1">
      <c r="A70" s="161"/>
      <c r="B70" s="20">
        <v>46271</v>
      </c>
      <c r="C70" s="18">
        <v>46283</v>
      </c>
      <c r="D70" s="53">
        <v>46287</v>
      </c>
      <c r="E70" s="53">
        <v>46293</v>
      </c>
      <c r="F70" s="52" t="s">
        <v>121</v>
      </c>
      <c r="G70" s="253" t="s">
        <v>105</v>
      </c>
      <c r="H70" s="52" t="s">
        <v>743</v>
      </c>
      <c r="I70" s="161"/>
      <c r="J70" s="52" t="s">
        <v>162</v>
      </c>
      <c r="K70" s="141">
        <v>48236</v>
      </c>
      <c r="L70" s="17">
        <v>150</v>
      </c>
      <c r="M70" s="17" t="s">
        <v>868</v>
      </c>
      <c r="N70" s="59" t="s">
        <v>328</v>
      </c>
      <c r="O70" s="52" t="s">
        <v>20</v>
      </c>
      <c r="P70" s="17">
        <v>129</v>
      </c>
      <c r="Q70" s="25">
        <f t="shared" si="13"/>
        <v>-2</v>
      </c>
      <c r="R70" s="191">
        <f>131</f>
        <v>131</v>
      </c>
      <c r="S70" s="192">
        <f t="shared" si="14"/>
        <v>-2</v>
      </c>
      <c r="T70" s="193">
        <v>3161</v>
      </c>
      <c r="U70" s="193" t="s">
        <v>1172</v>
      </c>
      <c r="V70" s="192">
        <f>127</f>
        <v>127</v>
      </c>
      <c r="W70" s="192">
        <f t="shared" si="15"/>
        <v>-2</v>
      </c>
      <c r="X70" s="193">
        <v>2185</v>
      </c>
      <c r="Y70" s="193" t="s">
        <v>1226</v>
      </c>
      <c r="Z70" s="194">
        <f t="shared" si="16"/>
        <v>1.550387596899225E-2</v>
      </c>
      <c r="AA70" s="255" t="s">
        <v>1216</v>
      </c>
    </row>
    <row r="71" spans="1:27" s="16" customFormat="1" ht="61.5" customHeight="1">
      <c r="A71" s="161"/>
      <c r="B71" s="20">
        <v>46266</v>
      </c>
      <c r="C71" s="18">
        <v>46277</v>
      </c>
      <c r="D71" s="53">
        <v>46279</v>
      </c>
      <c r="E71" s="53">
        <v>46286</v>
      </c>
      <c r="F71" s="52" t="s">
        <v>25</v>
      </c>
      <c r="G71" s="252" t="s">
        <v>99</v>
      </c>
      <c r="H71" s="52" t="s">
        <v>150</v>
      </c>
      <c r="I71" s="161"/>
      <c r="J71" s="52" t="s">
        <v>33</v>
      </c>
      <c r="K71" s="223" t="s">
        <v>838</v>
      </c>
      <c r="L71" s="17">
        <v>180</v>
      </c>
      <c r="M71" s="17" t="s">
        <v>42</v>
      </c>
      <c r="N71" s="59" t="s">
        <v>101</v>
      </c>
      <c r="O71" s="52" t="s">
        <v>52</v>
      </c>
      <c r="P71" s="17">
        <v>270</v>
      </c>
      <c r="Q71" s="25">
        <f t="shared" si="13"/>
        <v>-7</v>
      </c>
      <c r="R71" s="191">
        <f>277</f>
        <v>277</v>
      </c>
      <c r="S71" s="192">
        <f t="shared" si="14"/>
        <v>-7</v>
      </c>
      <c r="T71" s="193">
        <v>1019</v>
      </c>
      <c r="U71" s="193" t="s">
        <v>837</v>
      </c>
      <c r="V71" s="192">
        <f>292</f>
        <v>292</v>
      </c>
      <c r="W71" s="192">
        <f t="shared" si="15"/>
        <v>22</v>
      </c>
      <c r="X71" s="193">
        <v>223696</v>
      </c>
      <c r="Y71" s="193" t="s">
        <v>999</v>
      </c>
      <c r="Z71" s="194">
        <f t="shared" si="16"/>
        <v>-8.1481481481481488E-2</v>
      </c>
      <c r="AA71" s="255" t="s">
        <v>966</v>
      </c>
    </row>
    <row r="72" spans="1:27" s="16" customFormat="1" ht="69" customHeight="1">
      <c r="A72" s="161"/>
      <c r="B72" s="20">
        <v>46266</v>
      </c>
      <c r="C72" s="18">
        <v>46279</v>
      </c>
      <c r="D72" s="53">
        <v>46280</v>
      </c>
      <c r="E72" s="53">
        <v>46290</v>
      </c>
      <c r="F72" s="52" t="s">
        <v>50</v>
      </c>
      <c r="G72" s="253" t="s">
        <v>105</v>
      </c>
      <c r="H72" s="52" t="s">
        <v>31</v>
      </c>
      <c r="I72" s="161"/>
      <c r="J72" s="52" t="s">
        <v>34</v>
      </c>
      <c r="K72" s="57">
        <v>48037</v>
      </c>
      <c r="L72" s="17">
        <v>160</v>
      </c>
      <c r="M72" s="17" t="s">
        <v>67</v>
      </c>
      <c r="N72" s="52" t="s">
        <v>881</v>
      </c>
      <c r="O72" s="52" t="s">
        <v>20</v>
      </c>
      <c r="P72" s="17">
        <v>1557</v>
      </c>
      <c r="Q72" s="25">
        <f t="shared" si="13"/>
        <v>195</v>
      </c>
      <c r="R72" s="191">
        <f>697+665</f>
        <v>1362</v>
      </c>
      <c r="S72" s="195">
        <f t="shared" si="14"/>
        <v>195</v>
      </c>
      <c r="T72" s="193">
        <v>3139</v>
      </c>
      <c r="U72" s="193" t="s">
        <v>1244</v>
      </c>
      <c r="V72" s="192">
        <f>688+658</f>
        <v>1346</v>
      </c>
      <c r="W72" s="195">
        <f t="shared" si="15"/>
        <v>-211</v>
      </c>
      <c r="X72" s="193">
        <v>2236</v>
      </c>
      <c r="Y72" s="193" t="s">
        <v>1254</v>
      </c>
      <c r="Z72" s="226">
        <f t="shared" si="16"/>
        <v>0.1355170199100835</v>
      </c>
      <c r="AA72" s="255" t="s">
        <v>1238</v>
      </c>
    </row>
    <row r="73" spans="1:27" s="16" customFormat="1" ht="70.5" customHeight="1">
      <c r="A73" s="161"/>
      <c r="B73" s="20">
        <v>46266</v>
      </c>
      <c r="C73" s="18">
        <v>46279</v>
      </c>
      <c r="D73" s="53">
        <v>46280</v>
      </c>
      <c r="E73" s="53">
        <v>46290</v>
      </c>
      <c r="F73" s="52" t="s">
        <v>50</v>
      </c>
      <c r="G73" s="253" t="s">
        <v>105</v>
      </c>
      <c r="H73" s="52" t="s">
        <v>31</v>
      </c>
      <c r="I73" s="161"/>
      <c r="J73" s="52" t="s">
        <v>34</v>
      </c>
      <c r="K73" s="57">
        <v>48037</v>
      </c>
      <c r="L73" s="17">
        <v>160</v>
      </c>
      <c r="M73" s="17" t="s">
        <v>67</v>
      </c>
      <c r="N73" s="52" t="s">
        <v>882</v>
      </c>
      <c r="O73" s="52" t="s">
        <v>20</v>
      </c>
      <c r="P73" s="17">
        <v>1099</v>
      </c>
      <c r="Q73" s="25">
        <f t="shared" si="13"/>
        <v>6</v>
      </c>
      <c r="R73" s="191">
        <f>1062+31</f>
        <v>1093</v>
      </c>
      <c r="S73" s="195">
        <f t="shared" si="14"/>
        <v>6</v>
      </c>
      <c r="T73" s="193" t="s">
        <v>1347</v>
      </c>
      <c r="U73" s="193" t="s">
        <v>1346</v>
      </c>
      <c r="V73" s="192">
        <f>589+454</f>
        <v>1043</v>
      </c>
      <c r="W73" s="195">
        <f t="shared" si="15"/>
        <v>-56</v>
      </c>
      <c r="X73" s="193" t="s">
        <v>1311</v>
      </c>
      <c r="Y73" s="193" t="s">
        <v>1312</v>
      </c>
      <c r="Z73" s="226">
        <f t="shared" si="16"/>
        <v>5.0955414012738849E-2</v>
      </c>
      <c r="AA73" s="255" t="s">
        <v>1237</v>
      </c>
    </row>
    <row r="74" spans="1:27" s="16" customFormat="1" ht="88.5" customHeight="1">
      <c r="A74" s="161"/>
      <c r="B74" s="20">
        <v>46266</v>
      </c>
      <c r="C74" s="18">
        <v>46277</v>
      </c>
      <c r="D74" s="53">
        <v>46279</v>
      </c>
      <c r="E74" s="53">
        <v>46290</v>
      </c>
      <c r="F74" s="52" t="s">
        <v>23</v>
      </c>
      <c r="G74" s="252" t="s">
        <v>105</v>
      </c>
      <c r="H74" s="52" t="s">
        <v>32</v>
      </c>
      <c r="I74" s="161"/>
      <c r="J74" s="52" t="s">
        <v>34</v>
      </c>
      <c r="K74" s="57">
        <v>47806</v>
      </c>
      <c r="L74" s="17">
        <v>280</v>
      </c>
      <c r="M74" s="17" t="s">
        <v>19</v>
      </c>
      <c r="N74" s="59" t="s">
        <v>883</v>
      </c>
      <c r="O74" s="52" t="s">
        <v>146</v>
      </c>
      <c r="P74" s="17">
        <v>875</v>
      </c>
      <c r="Q74" s="25">
        <f t="shared" si="13"/>
        <v>2</v>
      </c>
      <c r="R74" s="191">
        <f>873</f>
        <v>873</v>
      </c>
      <c r="S74" s="192">
        <f t="shared" si="14"/>
        <v>2</v>
      </c>
      <c r="T74" s="193">
        <v>1307</v>
      </c>
      <c r="U74" s="193" t="s">
        <v>923</v>
      </c>
      <c r="V74" s="192">
        <f>9+874-877+863</f>
        <v>869</v>
      </c>
      <c r="W74" s="192">
        <f t="shared" si="15"/>
        <v>-6</v>
      </c>
      <c r="X74" s="193" t="s">
        <v>1197</v>
      </c>
      <c r="Y74" s="193" t="s">
        <v>1198</v>
      </c>
      <c r="Z74" s="194">
        <f t="shared" si="16"/>
        <v>6.8571428571428568E-3</v>
      </c>
      <c r="AA74" s="255" t="s">
        <v>1199</v>
      </c>
    </row>
    <row r="75" spans="1:27" s="16" customFormat="1" ht="146.25" customHeight="1">
      <c r="A75" s="161"/>
      <c r="B75" s="20">
        <v>46266</v>
      </c>
      <c r="C75" s="20">
        <v>46277</v>
      </c>
      <c r="D75" s="20">
        <v>46279</v>
      </c>
      <c r="E75" s="20">
        <v>46290</v>
      </c>
      <c r="F75" s="56" t="s">
        <v>23</v>
      </c>
      <c r="G75" s="252" t="s">
        <v>105</v>
      </c>
      <c r="H75" s="56" t="s">
        <v>32</v>
      </c>
      <c r="I75" s="161"/>
      <c r="J75" s="56" t="s">
        <v>34</v>
      </c>
      <c r="K75" s="57">
        <v>47807</v>
      </c>
      <c r="L75" s="55">
        <v>280</v>
      </c>
      <c r="M75" s="17" t="s">
        <v>19</v>
      </c>
      <c r="N75" s="59" t="s">
        <v>884</v>
      </c>
      <c r="O75" s="52" t="s">
        <v>146</v>
      </c>
      <c r="P75" s="17">
        <v>903</v>
      </c>
      <c r="Q75" s="25">
        <f t="shared" si="13"/>
        <v>-6</v>
      </c>
      <c r="R75" s="191">
        <f>736+173</f>
        <v>909</v>
      </c>
      <c r="S75" s="192">
        <f t="shared" si="14"/>
        <v>-6</v>
      </c>
      <c r="T75" s="193" t="s">
        <v>1372</v>
      </c>
      <c r="U75" s="193" t="s">
        <v>1373</v>
      </c>
      <c r="V75" s="192">
        <f>727+165</f>
        <v>892</v>
      </c>
      <c r="W75" s="192">
        <f t="shared" si="15"/>
        <v>-11</v>
      </c>
      <c r="X75" s="193" t="s">
        <v>1396</v>
      </c>
      <c r="Y75" s="193" t="s">
        <v>1397</v>
      </c>
      <c r="Z75" s="194">
        <f t="shared" si="16"/>
        <v>1.2181616832779622E-2</v>
      </c>
      <c r="AA75" s="255" t="s">
        <v>1084</v>
      </c>
    </row>
    <row r="76" spans="1:27" s="16" customFormat="1" ht="102" customHeight="1">
      <c r="A76" s="161"/>
      <c r="B76" s="20">
        <v>46266</v>
      </c>
      <c r="C76" s="20">
        <v>46277</v>
      </c>
      <c r="D76" s="20">
        <v>46279</v>
      </c>
      <c r="E76" s="20">
        <v>46289</v>
      </c>
      <c r="F76" s="56" t="s">
        <v>23</v>
      </c>
      <c r="G76" s="252" t="s">
        <v>105</v>
      </c>
      <c r="H76" s="56" t="s">
        <v>32</v>
      </c>
      <c r="I76" s="161"/>
      <c r="J76" s="56" t="s">
        <v>34</v>
      </c>
      <c r="K76" s="57">
        <v>47831</v>
      </c>
      <c r="L76" s="55">
        <v>260</v>
      </c>
      <c r="M76" s="17" t="s">
        <v>56</v>
      </c>
      <c r="N76" s="59" t="s">
        <v>149</v>
      </c>
      <c r="O76" s="52" t="s">
        <v>146</v>
      </c>
      <c r="P76" s="17">
        <v>838</v>
      </c>
      <c r="Q76" s="25">
        <f t="shared" si="13"/>
        <v>-7</v>
      </c>
      <c r="R76" s="191">
        <f>482+245+118</f>
        <v>845</v>
      </c>
      <c r="S76" s="192">
        <f t="shared" si="14"/>
        <v>-7</v>
      </c>
      <c r="T76" s="193" t="s">
        <v>1042</v>
      </c>
      <c r="U76" s="193" t="s">
        <v>1043</v>
      </c>
      <c r="V76" s="192">
        <f>3+14+116+223+456</f>
        <v>812</v>
      </c>
      <c r="W76" s="192">
        <f t="shared" si="15"/>
        <v>-26</v>
      </c>
      <c r="X76" s="193" t="s">
        <v>1367</v>
      </c>
      <c r="Y76" s="193" t="s">
        <v>1368</v>
      </c>
      <c r="Z76" s="194">
        <f t="shared" si="16"/>
        <v>3.1026252983293555E-2</v>
      </c>
      <c r="AA76" s="255" t="s">
        <v>1317</v>
      </c>
    </row>
    <row r="77" spans="1:27" s="16" customFormat="1" ht="73.5" customHeight="1">
      <c r="A77" s="161"/>
      <c r="B77" s="20">
        <v>46266</v>
      </c>
      <c r="C77" s="20">
        <v>46279</v>
      </c>
      <c r="D77" s="20">
        <v>46280</v>
      </c>
      <c r="E77" s="20">
        <v>46289</v>
      </c>
      <c r="F77" s="52" t="s">
        <v>38</v>
      </c>
      <c r="G77" s="252" t="s">
        <v>105</v>
      </c>
      <c r="H77" s="56" t="s">
        <v>138</v>
      </c>
      <c r="I77" s="161"/>
      <c r="J77" s="56" t="s">
        <v>34</v>
      </c>
      <c r="K77" s="57">
        <v>47880</v>
      </c>
      <c r="L77" s="55">
        <v>160</v>
      </c>
      <c r="M77" s="17" t="s">
        <v>47</v>
      </c>
      <c r="N77" s="52" t="s">
        <v>1078</v>
      </c>
      <c r="O77" s="52" t="s">
        <v>20</v>
      </c>
      <c r="P77" s="55">
        <f>1790+50+45</f>
        <v>1885</v>
      </c>
      <c r="Q77" s="25">
        <f t="shared" si="13"/>
        <v>117</v>
      </c>
      <c r="R77" s="191">
        <f>471+425+7+865</f>
        <v>1768</v>
      </c>
      <c r="S77" s="195">
        <f t="shared" si="14"/>
        <v>117</v>
      </c>
      <c r="T77" s="193" t="s">
        <v>1344</v>
      </c>
      <c r="U77" s="193" t="s">
        <v>1345</v>
      </c>
      <c r="V77" s="192">
        <f>213+207+478+852</f>
        <v>1750</v>
      </c>
      <c r="W77" s="192">
        <f t="shared" si="15"/>
        <v>-135</v>
      </c>
      <c r="X77" s="193" t="s">
        <v>1401</v>
      </c>
      <c r="Y77" s="193" t="s">
        <v>1402</v>
      </c>
      <c r="Z77" s="226">
        <f t="shared" si="16"/>
        <v>7.161803713527852E-2</v>
      </c>
      <c r="AA77" s="255" t="s">
        <v>1318</v>
      </c>
    </row>
    <row r="78" spans="1:27" s="16" customFormat="1" ht="149.25" customHeight="1">
      <c r="A78" s="161"/>
      <c r="B78" s="20">
        <v>46266</v>
      </c>
      <c r="C78" s="20">
        <v>46279</v>
      </c>
      <c r="D78" s="20">
        <v>46279</v>
      </c>
      <c r="E78" s="20">
        <v>46288</v>
      </c>
      <c r="F78" s="56" t="s">
        <v>23</v>
      </c>
      <c r="G78" s="252" t="s">
        <v>105</v>
      </c>
      <c r="H78" s="56" t="s">
        <v>31</v>
      </c>
      <c r="I78" s="161"/>
      <c r="J78" s="56" t="s">
        <v>34</v>
      </c>
      <c r="K78" s="57">
        <v>47816</v>
      </c>
      <c r="L78" s="55">
        <v>160</v>
      </c>
      <c r="M78" s="17" t="s">
        <v>67</v>
      </c>
      <c r="N78" s="59" t="s">
        <v>101</v>
      </c>
      <c r="O78" s="52" t="s">
        <v>20</v>
      </c>
      <c r="P78" s="17">
        <v>614</v>
      </c>
      <c r="Q78" s="25">
        <f t="shared" si="13"/>
        <v>1</v>
      </c>
      <c r="R78" s="191">
        <f>613</f>
        <v>613</v>
      </c>
      <c r="S78" s="192">
        <f t="shared" si="14"/>
        <v>1</v>
      </c>
      <c r="T78" s="193">
        <v>2090</v>
      </c>
      <c r="U78" s="193" t="s">
        <v>1083</v>
      </c>
      <c r="V78" s="192">
        <f>12+571</f>
        <v>583</v>
      </c>
      <c r="W78" s="192">
        <f t="shared" si="15"/>
        <v>-31</v>
      </c>
      <c r="X78" s="193" t="s">
        <v>1239</v>
      </c>
      <c r="Y78" s="193" t="s">
        <v>1240</v>
      </c>
      <c r="Z78" s="194">
        <f t="shared" si="16"/>
        <v>5.0488599348534197E-2</v>
      </c>
      <c r="AA78" s="255" t="s">
        <v>1202</v>
      </c>
    </row>
    <row r="79" spans="1:27" s="16" customFormat="1" ht="115.5" customHeight="1">
      <c r="A79" s="161"/>
      <c r="B79" s="20">
        <v>46266</v>
      </c>
      <c r="C79" s="20">
        <v>46279</v>
      </c>
      <c r="D79" s="20">
        <v>46279</v>
      </c>
      <c r="E79" s="20">
        <v>46288</v>
      </c>
      <c r="F79" s="56" t="s">
        <v>23</v>
      </c>
      <c r="G79" s="252" t="s">
        <v>105</v>
      </c>
      <c r="H79" s="56" t="s">
        <v>31</v>
      </c>
      <c r="I79" s="161"/>
      <c r="J79" s="56" t="s">
        <v>34</v>
      </c>
      <c r="K79" s="57">
        <v>47816</v>
      </c>
      <c r="L79" s="55">
        <v>160</v>
      </c>
      <c r="M79" s="17" t="s">
        <v>67</v>
      </c>
      <c r="N79" s="59" t="s">
        <v>885</v>
      </c>
      <c r="O79" s="52" t="s">
        <v>20</v>
      </c>
      <c r="P79" s="17">
        <v>614</v>
      </c>
      <c r="Q79" s="25">
        <f t="shared" si="13"/>
        <v>-25</v>
      </c>
      <c r="R79" s="191">
        <f>639</f>
        <v>639</v>
      </c>
      <c r="S79" s="192">
        <f t="shared" si="14"/>
        <v>-25</v>
      </c>
      <c r="T79" s="193">
        <v>1341</v>
      </c>
      <c r="U79" s="193" t="s">
        <v>1103</v>
      </c>
      <c r="V79" s="192">
        <f>617</f>
        <v>617</v>
      </c>
      <c r="W79" s="192">
        <f t="shared" si="15"/>
        <v>3</v>
      </c>
      <c r="X79" s="193">
        <v>2006</v>
      </c>
      <c r="Y79" s="193" t="s">
        <v>1137</v>
      </c>
      <c r="Z79" s="194">
        <f t="shared" si="16"/>
        <v>-4.8859934853420191E-3</v>
      </c>
      <c r="AA79" s="255" t="s">
        <v>1123</v>
      </c>
    </row>
    <row r="80" spans="1:27" s="16" customFormat="1" ht="81" customHeight="1">
      <c r="A80" s="161"/>
      <c r="B80" s="20">
        <v>46266</v>
      </c>
      <c r="C80" s="20">
        <v>46279</v>
      </c>
      <c r="D80" s="20">
        <v>46279</v>
      </c>
      <c r="E80" s="20">
        <v>46288</v>
      </c>
      <c r="F80" s="56" t="s">
        <v>23</v>
      </c>
      <c r="G80" s="252" t="s">
        <v>105</v>
      </c>
      <c r="H80" s="56" t="s">
        <v>31</v>
      </c>
      <c r="I80" s="161"/>
      <c r="J80" s="56" t="s">
        <v>34</v>
      </c>
      <c r="K80" s="57">
        <v>47816</v>
      </c>
      <c r="L80" s="55">
        <v>160</v>
      </c>
      <c r="M80" s="17" t="s">
        <v>67</v>
      </c>
      <c r="N80" s="59" t="s">
        <v>886</v>
      </c>
      <c r="O80" s="52" t="s">
        <v>20</v>
      </c>
      <c r="P80" s="17">
        <v>614</v>
      </c>
      <c r="Q80" s="25">
        <f t="shared" si="13"/>
        <v>-36</v>
      </c>
      <c r="R80" s="191">
        <f>650</f>
        <v>650</v>
      </c>
      <c r="S80" s="192">
        <f t="shared" si="14"/>
        <v>-36</v>
      </c>
      <c r="T80" s="193">
        <v>2090</v>
      </c>
      <c r="U80" s="193" t="s">
        <v>1083</v>
      </c>
      <c r="V80" s="192">
        <f>540+80</f>
        <v>620</v>
      </c>
      <c r="W80" s="192">
        <f t="shared" si="15"/>
        <v>6</v>
      </c>
      <c r="X80" s="193" t="s">
        <v>1110</v>
      </c>
      <c r="Y80" s="193" t="s">
        <v>1111</v>
      </c>
      <c r="Z80" s="194">
        <f t="shared" si="16"/>
        <v>-9.7719869706840382E-3</v>
      </c>
      <c r="AA80" s="255" t="s">
        <v>1109</v>
      </c>
    </row>
    <row r="81" spans="1:27" s="16" customFormat="1" ht="51.75" customHeight="1">
      <c r="A81" s="161"/>
      <c r="B81" s="20">
        <v>46276</v>
      </c>
      <c r="C81" s="20">
        <v>46284</v>
      </c>
      <c r="D81" s="20">
        <v>46286</v>
      </c>
      <c r="E81" s="20">
        <v>46295</v>
      </c>
      <c r="F81" s="56" t="s">
        <v>23</v>
      </c>
      <c r="G81" s="252" t="s">
        <v>105</v>
      </c>
      <c r="H81" s="56" t="s">
        <v>32</v>
      </c>
      <c r="I81" s="161"/>
      <c r="J81" s="56" t="s">
        <v>34</v>
      </c>
      <c r="K81" s="57">
        <v>48132</v>
      </c>
      <c r="L81" s="55">
        <v>200</v>
      </c>
      <c r="M81" s="17" t="s">
        <v>56</v>
      </c>
      <c r="N81" s="52" t="s">
        <v>137</v>
      </c>
      <c r="O81" s="52" t="s">
        <v>887</v>
      </c>
      <c r="P81" s="55">
        <f>311+127</f>
        <v>438</v>
      </c>
      <c r="Q81" s="25">
        <f t="shared" si="13"/>
        <v>-7</v>
      </c>
      <c r="R81" s="191">
        <f>445</f>
        <v>445</v>
      </c>
      <c r="S81" s="192">
        <f t="shared" si="14"/>
        <v>-7</v>
      </c>
      <c r="T81" s="193">
        <v>3199</v>
      </c>
      <c r="U81" s="193" t="s">
        <v>1398</v>
      </c>
      <c r="V81" s="192">
        <v>0</v>
      </c>
      <c r="W81" s="192">
        <f t="shared" si="15"/>
        <v>-438</v>
      </c>
      <c r="X81" s="193"/>
      <c r="Y81" s="193"/>
      <c r="Z81" s="194">
        <f t="shared" si="16"/>
        <v>1</v>
      </c>
      <c r="AA81" s="255" t="s">
        <v>998</v>
      </c>
    </row>
    <row r="82" spans="1:27" s="16" customFormat="1" ht="51.75" customHeight="1">
      <c r="A82" s="161"/>
      <c r="B82" s="20">
        <v>46270</v>
      </c>
      <c r="C82" s="18">
        <v>46283</v>
      </c>
      <c r="D82" s="53">
        <v>46283</v>
      </c>
      <c r="E82" s="53">
        <v>46289</v>
      </c>
      <c r="F82" s="52" t="s">
        <v>23</v>
      </c>
      <c r="G82" s="252" t="s">
        <v>62</v>
      </c>
      <c r="H82" s="52" t="s">
        <v>400</v>
      </c>
      <c r="I82" s="161"/>
      <c r="J82" s="52" t="s">
        <v>162</v>
      </c>
      <c r="K82" s="141">
        <v>48626</v>
      </c>
      <c r="L82" s="17">
        <v>260</v>
      </c>
      <c r="M82" s="17" t="s">
        <v>1070</v>
      </c>
      <c r="N82" s="59" t="s">
        <v>37</v>
      </c>
      <c r="O82" s="52" t="s">
        <v>173</v>
      </c>
      <c r="P82" s="17">
        <v>200</v>
      </c>
      <c r="Q82" s="25">
        <f t="shared" si="13"/>
        <v>-2</v>
      </c>
      <c r="R82" s="191">
        <f>202</f>
        <v>202</v>
      </c>
      <c r="S82" s="192">
        <f t="shared" si="14"/>
        <v>-2</v>
      </c>
      <c r="T82" s="193">
        <v>3194</v>
      </c>
      <c r="U82" s="193" t="s">
        <v>1363</v>
      </c>
      <c r="V82" s="192">
        <f>199</f>
        <v>199</v>
      </c>
      <c r="W82" s="192">
        <f t="shared" si="15"/>
        <v>-1</v>
      </c>
      <c r="X82" s="193">
        <v>42901</v>
      </c>
      <c r="Y82" s="193" t="s">
        <v>1398</v>
      </c>
      <c r="Z82" s="194">
        <f t="shared" si="16"/>
        <v>5.0000000000000001E-3</v>
      </c>
      <c r="AA82" s="255" t="s">
        <v>1371</v>
      </c>
    </row>
    <row r="83" spans="1:27" s="16" customFormat="1" ht="51.75" customHeight="1">
      <c r="A83" s="161"/>
      <c r="B83" s="20">
        <v>46269</v>
      </c>
      <c r="C83" s="118">
        <v>46283</v>
      </c>
      <c r="D83" s="118">
        <v>46283</v>
      </c>
      <c r="E83" s="118">
        <v>46289</v>
      </c>
      <c r="F83" s="52" t="s">
        <v>23</v>
      </c>
      <c r="G83" s="252" t="s">
        <v>62</v>
      </c>
      <c r="H83" s="52" t="s">
        <v>400</v>
      </c>
      <c r="I83" s="161"/>
      <c r="J83" s="52" t="s">
        <v>162</v>
      </c>
      <c r="K83" s="141">
        <v>48617</v>
      </c>
      <c r="L83" s="17">
        <v>190</v>
      </c>
      <c r="M83" s="17" t="s">
        <v>60</v>
      </c>
      <c r="N83" s="59" t="s">
        <v>27</v>
      </c>
      <c r="O83" s="52" t="s">
        <v>1071</v>
      </c>
      <c r="P83" s="17">
        <v>191</v>
      </c>
      <c r="Q83" s="25">
        <f t="shared" si="13"/>
        <v>-8</v>
      </c>
      <c r="R83" s="191">
        <f>199</f>
        <v>199</v>
      </c>
      <c r="S83" s="192">
        <f t="shared" si="14"/>
        <v>-8</v>
      </c>
      <c r="T83" s="193">
        <v>3194</v>
      </c>
      <c r="U83" s="193" t="s">
        <v>1363</v>
      </c>
      <c r="V83" s="192">
        <f>195</f>
        <v>195</v>
      </c>
      <c r="W83" s="192">
        <f t="shared" si="15"/>
        <v>4</v>
      </c>
      <c r="X83" s="193">
        <v>42901</v>
      </c>
      <c r="Y83" s="193" t="s">
        <v>1398</v>
      </c>
      <c r="Z83" s="194">
        <f t="shared" si="16"/>
        <v>-2.0942408376963352E-2</v>
      </c>
      <c r="AA83" s="255" t="s">
        <v>1164</v>
      </c>
    </row>
    <row r="84" spans="1:27" s="16" customFormat="1" ht="51.75" customHeight="1">
      <c r="A84" s="161"/>
      <c r="B84" s="20">
        <v>46269</v>
      </c>
      <c r="C84" s="118">
        <v>46283</v>
      </c>
      <c r="D84" s="118">
        <v>46283</v>
      </c>
      <c r="E84" s="118">
        <v>46289</v>
      </c>
      <c r="F84" s="52" t="s">
        <v>121</v>
      </c>
      <c r="G84" s="252" t="s">
        <v>62</v>
      </c>
      <c r="H84" s="52" t="s">
        <v>400</v>
      </c>
      <c r="I84" s="161"/>
      <c r="J84" s="52" t="s">
        <v>162</v>
      </c>
      <c r="K84" s="141">
        <v>48617</v>
      </c>
      <c r="L84" s="17">
        <v>190</v>
      </c>
      <c r="M84" s="17" t="s">
        <v>60</v>
      </c>
      <c r="N84" s="52" t="s">
        <v>1072</v>
      </c>
      <c r="O84" s="52" t="s">
        <v>1071</v>
      </c>
      <c r="P84" s="17">
        <v>374</v>
      </c>
      <c r="Q84" s="25">
        <f t="shared" si="13"/>
        <v>40</v>
      </c>
      <c r="R84" s="191">
        <f>334</f>
        <v>334</v>
      </c>
      <c r="S84" s="195">
        <f t="shared" si="14"/>
        <v>40</v>
      </c>
      <c r="T84" s="193">
        <v>3756</v>
      </c>
      <c r="U84" s="193" t="s">
        <v>1398</v>
      </c>
      <c r="V84" s="192">
        <v>0</v>
      </c>
      <c r="W84" s="192">
        <f t="shared" si="15"/>
        <v>-374</v>
      </c>
      <c r="X84" s="193"/>
      <c r="Y84" s="193"/>
      <c r="Z84" s="194">
        <f t="shared" si="16"/>
        <v>1</v>
      </c>
      <c r="AA84" s="255" t="s">
        <v>1127</v>
      </c>
    </row>
    <row r="85" spans="1:27" s="16" customFormat="1" ht="51.75" customHeight="1">
      <c r="A85" s="161"/>
      <c r="B85" s="20">
        <v>46272</v>
      </c>
      <c r="C85" s="18">
        <v>46284</v>
      </c>
      <c r="D85" s="53">
        <v>46282</v>
      </c>
      <c r="E85" s="53">
        <v>46290</v>
      </c>
      <c r="F85" s="52" t="s">
        <v>23</v>
      </c>
      <c r="G85" s="252" t="s">
        <v>62</v>
      </c>
      <c r="H85" s="52" t="s">
        <v>400</v>
      </c>
      <c r="I85" s="161"/>
      <c r="J85" s="52" t="s">
        <v>162</v>
      </c>
      <c r="K85" s="141">
        <v>48612</v>
      </c>
      <c r="L85" s="17">
        <v>240</v>
      </c>
      <c r="M85" s="17" t="s">
        <v>43</v>
      </c>
      <c r="N85" s="59" t="s">
        <v>1073</v>
      </c>
      <c r="O85" s="52" t="s">
        <v>28</v>
      </c>
      <c r="P85" s="17">
        <v>886</v>
      </c>
      <c r="Q85" s="25">
        <f t="shared" si="13"/>
        <v>-10</v>
      </c>
      <c r="R85" s="191">
        <f>896</f>
        <v>896</v>
      </c>
      <c r="S85" s="192">
        <f t="shared" si="14"/>
        <v>-10</v>
      </c>
      <c r="T85" s="193">
        <v>1339</v>
      </c>
      <c r="U85" s="193" t="s">
        <v>1129</v>
      </c>
      <c r="V85" s="192">
        <f>890</f>
        <v>890</v>
      </c>
      <c r="W85" s="192">
        <f t="shared" si="15"/>
        <v>4</v>
      </c>
      <c r="X85" s="193">
        <v>42514</v>
      </c>
      <c r="Y85" s="193" t="s">
        <v>1165</v>
      </c>
      <c r="Z85" s="194">
        <f t="shared" si="16"/>
        <v>-4.5146726862302479E-3</v>
      </c>
      <c r="AA85" s="255" t="s">
        <v>1128</v>
      </c>
    </row>
    <row r="86" spans="1:27" s="16" customFormat="1" ht="67.5" customHeight="1">
      <c r="A86" s="161"/>
      <c r="B86" s="20">
        <v>46272</v>
      </c>
      <c r="C86" s="18">
        <v>46284</v>
      </c>
      <c r="D86" s="53">
        <v>46282</v>
      </c>
      <c r="E86" s="53">
        <v>46290</v>
      </c>
      <c r="F86" s="52" t="s">
        <v>23</v>
      </c>
      <c r="G86" s="252" t="s">
        <v>62</v>
      </c>
      <c r="H86" s="52" t="s">
        <v>400</v>
      </c>
      <c r="I86" s="161"/>
      <c r="J86" s="52" t="s">
        <v>162</v>
      </c>
      <c r="K86" s="141">
        <v>48612</v>
      </c>
      <c r="L86" s="17">
        <v>240</v>
      </c>
      <c r="M86" s="17" t="s">
        <v>43</v>
      </c>
      <c r="N86" s="59" t="s">
        <v>1072</v>
      </c>
      <c r="O86" s="52" t="s">
        <v>28</v>
      </c>
      <c r="P86" s="111">
        <f>544+9</f>
        <v>553</v>
      </c>
      <c r="Q86" s="25">
        <f t="shared" si="13"/>
        <v>-7</v>
      </c>
      <c r="R86" s="191">
        <f>560</f>
        <v>560</v>
      </c>
      <c r="S86" s="192">
        <f t="shared" si="14"/>
        <v>-7</v>
      </c>
      <c r="T86" s="193">
        <v>1339</v>
      </c>
      <c r="U86" s="193" t="s">
        <v>1129</v>
      </c>
      <c r="V86" s="192">
        <f>568</f>
        <v>568</v>
      </c>
      <c r="W86" s="192">
        <f t="shared" si="15"/>
        <v>15</v>
      </c>
      <c r="X86" s="193">
        <v>42590</v>
      </c>
      <c r="Y86" s="193" t="s">
        <v>1193</v>
      </c>
      <c r="Z86" s="194">
        <f t="shared" si="16"/>
        <v>-2.7124773960216998E-2</v>
      </c>
      <c r="AA86" s="255" t="s">
        <v>1136</v>
      </c>
    </row>
    <row r="87" spans="1:27" s="16" customFormat="1" ht="51.75" customHeight="1">
      <c r="A87" s="161"/>
      <c r="B87" s="20">
        <v>46272</v>
      </c>
      <c r="C87" s="18">
        <v>46284</v>
      </c>
      <c r="D87" s="53">
        <v>46282</v>
      </c>
      <c r="E87" s="53">
        <v>46290</v>
      </c>
      <c r="F87" s="52" t="s">
        <v>23</v>
      </c>
      <c r="G87" s="252" t="s">
        <v>62</v>
      </c>
      <c r="H87" s="52" t="s">
        <v>400</v>
      </c>
      <c r="I87" s="161"/>
      <c r="J87" s="52" t="s">
        <v>162</v>
      </c>
      <c r="K87" s="141">
        <v>48612</v>
      </c>
      <c r="L87" s="17">
        <v>240</v>
      </c>
      <c r="M87" s="17" t="s">
        <v>43</v>
      </c>
      <c r="N87" s="59" t="s">
        <v>27</v>
      </c>
      <c r="O87" s="52" t="s">
        <v>28</v>
      </c>
      <c r="P87" s="111">
        <f>908+15</f>
        <v>923</v>
      </c>
      <c r="Q87" s="25">
        <f t="shared" si="13"/>
        <v>-5</v>
      </c>
      <c r="R87" s="191">
        <f>814+114</f>
        <v>928</v>
      </c>
      <c r="S87" s="192">
        <f t="shared" si="14"/>
        <v>-5</v>
      </c>
      <c r="T87" s="193" t="s">
        <v>1246</v>
      </c>
      <c r="U87" s="193" t="s">
        <v>1247</v>
      </c>
      <c r="V87" s="192">
        <f>798+115</f>
        <v>913</v>
      </c>
      <c r="W87" s="192">
        <f t="shared" si="15"/>
        <v>-10</v>
      </c>
      <c r="X87" s="193" t="s">
        <v>1292</v>
      </c>
      <c r="Y87" s="193" t="s">
        <v>1293</v>
      </c>
      <c r="Z87" s="194">
        <f t="shared" si="16"/>
        <v>1.0834236186348862E-2</v>
      </c>
      <c r="AA87" s="255" t="s">
        <v>1126</v>
      </c>
    </row>
    <row r="88" spans="1:27" s="16" customFormat="1" ht="66.75" customHeight="1">
      <c r="A88" s="161"/>
      <c r="B88" s="20">
        <v>46271</v>
      </c>
      <c r="C88" s="18">
        <v>46282</v>
      </c>
      <c r="D88" s="53">
        <v>46283</v>
      </c>
      <c r="E88" s="53">
        <v>46289</v>
      </c>
      <c r="F88" s="52" t="s">
        <v>23</v>
      </c>
      <c r="G88" s="252" t="s">
        <v>62</v>
      </c>
      <c r="H88" s="52" t="s">
        <v>400</v>
      </c>
      <c r="I88" s="161"/>
      <c r="J88" s="52" t="s">
        <v>162</v>
      </c>
      <c r="K88" s="141">
        <v>48616</v>
      </c>
      <c r="L88" s="17">
        <v>190</v>
      </c>
      <c r="M88" s="17" t="s">
        <v>60</v>
      </c>
      <c r="N88" s="59" t="s">
        <v>27</v>
      </c>
      <c r="O88" s="52" t="s">
        <v>1071</v>
      </c>
      <c r="P88" s="17">
        <v>211</v>
      </c>
      <c r="Q88" s="25">
        <f t="shared" si="13"/>
        <v>-9</v>
      </c>
      <c r="R88" s="191">
        <f>220</f>
        <v>220</v>
      </c>
      <c r="S88" s="192">
        <f t="shared" si="14"/>
        <v>-9</v>
      </c>
      <c r="T88" s="193">
        <v>3194</v>
      </c>
      <c r="U88" s="193" t="s">
        <v>1363</v>
      </c>
      <c r="V88" s="192">
        <f>216</f>
        <v>216</v>
      </c>
      <c r="W88" s="192">
        <f t="shared" si="15"/>
        <v>5</v>
      </c>
      <c r="X88" s="193">
        <v>42901</v>
      </c>
      <c r="Y88" s="193" t="s">
        <v>1398</v>
      </c>
      <c r="Z88" s="194">
        <f t="shared" si="16"/>
        <v>-2.3696682464454978E-2</v>
      </c>
      <c r="AA88" s="255" t="s">
        <v>1164</v>
      </c>
    </row>
    <row r="89" spans="1:27" s="16" customFormat="1" ht="66.75" customHeight="1">
      <c r="A89" s="161"/>
      <c r="B89" s="20">
        <v>46271</v>
      </c>
      <c r="C89" s="18">
        <v>46282</v>
      </c>
      <c r="D89" s="53">
        <v>46283</v>
      </c>
      <c r="E89" s="53">
        <v>46289</v>
      </c>
      <c r="F89" s="52" t="s">
        <v>121</v>
      </c>
      <c r="G89" s="252" t="s">
        <v>62</v>
      </c>
      <c r="H89" s="52" t="s">
        <v>400</v>
      </c>
      <c r="I89" s="161"/>
      <c r="J89" s="52" t="s">
        <v>162</v>
      </c>
      <c r="K89" s="141">
        <v>48616</v>
      </c>
      <c r="L89" s="17">
        <v>190</v>
      </c>
      <c r="M89" s="17" t="s">
        <v>60</v>
      </c>
      <c r="N89" s="52" t="s">
        <v>1072</v>
      </c>
      <c r="O89" s="52" t="s">
        <v>1071</v>
      </c>
      <c r="P89" s="17">
        <v>295</v>
      </c>
      <c r="Q89" s="25">
        <f t="shared" si="13"/>
        <v>16</v>
      </c>
      <c r="R89" s="191">
        <f>279</f>
        <v>279</v>
      </c>
      <c r="S89" s="195">
        <f t="shared" si="14"/>
        <v>16</v>
      </c>
      <c r="T89" s="193">
        <v>2197</v>
      </c>
      <c r="U89" s="193" t="s">
        <v>1310</v>
      </c>
      <c r="V89" s="192">
        <v>0</v>
      </c>
      <c r="W89" s="192">
        <f t="shared" si="15"/>
        <v>-295</v>
      </c>
      <c r="X89" s="193"/>
      <c r="Y89" s="193"/>
      <c r="Z89" s="194">
        <f t="shared" si="16"/>
        <v>1</v>
      </c>
      <c r="AA89" s="255" t="s">
        <v>1127</v>
      </c>
    </row>
    <row r="90" spans="1:27" s="16" customFormat="1" ht="76.5" customHeight="1">
      <c r="A90" s="161"/>
      <c r="B90" s="20">
        <v>46271</v>
      </c>
      <c r="C90" s="18">
        <v>46282</v>
      </c>
      <c r="D90" s="53">
        <v>46283</v>
      </c>
      <c r="E90" s="53">
        <v>46289</v>
      </c>
      <c r="F90" s="52" t="s">
        <v>25</v>
      </c>
      <c r="G90" s="252" t="s">
        <v>62</v>
      </c>
      <c r="H90" s="52" t="s">
        <v>400</v>
      </c>
      <c r="I90" s="161"/>
      <c r="J90" s="52" t="s">
        <v>162</v>
      </c>
      <c r="K90" s="141">
        <v>48616</v>
      </c>
      <c r="L90" s="17">
        <v>190</v>
      </c>
      <c r="M90" s="17" t="s">
        <v>60</v>
      </c>
      <c r="N90" s="59" t="s">
        <v>1074</v>
      </c>
      <c r="O90" s="52" t="s">
        <v>1071</v>
      </c>
      <c r="P90" s="17">
        <v>175</v>
      </c>
      <c r="Q90" s="25">
        <f t="shared" si="13"/>
        <v>-13</v>
      </c>
      <c r="R90" s="191">
        <f>188</f>
        <v>188</v>
      </c>
      <c r="S90" s="192">
        <f t="shared" si="14"/>
        <v>-13</v>
      </c>
      <c r="T90" s="193">
        <v>2197</v>
      </c>
      <c r="U90" s="193" t="s">
        <v>1310</v>
      </c>
      <c r="V90" s="192">
        <f>173</f>
        <v>173</v>
      </c>
      <c r="W90" s="192">
        <f t="shared" si="15"/>
        <v>-2</v>
      </c>
      <c r="X90" s="193">
        <v>42901</v>
      </c>
      <c r="Y90" s="193" t="s">
        <v>1398</v>
      </c>
      <c r="Z90" s="194">
        <f t="shared" si="16"/>
        <v>1.1428571428571429E-2</v>
      </c>
      <c r="AA90" s="255" t="s">
        <v>1127</v>
      </c>
    </row>
    <row r="91" spans="1:27" s="16" customFormat="1" ht="51.75" customHeight="1">
      <c r="A91" s="161"/>
      <c r="B91" s="20">
        <v>46267</v>
      </c>
      <c r="C91" s="18">
        <v>46282</v>
      </c>
      <c r="D91" s="53">
        <v>46280</v>
      </c>
      <c r="E91" s="53">
        <v>46286</v>
      </c>
      <c r="F91" s="52" t="s">
        <v>23</v>
      </c>
      <c r="G91" s="252" t="s">
        <v>62</v>
      </c>
      <c r="H91" s="52" t="s">
        <v>400</v>
      </c>
      <c r="I91" s="161"/>
      <c r="J91" s="52" t="s">
        <v>162</v>
      </c>
      <c r="K91" s="141">
        <v>48615</v>
      </c>
      <c r="L91" s="17">
        <v>190</v>
      </c>
      <c r="M91" s="17" t="s">
        <v>60</v>
      </c>
      <c r="N91" s="59" t="s">
        <v>27</v>
      </c>
      <c r="O91" s="52" t="s">
        <v>1071</v>
      </c>
      <c r="P91" s="17">
        <v>76</v>
      </c>
      <c r="Q91" s="25">
        <f t="shared" si="13"/>
        <v>-6</v>
      </c>
      <c r="R91" s="191">
        <f>82</f>
        <v>82</v>
      </c>
      <c r="S91" s="192">
        <f t="shared" si="14"/>
        <v>-6</v>
      </c>
      <c r="T91" s="193">
        <v>3194</v>
      </c>
      <c r="U91" s="193" t="s">
        <v>1363</v>
      </c>
      <c r="V91" s="192">
        <f>80</f>
        <v>80</v>
      </c>
      <c r="W91" s="192">
        <f t="shared" si="15"/>
        <v>4</v>
      </c>
      <c r="X91" s="193">
        <v>42901</v>
      </c>
      <c r="Y91" s="193" t="s">
        <v>1398</v>
      </c>
      <c r="Z91" s="194">
        <f t="shared" si="16"/>
        <v>-5.2631578947368425E-2</v>
      </c>
      <c r="AA91" s="255" t="s">
        <v>1164</v>
      </c>
    </row>
    <row r="92" spans="1:27" s="16" customFormat="1" ht="51.75" customHeight="1">
      <c r="A92" s="161"/>
      <c r="B92" s="20">
        <v>46267</v>
      </c>
      <c r="C92" s="18">
        <v>46282</v>
      </c>
      <c r="D92" s="53">
        <v>46280</v>
      </c>
      <c r="E92" s="53">
        <v>46286</v>
      </c>
      <c r="F92" s="52" t="s">
        <v>121</v>
      </c>
      <c r="G92" s="252" t="s">
        <v>62</v>
      </c>
      <c r="H92" s="52" t="s">
        <v>400</v>
      </c>
      <c r="I92" s="161"/>
      <c r="J92" s="52" t="s">
        <v>162</v>
      </c>
      <c r="K92" s="141">
        <v>48615</v>
      </c>
      <c r="L92" s="17">
        <v>190</v>
      </c>
      <c r="M92" s="17" t="s">
        <v>60</v>
      </c>
      <c r="N92" s="52" t="s">
        <v>1072</v>
      </c>
      <c r="O92" s="52" t="s">
        <v>1071</v>
      </c>
      <c r="P92" s="17">
        <v>217</v>
      </c>
      <c r="Q92" s="25">
        <f t="shared" si="13"/>
        <v>-5</v>
      </c>
      <c r="R92" s="191">
        <f>222</f>
        <v>222</v>
      </c>
      <c r="S92" s="192">
        <f t="shared" si="14"/>
        <v>-5</v>
      </c>
      <c r="T92" s="193">
        <v>3756</v>
      </c>
      <c r="U92" s="193" t="s">
        <v>1398</v>
      </c>
      <c r="V92" s="192">
        <v>0</v>
      </c>
      <c r="W92" s="192">
        <f t="shared" si="15"/>
        <v>-217</v>
      </c>
      <c r="X92" s="193"/>
      <c r="Y92" s="193"/>
      <c r="Z92" s="194">
        <f t="shared" si="16"/>
        <v>1</v>
      </c>
      <c r="AA92" s="255" t="s">
        <v>1127</v>
      </c>
    </row>
    <row r="93" spans="1:27" s="16" customFormat="1" ht="51.75" customHeight="1">
      <c r="A93" s="161"/>
      <c r="B93" s="20">
        <v>46267</v>
      </c>
      <c r="C93" s="18">
        <v>46282</v>
      </c>
      <c r="D93" s="53">
        <v>46280</v>
      </c>
      <c r="E93" s="53">
        <v>46286</v>
      </c>
      <c r="F93" s="52" t="s">
        <v>25</v>
      </c>
      <c r="G93" s="252" t="s">
        <v>62</v>
      </c>
      <c r="H93" s="52" t="s">
        <v>400</v>
      </c>
      <c r="I93" s="161"/>
      <c r="J93" s="52" t="s">
        <v>162</v>
      </c>
      <c r="K93" s="141">
        <v>48615</v>
      </c>
      <c r="L93" s="17">
        <v>190</v>
      </c>
      <c r="M93" s="17" t="s">
        <v>60</v>
      </c>
      <c r="N93" s="52" t="s">
        <v>1074</v>
      </c>
      <c r="O93" s="52" t="s">
        <v>1071</v>
      </c>
      <c r="P93" s="17">
        <v>144</v>
      </c>
      <c r="Q93" s="25">
        <f t="shared" si="13"/>
        <v>144</v>
      </c>
      <c r="R93" s="191">
        <v>0</v>
      </c>
      <c r="S93" s="192">
        <f t="shared" si="14"/>
        <v>144</v>
      </c>
      <c r="T93" s="193"/>
      <c r="U93" s="193"/>
      <c r="V93" s="192">
        <v>0</v>
      </c>
      <c r="W93" s="192">
        <f t="shared" si="15"/>
        <v>-144</v>
      </c>
      <c r="X93" s="193"/>
      <c r="Y93" s="193"/>
      <c r="Z93" s="194">
        <f t="shared" si="16"/>
        <v>1</v>
      </c>
      <c r="AA93" s="255" t="s">
        <v>1127</v>
      </c>
    </row>
    <row r="94" spans="1:27" s="16" customFormat="1" ht="51.75" customHeight="1">
      <c r="A94"/>
      <c r="B94" s="144">
        <v>46273</v>
      </c>
      <c r="C94" s="118">
        <v>46286</v>
      </c>
      <c r="D94" s="224">
        <v>46284</v>
      </c>
      <c r="E94" s="224">
        <v>46293</v>
      </c>
      <c r="F94" s="52" t="s">
        <v>23</v>
      </c>
      <c r="G94" s="252" t="s">
        <v>99</v>
      </c>
      <c r="H94" s="17" t="s">
        <v>926</v>
      </c>
      <c r="I94" s="161"/>
      <c r="J94" s="52" t="s">
        <v>444</v>
      </c>
      <c r="K94" s="244" t="s">
        <v>1075</v>
      </c>
      <c r="L94" s="17">
        <v>180</v>
      </c>
      <c r="M94" s="17" t="s">
        <v>42</v>
      </c>
      <c r="N94" s="52" t="s">
        <v>1076</v>
      </c>
      <c r="O94" s="52" t="s">
        <v>52</v>
      </c>
      <c r="P94" s="111">
        <f>497+33</f>
        <v>530</v>
      </c>
      <c r="Q94" s="25">
        <f t="shared" si="13"/>
        <v>-8</v>
      </c>
      <c r="R94" s="191">
        <f>538</f>
        <v>538</v>
      </c>
      <c r="S94" s="192">
        <f t="shared" si="14"/>
        <v>-8</v>
      </c>
      <c r="T94" s="193">
        <v>3304</v>
      </c>
      <c r="U94" s="193" t="s">
        <v>1398</v>
      </c>
      <c r="V94" s="192">
        <v>0</v>
      </c>
      <c r="W94" s="192">
        <f t="shared" si="15"/>
        <v>-530</v>
      </c>
      <c r="X94" s="193"/>
      <c r="Y94" s="193"/>
      <c r="Z94" s="194">
        <f t="shared" si="16"/>
        <v>1</v>
      </c>
      <c r="AA94" s="255" t="s">
        <v>1356</v>
      </c>
    </row>
    <row r="95" spans="1:27" s="16" customFormat="1" ht="51.75" customHeight="1">
      <c r="A95" s="161"/>
      <c r="B95" s="144">
        <v>46273</v>
      </c>
      <c r="C95" s="118">
        <v>46286</v>
      </c>
      <c r="D95" s="224">
        <v>46284</v>
      </c>
      <c r="E95" s="224">
        <v>46293</v>
      </c>
      <c r="F95" s="52" t="s">
        <v>23</v>
      </c>
      <c r="G95" s="252" t="s">
        <v>99</v>
      </c>
      <c r="H95" s="17" t="s">
        <v>926</v>
      </c>
      <c r="I95" s="161"/>
      <c r="J95" s="52" t="s">
        <v>444</v>
      </c>
      <c r="K95" s="244" t="s">
        <v>1075</v>
      </c>
      <c r="L95" s="17">
        <v>180</v>
      </c>
      <c r="M95" s="17" t="s">
        <v>42</v>
      </c>
      <c r="N95" s="52" t="s">
        <v>1077</v>
      </c>
      <c r="O95" s="52" t="s">
        <v>52</v>
      </c>
      <c r="P95" s="111">
        <f>269+18</f>
        <v>287</v>
      </c>
      <c r="Q95" s="25">
        <f t="shared" si="13"/>
        <v>287</v>
      </c>
      <c r="R95" s="191">
        <v>0</v>
      </c>
      <c r="S95" s="192">
        <f t="shared" si="14"/>
        <v>287</v>
      </c>
      <c r="T95" s="193"/>
      <c r="U95" s="193"/>
      <c r="V95" s="192">
        <v>0</v>
      </c>
      <c r="W95" s="192">
        <f t="shared" si="15"/>
        <v>-287</v>
      </c>
      <c r="X95" s="193"/>
      <c r="Y95" s="193"/>
      <c r="Z95" s="194">
        <f t="shared" si="16"/>
        <v>1</v>
      </c>
      <c r="AA95" s="255" t="s">
        <v>1356</v>
      </c>
    </row>
    <row r="96" spans="1:27" s="16" customFormat="1" ht="51.75" customHeight="1">
      <c r="A96" s="161"/>
      <c r="B96" s="20">
        <v>46266</v>
      </c>
      <c r="C96" s="18">
        <v>46277</v>
      </c>
      <c r="D96" s="53">
        <v>46279</v>
      </c>
      <c r="E96" s="53">
        <v>46288</v>
      </c>
      <c r="F96" s="52" t="s">
        <v>50</v>
      </c>
      <c r="G96" s="252" t="s">
        <v>105</v>
      </c>
      <c r="H96" s="17" t="s">
        <v>31</v>
      </c>
      <c r="I96" s="161"/>
      <c r="J96" s="52" t="s">
        <v>34</v>
      </c>
      <c r="K96" s="57">
        <v>48442</v>
      </c>
      <c r="L96" s="17">
        <v>140</v>
      </c>
      <c r="M96" s="17" t="s">
        <v>35</v>
      </c>
      <c r="N96" s="52" t="s">
        <v>1079</v>
      </c>
      <c r="O96" s="52" t="s">
        <v>20</v>
      </c>
      <c r="P96" s="17">
        <v>824</v>
      </c>
      <c r="Q96" s="25">
        <f t="shared" si="13"/>
        <v>456</v>
      </c>
      <c r="R96" s="191">
        <f>368</f>
        <v>368</v>
      </c>
      <c r="S96" s="192">
        <f t="shared" si="14"/>
        <v>456</v>
      </c>
      <c r="T96" s="193">
        <v>3757</v>
      </c>
      <c r="U96" s="193" t="s">
        <v>1398</v>
      </c>
      <c r="V96" s="192">
        <v>0</v>
      </c>
      <c r="W96" s="192">
        <f t="shared" si="15"/>
        <v>-824</v>
      </c>
      <c r="X96" s="193"/>
      <c r="Y96" s="193"/>
      <c r="Z96" s="194">
        <f t="shared" si="16"/>
        <v>1</v>
      </c>
      <c r="AA96" s="255" t="s">
        <v>1383</v>
      </c>
    </row>
    <row r="97" spans="1:27" s="16" customFormat="1" ht="51.75" customHeight="1">
      <c r="A97" s="161"/>
      <c r="B97" s="20">
        <v>46266</v>
      </c>
      <c r="C97" s="18">
        <v>46277</v>
      </c>
      <c r="D97" s="53">
        <v>46279</v>
      </c>
      <c r="E97" s="53">
        <v>46288</v>
      </c>
      <c r="F97" s="52" t="s">
        <v>38</v>
      </c>
      <c r="G97" s="252" t="s">
        <v>105</v>
      </c>
      <c r="H97" s="17" t="s">
        <v>31</v>
      </c>
      <c r="I97" s="161"/>
      <c r="J97" s="52" t="s">
        <v>34</v>
      </c>
      <c r="K97" s="57">
        <v>48442</v>
      </c>
      <c r="L97" s="17">
        <v>140</v>
      </c>
      <c r="M97" s="17" t="s">
        <v>35</v>
      </c>
      <c r="N97" s="52" t="s">
        <v>1080</v>
      </c>
      <c r="O97" s="52" t="s">
        <v>20</v>
      </c>
      <c r="P97" s="17">
        <v>495</v>
      </c>
      <c r="Q97" s="25">
        <f t="shared" si="13"/>
        <v>495</v>
      </c>
      <c r="R97" s="191">
        <v>0</v>
      </c>
      <c r="S97" s="192">
        <f t="shared" si="14"/>
        <v>495</v>
      </c>
      <c r="T97" s="193"/>
      <c r="U97" s="193"/>
      <c r="V97" s="192">
        <v>0</v>
      </c>
      <c r="W97" s="192">
        <f t="shared" si="15"/>
        <v>-495</v>
      </c>
      <c r="X97" s="193"/>
      <c r="Y97" s="193"/>
      <c r="Z97" s="194">
        <f t="shared" si="16"/>
        <v>1</v>
      </c>
      <c r="AA97" s="255" t="s">
        <v>1384</v>
      </c>
    </row>
    <row r="98" spans="1:27" s="16" customFormat="1" ht="79.5" customHeight="1">
      <c r="A98" s="161"/>
      <c r="B98" s="20">
        <v>46266</v>
      </c>
      <c r="C98" s="18">
        <v>46279</v>
      </c>
      <c r="D98" s="53">
        <v>46279</v>
      </c>
      <c r="E98" s="53">
        <v>46289</v>
      </c>
      <c r="F98" s="52" t="s">
        <v>38</v>
      </c>
      <c r="G98" s="252" t="s">
        <v>62</v>
      </c>
      <c r="H98" s="17" t="s">
        <v>31</v>
      </c>
      <c r="I98" s="161"/>
      <c r="J98" s="52" t="s">
        <v>34</v>
      </c>
      <c r="K98" s="57">
        <v>48443</v>
      </c>
      <c r="L98" s="17">
        <v>140</v>
      </c>
      <c r="M98" s="17" t="s">
        <v>35</v>
      </c>
      <c r="N98" s="52" t="s">
        <v>1081</v>
      </c>
      <c r="O98" s="52" t="s">
        <v>20</v>
      </c>
      <c r="P98" s="17">
        <v>794</v>
      </c>
      <c r="Q98" s="25">
        <f t="shared" si="13"/>
        <v>14</v>
      </c>
      <c r="R98" s="191">
        <f>780</f>
        <v>780</v>
      </c>
      <c r="S98" s="192">
        <f t="shared" si="14"/>
        <v>14</v>
      </c>
      <c r="T98" s="193">
        <v>3756</v>
      </c>
      <c r="U98" s="193" t="s">
        <v>1398</v>
      </c>
      <c r="V98" s="192">
        <v>0</v>
      </c>
      <c r="W98" s="192">
        <f t="shared" si="15"/>
        <v>-794</v>
      </c>
      <c r="X98" s="193"/>
      <c r="Y98" s="193"/>
      <c r="Z98" s="194">
        <f t="shared" si="16"/>
        <v>1</v>
      </c>
      <c r="AA98" s="255" t="s">
        <v>1381</v>
      </c>
    </row>
    <row r="99" spans="1:27" s="16" customFormat="1" ht="79.5" customHeight="1">
      <c r="A99" s="161"/>
      <c r="B99" s="20">
        <v>46266</v>
      </c>
      <c r="C99" s="18">
        <v>46279</v>
      </c>
      <c r="D99" s="53">
        <v>46279</v>
      </c>
      <c r="E99" s="53">
        <v>46289</v>
      </c>
      <c r="F99" s="52" t="s">
        <v>38</v>
      </c>
      <c r="G99" s="252" t="s">
        <v>105</v>
      </c>
      <c r="H99" s="17" t="s">
        <v>31</v>
      </c>
      <c r="I99" s="161"/>
      <c r="J99" s="52" t="s">
        <v>34</v>
      </c>
      <c r="K99" s="57">
        <v>48443</v>
      </c>
      <c r="L99" s="17">
        <v>140</v>
      </c>
      <c r="M99" s="17" t="s">
        <v>35</v>
      </c>
      <c r="N99" s="52" t="s">
        <v>1080</v>
      </c>
      <c r="O99" s="52" t="s">
        <v>20</v>
      </c>
      <c r="P99" s="17">
        <v>794</v>
      </c>
      <c r="Q99" s="25">
        <f t="shared" si="13"/>
        <v>-6</v>
      </c>
      <c r="R99" s="191">
        <f>800</f>
        <v>800</v>
      </c>
      <c r="S99" s="192">
        <f t="shared" si="14"/>
        <v>-6</v>
      </c>
      <c r="T99" s="193">
        <v>3757</v>
      </c>
      <c r="U99" s="193" t="s">
        <v>1398</v>
      </c>
      <c r="V99" s="192">
        <v>0</v>
      </c>
      <c r="W99" s="192">
        <f t="shared" si="15"/>
        <v>-794</v>
      </c>
      <c r="X99" s="193"/>
      <c r="Y99" s="193"/>
      <c r="Z99" s="194">
        <f t="shared" si="16"/>
        <v>1</v>
      </c>
      <c r="AA99" s="255" t="s">
        <v>1384</v>
      </c>
    </row>
    <row r="100" spans="1:27" s="16" customFormat="1" ht="51.75" customHeight="1">
      <c r="A100" s="161"/>
      <c r="B100" s="144">
        <v>46280</v>
      </c>
      <c r="C100" s="118">
        <v>46288</v>
      </c>
      <c r="D100" s="224">
        <v>46287</v>
      </c>
      <c r="E100" s="224">
        <v>46292</v>
      </c>
      <c r="F100" s="17" t="s">
        <v>23</v>
      </c>
      <c r="G100" s="252" t="s">
        <v>62</v>
      </c>
      <c r="H100" s="52" t="s">
        <v>400</v>
      </c>
      <c r="I100" s="161"/>
      <c r="J100" s="52" t="s">
        <v>162</v>
      </c>
      <c r="K100" s="141" t="s">
        <v>1191</v>
      </c>
      <c r="L100" s="17">
        <v>190</v>
      </c>
      <c r="M100" s="17" t="s">
        <v>60</v>
      </c>
      <c r="N100" s="52" t="s">
        <v>1074</v>
      </c>
      <c r="O100" s="52" t="s">
        <v>1071</v>
      </c>
      <c r="P100" s="17">
        <v>30</v>
      </c>
      <c r="Q100" s="25">
        <f t="shared" si="13"/>
        <v>30</v>
      </c>
      <c r="R100" s="191">
        <v>0</v>
      </c>
      <c r="S100" s="192">
        <f t="shared" si="14"/>
        <v>30</v>
      </c>
      <c r="T100" s="193"/>
      <c r="U100" s="193"/>
      <c r="V100" s="192">
        <v>0</v>
      </c>
      <c r="W100" s="192">
        <f t="shared" si="15"/>
        <v>-30</v>
      </c>
      <c r="X100" s="193"/>
      <c r="Y100" s="193"/>
      <c r="Z100" s="194">
        <f t="shared" si="16"/>
        <v>1</v>
      </c>
      <c r="AA100" s="255" t="s">
        <v>1245</v>
      </c>
    </row>
    <row r="101" spans="1:27" s="16" customFormat="1" ht="51.75" customHeight="1">
      <c r="A101" s="161"/>
      <c r="B101" s="21"/>
      <c r="C101" s="21"/>
      <c r="D101" s="21"/>
      <c r="E101" s="21"/>
      <c r="F101" s="43"/>
      <c r="G101" s="252"/>
      <c r="H101" s="44"/>
      <c r="I101" s="161"/>
      <c r="J101" s="162"/>
      <c r="K101" s="162"/>
      <c r="L101" s="45"/>
      <c r="M101" s="45"/>
      <c r="N101" s="45"/>
      <c r="O101" s="45"/>
      <c r="P101" s="45">
        <v>0</v>
      </c>
      <c r="Q101" s="25">
        <f t="shared" si="13"/>
        <v>0</v>
      </c>
      <c r="R101" s="191">
        <v>0</v>
      </c>
      <c r="S101" s="192">
        <f t="shared" si="14"/>
        <v>0</v>
      </c>
      <c r="T101" s="193"/>
      <c r="U101" s="193"/>
      <c r="V101" s="192">
        <v>0</v>
      </c>
      <c r="W101" s="192">
        <f t="shared" si="15"/>
        <v>0</v>
      </c>
      <c r="X101" s="193"/>
      <c r="Y101" s="193"/>
      <c r="Z101" s="194" t="e">
        <f t="shared" si="16"/>
        <v>#DIV/0!</v>
      </c>
      <c r="AA101" s="255"/>
    </row>
    <row r="102" spans="1:27" s="16" customFormat="1" ht="51.75" hidden="1" customHeight="1">
      <c r="A102" s="161"/>
      <c r="B102" s="21"/>
      <c r="C102" s="21"/>
      <c r="D102" s="21"/>
      <c r="E102" s="21"/>
      <c r="F102" s="43"/>
      <c r="G102" s="252"/>
      <c r="H102" s="44"/>
      <c r="I102" s="161"/>
      <c r="J102" s="162"/>
      <c r="K102" s="162"/>
      <c r="L102" s="45"/>
      <c r="M102" s="45"/>
      <c r="N102" s="45"/>
      <c r="O102" s="45"/>
      <c r="P102" s="45">
        <v>0</v>
      </c>
      <c r="Q102" s="25">
        <f t="shared" si="13"/>
        <v>0</v>
      </c>
      <c r="R102" s="191">
        <v>0</v>
      </c>
      <c r="S102" s="192">
        <f t="shared" si="14"/>
        <v>0</v>
      </c>
      <c r="T102" s="193"/>
      <c r="U102" s="193"/>
      <c r="V102" s="192">
        <v>0</v>
      </c>
      <c r="W102" s="192">
        <f t="shared" si="15"/>
        <v>0</v>
      </c>
      <c r="X102" s="193"/>
      <c r="Y102" s="193"/>
      <c r="Z102" s="194" t="e">
        <f t="shared" si="16"/>
        <v>#DIV/0!</v>
      </c>
      <c r="AA102" s="255"/>
    </row>
    <row r="103" spans="1:27" s="16" customFormat="1" ht="51.75" hidden="1" customHeight="1">
      <c r="A103" s="161"/>
      <c r="B103" s="21"/>
      <c r="C103" s="21"/>
      <c r="D103" s="21"/>
      <c r="E103" s="21"/>
      <c r="F103" s="43"/>
      <c r="G103" s="252"/>
      <c r="H103" s="44"/>
      <c r="I103" s="161"/>
      <c r="J103" s="162"/>
      <c r="K103" s="162"/>
      <c r="L103" s="45"/>
      <c r="M103" s="45"/>
      <c r="N103" s="45"/>
      <c r="O103" s="45"/>
      <c r="P103" s="45">
        <v>0</v>
      </c>
      <c r="Q103" s="25">
        <f t="shared" si="13"/>
        <v>0</v>
      </c>
      <c r="R103" s="191">
        <v>0</v>
      </c>
      <c r="S103" s="192">
        <f t="shared" si="14"/>
        <v>0</v>
      </c>
      <c r="T103" s="193"/>
      <c r="U103" s="193"/>
      <c r="V103" s="192">
        <v>0</v>
      </c>
      <c r="W103" s="192">
        <f t="shared" si="15"/>
        <v>0</v>
      </c>
      <c r="X103" s="193"/>
      <c r="Y103" s="193"/>
      <c r="Z103" s="194" t="e">
        <f t="shared" si="16"/>
        <v>#DIV/0!</v>
      </c>
      <c r="AA103" s="255"/>
    </row>
    <row r="104" spans="1:27" s="16" customFormat="1" ht="51.75" hidden="1" customHeight="1">
      <c r="A104" s="161"/>
      <c r="B104" s="21"/>
      <c r="C104" s="21"/>
      <c r="D104" s="21"/>
      <c r="E104" s="21"/>
      <c r="F104" s="43"/>
      <c r="G104" s="252"/>
      <c r="H104" s="44"/>
      <c r="I104" s="161"/>
      <c r="J104" s="162"/>
      <c r="K104" s="162"/>
      <c r="L104" s="45"/>
      <c r="M104" s="45"/>
      <c r="N104" s="45"/>
      <c r="O104" s="45"/>
      <c r="P104" s="45">
        <v>0</v>
      </c>
      <c r="Q104" s="25">
        <f t="shared" si="13"/>
        <v>0</v>
      </c>
      <c r="R104" s="191">
        <v>0</v>
      </c>
      <c r="S104" s="192">
        <f t="shared" si="14"/>
        <v>0</v>
      </c>
      <c r="T104" s="193"/>
      <c r="U104" s="193"/>
      <c r="V104" s="192">
        <v>0</v>
      </c>
      <c r="W104" s="192">
        <f t="shared" si="15"/>
        <v>0</v>
      </c>
      <c r="X104" s="193"/>
      <c r="Y104" s="193"/>
      <c r="Z104" s="194" t="e">
        <f t="shared" si="16"/>
        <v>#DIV/0!</v>
      </c>
      <c r="AA104" s="255"/>
    </row>
    <row r="105" spans="1:27" s="16" customFormat="1" ht="51.75" hidden="1" customHeight="1">
      <c r="A105" s="161"/>
      <c r="B105" s="21"/>
      <c r="C105" s="21"/>
      <c r="D105" s="21"/>
      <c r="E105" s="21"/>
      <c r="F105" s="43"/>
      <c r="G105" s="252"/>
      <c r="H105" s="44"/>
      <c r="I105" s="161"/>
      <c r="J105" s="162"/>
      <c r="K105" s="162"/>
      <c r="L105" s="45"/>
      <c r="M105" s="45"/>
      <c r="N105" s="45"/>
      <c r="O105" s="45"/>
      <c r="P105" s="45">
        <v>0</v>
      </c>
      <c r="Q105" s="25">
        <f t="shared" si="13"/>
        <v>0</v>
      </c>
      <c r="R105" s="191">
        <v>0</v>
      </c>
      <c r="S105" s="192">
        <f t="shared" si="14"/>
        <v>0</v>
      </c>
      <c r="T105" s="193"/>
      <c r="U105" s="193"/>
      <c r="V105" s="192">
        <v>0</v>
      </c>
      <c r="W105" s="192">
        <f t="shared" si="15"/>
        <v>0</v>
      </c>
      <c r="X105" s="193"/>
      <c r="Y105" s="193"/>
      <c r="Z105" s="194" t="e">
        <f t="shared" si="16"/>
        <v>#DIV/0!</v>
      </c>
      <c r="AA105" s="255"/>
    </row>
    <row r="106" spans="1:27" s="16" customFormat="1" ht="51.75" hidden="1" customHeight="1">
      <c r="A106" s="161"/>
      <c r="B106" s="21"/>
      <c r="C106" s="21"/>
      <c r="D106" s="21"/>
      <c r="E106" s="21"/>
      <c r="F106" s="43"/>
      <c r="G106" s="252"/>
      <c r="H106" s="44"/>
      <c r="I106" s="161"/>
      <c r="J106" s="162"/>
      <c r="K106" s="162"/>
      <c r="L106" s="45"/>
      <c r="M106" s="45"/>
      <c r="N106" s="45"/>
      <c r="O106" s="45"/>
      <c r="P106" s="45">
        <v>0</v>
      </c>
      <c r="Q106" s="25">
        <f t="shared" si="13"/>
        <v>0</v>
      </c>
      <c r="R106" s="191">
        <v>0</v>
      </c>
      <c r="S106" s="192">
        <f t="shared" si="14"/>
        <v>0</v>
      </c>
      <c r="T106" s="193"/>
      <c r="U106" s="193"/>
      <c r="V106" s="192">
        <v>0</v>
      </c>
      <c r="W106" s="192">
        <f t="shared" si="15"/>
        <v>0</v>
      </c>
      <c r="X106" s="193"/>
      <c r="Y106" s="193"/>
      <c r="Z106" s="194" t="e">
        <f t="shared" si="16"/>
        <v>#DIV/0!</v>
      </c>
      <c r="AA106" s="255"/>
    </row>
    <row r="107" spans="1:27" s="16" customFormat="1" ht="51.75" hidden="1" customHeight="1">
      <c r="A107" s="161"/>
      <c r="B107" s="21"/>
      <c r="C107" s="21"/>
      <c r="D107" s="21"/>
      <c r="E107" s="21"/>
      <c r="F107" s="43"/>
      <c r="G107" s="252"/>
      <c r="H107" s="44"/>
      <c r="I107" s="161"/>
      <c r="J107" s="162"/>
      <c r="K107" s="162"/>
      <c r="L107" s="45"/>
      <c r="M107" s="45"/>
      <c r="N107" s="45"/>
      <c r="O107" s="45"/>
      <c r="P107" s="45">
        <v>0</v>
      </c>
      <c r="Q107" s="25">
        <f t="shared" si="13"/>
        <v>0</v>
      </c>
      <c r="R107" s="191">
        <v>0</v>
      </c>
      <c r="S107" s="192">
        <f t="shared" si="14"/>
        <v>0</v>
      </c>
      <c r="T107" s="193"/>
      <c r="U107" s="193"/>
      <c r="V107" s="192">
        <v>0</v>
      </c>
      <c r="W107" s="192">
        <f t="shared" si="15"/>
        <v>0</v>
      </c>
      <c r="X107" s="193"/>
      <c r="Y107" s="193"/>
      <c r="Z107" s="194" t="e">
        <f t="shared" si="16"/>
        <v>#DIV/0!</v>
      </c>
      <c r="AA107" s="255"/>
    </row>
    <row r="108" spans="1:27" s="16" customFormat="1" ht="51.75" hidden="1" customHeight="1">
      <c r="A108" s="161"/>
      <c r="B108" s="21"/>
      <c r="C108" s="21"/>
      <c r="D108" s="21"/>
      <c r="E108" s="21"/>
      <c r="F108" s="43"/>
      <c r="G108" s="252"/>
      <c r="H108" s="44"/>
      <c r="I108" s="161"/>
      <c r="J108" s="162"/>
      <c r="K108" s="162"/>
      <c r="L108" s="45"/>
      <c r="M108" s="45"/>
      <c r="N108" s="45"/>
      <c r="O108" s="45"/>
      <c r="P108" s="45">
        <v>0</v>
      </c>
      <c r="Q108" s="25">
        <f t="shared" si="13"/>
        <v>0</v>
      </c>
      <c r="R108" s="191">
        <v>0</v>
      </c>
      <c r="S108" s="192">
        <f t="shared" si="14"/>
        <v>0</v>
      </c>
      <c r="T108" s="193"/>
      <c r="U108" s="193"/>
      <c r="V108" s="192">
        <v>0</v>
      </c>
      <c r="W108" s="192">
        <f t="shared" si="15"/>
        <v>0</v>
      </c>
      <c r="X108" s="193"/>
      <c r="Y108" s="193"/>
      <c r="Z108" s="194" t="e">
        <f t="shared" si="16"/>
        <v>#DIV/0!</v>
      </c>
      <c r="AA108" s="255"/>
    </row>
    <row r="109" spans="1:27" s="16" customFormat="1" ht="51.75" hidden="1" customHeight="1">
      <c r="A109" s="161"/>
      <c r="B109" s="21"/>
      <c r="C109" s="21"/>
      <c r="D109" s="21"/>
      <c r="E109" s="21"/>
      <c r="F109" s="43"/>
      <c r="G109" s="252"/>
      <c r="H109" s="44"/>
      <c r="I109" s="161"/>
      <c r="J109" s="162"/>
      <c r="K109" s="162"/>
      <c r="L109" s="45"/>
      <c r="M109" s="45"/>
      <c r="N109" s="45"/>
      <c r="O109" s="45"/>
      <c r="P109" s="45">
        <v>0</v>
      </c>
      <c r="Q109" s="25">
        <f t="shared" si="13"/>
        <v>0</v>
      </c>
      <c r="R109" s="191">
        <v>0</v>
      </c>
      <c r="S109" s="192">
        <f t="shared" si="14"/>
        <v>0</v>
      </c>
      <c r="T109" s="193"/>
      <c r="U109" s="193"/>
      <c r="V109" s="192">
        <v>0</v>
      </c>
      <c r="W109" s="192">
        <f t="shared" si="15"/>
        <v>0</v>
      </c>
      <c r="X109" s="193"/>
      <c r="Y109" s="193"/>
      <c r="Z109" s="194" t="e">
        <f t="shared" si="16"/>
        <v>#DIV/0!</v>
      </c>
      <c r="AA109" s="255"/>
    </row>
    <row r="110" spans="1:27" s="16" customFormat="1" ht="51.75" hidden="1" customHeight="1">
      <c r="A110" s="161"/>
      <c r="B110" s="21"/>
      <c r="C110" s="21"/>
      <c r="D110" s="21"/>
      <c r="E110" s="21"/>
      <c r="F110" s="43"/>
      <c r="G110" s="252"/>
      <c r="H110" s="44"/>
      <c r="I110" s="161"/>
      <c r="J110" s="162"/>
      <c r="K110" s="162"/>
      <c r="L110" s="45"/>
      <c r="M110" s="45"/>
      <c r="N110" s="45"/>
      <c r="O110" s="45"/>
      <c r="P110" s="45">
        <v>0</v>
      </c>
      <c r="Q110" s="25">
        <f t="shared" si="13"/>
        <v>0</v>
      </c>
      <c r="R110" s="191">
        <v>0</v>
      </c>
      <c r="S110" s="192">
        <f t="shared" si="14"/>
        <v>0</v>
      </c>
      <c r="T110" s="193"/>
      <c r="U110" s="193"/>
      <c r="V110" s="192">
        <v>0</v>
      </c>
      <c r="W110" s="192">
        <f t="shared" si="15"/>
        <v>0</v>
      </c>
      <c r="X110" s="193"/>
      <c r="Y110" s="193"/>
      <c r="Z110" s="194" t="e">
        <f t="shared" si="16"/>
        <v>#DIV/0!</v>
      </c>
      <c r="AA110" s="255"/>
    </row>
    <row r="111" spans="1:27" s="16" customFormat="1" ht="51.75" hidden="1" customHeight="1">
      <c r="A111" s="161"/>
      <c r="B111" s="21"/>
      <c r="C111" s="21"/>
      <c r="D111" s="21"/>
      <c r="E111" s="21"/>
      <c r="F111" s="43"/>
      <c r="G111" s="252"/>
      <c r="H111" s="44"/>
      <c r="I111" s="161"/>
      <c r="J111" s="162"/>
      <c r="K111" s="162"/>
      <c r="L111" s="45"/>
      <c r="M111" s="45"/>
      <c r="N111" s="45"/>
      <c r="O111" s="45"/>
      <c r="P111" s="45">
        <v>0</v>
      </c>
      <c r="Q111" s="25">
        <f t="shared" si="13"/>
        <v>0</v>
      </c>
      <c r="R111" s="191">
        <v>0</v>
      </c>
      <c r="S111" s="192">
        <f t="shared" si="14"/>
        <v>0</v>
      </c>
      <c r="T111" s="193"/>
      <c r="U111" s="193"/>
      <c r="V111" s="192">
        <v>0</v>
      </c>
      <c r="W111" s="192">
        <f t="shared" si="15"/>
        <v>0</v>
      </c>
      <c r="X111" s="193"/>
      <c r="Y111" s="193"/>
      <c r="Z111" s="194" t="e">
        <f t="shared" si="16"/>
        <v>#DIV/0!</v>
      </c>
      <c r="AA111" s="255"/>
    </row>
    <row r="112" spans="1:27" s="16" customFormat="1" ht="51.75" hidden="1" customHeight="1">
      <c r="A112" s="161"/>
      <c r="B112" s="21"/>
      <c r="C112" s="21"/>
      <c r="D112" s="21"/>
      <c r="E112" s="21"/>
      <c r="F112" s="43"/>
      <c r="G112" s="252"/>
      <c r="H112" s="44"/>
      <c r="I112" s="161"/>
      <c r="J112" s="162"/>
      <c r="K112" s="162"/>
      <c r="L112" s="45"/>
      <c r="M112" s="45"/>
      <c r="N112" s="45"/>
      <c r="O112" s="45"/>
      <c r="P112" s="45">
        <v>0</v>
      </c>
      <c r="Q112" s="25">
        <f t="shared" si="13"/>
        <v>0</v>
      </c>
      <c r="R112" s="191">
        <v>0</v>
      </c>
      <c r="S112" s="192">
        <f t="shared" si="14"/>
        <v>0</v>
      </c>
      <c r="T112" s="193"/>
      <c r="U112" s="193"/>
      <c r="V112" s="192">
        <v>0</v>
      </c>
      <c r="W112" s="192">
        <f t="shared" si="15"/>
        <v>0</v>
      </c>
      <c r="X112" s="193"/>
      <c r="Y112" s="193"/>
      <c r="Z112" s="194" t="e">
        <f t="shared" si="16"/>
        <v>#DIV/0!</v>
      </c>
      <c r="AA112" s="255"/>
    </row>
    <row r="113" spans="1:27" s="16" customFormat="1" ht="51.75" customHeight="1">
      <c r="A113" s="161"/>
      <c r="B113" s="21"/>
      <c r="C113" s="21"/>
      <c r="D113" s="21"/>
      <c r="E113" s="21"/>
      <c r="F113" s="43"/>
      <c r="G113" s="252"/>
      <c r="H113" s="44"/>
      <c r="I113" s="161"/>
      <c r="J113" s="162"/>
      <c r="K113" s="162"/>
      <c r="L113" s="45"/>
      <c r="M113" s="45"/>
      <c r="N113" s="45"/>
      <c r="O113" s="45"/>
      <c r="P113" s="45">
        <v>0</v>
      </c>
      <c r="Q113" s="25">
        <f t="shared" ref="Q113:Q114" si="17">P113-R113</f>
        <v>0</v>
      </c>
      <c r="R113" s="191">
        <v>0</v>
      </c>
      <c r="S113" s="192">
        <f t="shared" ref="S113:S114" si="18">P113-R113</f>
        <v>0</v>
      </c>
      <c r="T113" s="193"/>
      <c r="U113" s="193"/>
      <c r="V113" s="192">
        <v>0</v>
      </c>
      <c r="W113" s="192">
        <f t="shared" ref="W113:W114" si="19">+V113-P113</f>
        <v>0</v>
      </c>
      <c r="X113" s="193"/>
      <c r="Y113" s="193"/>
      <c r="Z113" s="194" t="e">
        <f t="shared" ref="Z113:Z114" si="20">(P113-V113)*100/P113/100</f>
        <v>#DIV/0!</v>
      </c>
      <c r="AA113" s="255"/>
    </row>
    <row r="114" spans="1:27" s="16" customFormat="1" ht="51.75" customHeight="1">
      <c r="A114" s="161"/>
      <c r="B114" s="21"/>
      <c r="C114" s="21"/>
      <c r="D114" s="21"/>
      <c r="E114" s="21"/>
      <c r="F114" s="43"/>
      <c r="G114" s="252"/>
      <c r="H114" s="44"/>
      <c r="I114" s="161"/>
      <c r="J114" s="162"/>
      <c r="K114" s="162"/>
      <c r="L114" s="45"/>
      <c r="M114" s="45"/>
      <c r="N114" s="45"/>
      <c r="O114" s="45"/>
      <c r="P114" s="45">
        <v>0</v>
      </c>
      <c r="Q114" s="25">
        <f t="shared" si="17"/>
        <v>0</v>
      </c>
      <c r="R114" s="191">
        <v>0</v>
      </c>
      <c r="S114" s="192">
        <f t="shared" si="18"/>
        <v>0</v>
      </c>
      <c r="T114" s="193"/>
      <c r="U114" s="193"/>
      <c r="V114" s="192">
        <v>0</v>
      </c>
      <c r="W114" s="192">
        <f t="shared" si="19"/>
        <v>0</v>
      </c>
      <c r="X114" s="193"/>
      <c r="Y114" s="193"/>
      <c r="Z114" s="194" t="e">
        <f t="shared" si="20"/>
        <v>#DIV/0!</v>
      </c>
      <c r="AA114" s="255"/>
    </row>
    <row r="115" spans="1:27" ht="16.5">
      <c r="A115" s="161"/>
      <c r="B115" s="21"/>
      <c r="C115" s="21"/>
      <c r="D115" s="21"/>
      <c r="E115" s="21"/>
      <c r="F115" s="43"/>
      <c r="G115" s="252"/>
      <c r="H115" s="44"/>
      <c r="I115" s="161"/>
      <c r="J115" s="162"/>
      <c r="K115" s="162"/>
      <c r="L115" s="45"/>
      <c r="M115" s="45"/>
      <c r="N115" s="45"/>
      <c r="O115" s="45"/>
      <c r="P115" s="142">
        <f>SUM(P66:P114)</f>
        <v>18642</v>
      </c>
      <c r="Q115" s="142">
        <f>SUM(Q66:Q114)</f>
        <v>1623</v>
      </c>
      <c r="R115" s="142">
        <f>SUM(R66:R114)</f>
        <v>17019</v>
      </c>
      <c r="S115" s="142">
        <f>SUM(S66:S114)</f>
        <v>1623</v>
      </c>
      <c r="T115" s="142"/>
      <c r="U115" s="142"/>
      <c r="V115" s="142">
        <f>SUM(V66:V114)</f>
        <v>12709</v>
      </c>
      <c r="W115" s="142">
        <f>SUM(W66:W114)</f>
        <v>-5933</v>
      </c>
      <c r="X115" s="142"/>
      <c r="Y115" s="142"/>
      <c r="Z115" s="142" t="e">
        <f>SUM(Z107:Z114)</f>
        <v>#DIV/0!</v>
      </c>
      <c r="AA115" s="255"/>
    </row>
    <row r="116" spans="1:27" s="35" customFormat="1" ht="36.75" customHeight="1">
      <c r="A116" s="165"/>
      <c r="B116" s="320" t="s">
        <v>120</v>
      </c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142">
        <f>P115+P63+P39</f>
        <v>33308</v>
      </c>
      <c r="Q116" s="142">
        <f>Q115+Q63+Q39</f>
        <v>1934</v>
      </c>
      <c r="R116" s="142">
        <f>R115+R63+R39</f>
        <v>31374</v>
      </c>
      <c r="S116" s="142">
        <f>S115+S63+S39</f>
        <v>1934</v>
      </c>
      <c r="T116" s="142"/>
      <c r="U116" s="142"/>
      <c r="V116" s="142">
        <f>V115+V63+V39</f>
        <v>26810</v>
      </c>
      <c r="W116" s="142">
        <f>W115+W63+W39</f>
        <v>-6498</v>
      </c>
      <c r="X116" s="142"/>
      <c r="Y116" s="142"/>
      <c r="Z116" s="142" t="e">
        <f>Z115+Z63+Z39</f>
        <v>#DIV/0!</v>
      </c>
      <c r="AA116" s="255"/>
    </row>
    <row r="117" spans="1:27">
      <c r="E117" s="337" t="s">
        <v>699</v>
      </c>
      <c r="F117" s="337"/>
      <c r="G117" s="337"/>
      <c r="H117" s="337"/>
    </row>
    <row r="118" spans="1:27">
      <c r="E118" s="331" t="s">
        <v>701</v>
      </c>
      <c r="F118" s="331"/>
      <c r="G118" s="340" t="s">
        <v>700</v>
      </c>
      <c r="H118" s="341"/>
    </row>
    <row r="119" spans="1:27">
      <c r="E119" s="337" t="s">
        <v>105</v>
      </c>
      <c r="F119" s="337"/>
      <c r="G119" s="338">
        <v>16276</v>
      </c>
      <c r="H119" s="338"/>
    </row>
    <row r="120" spans="1:27">
      <c r="E120" s="337" t="s">
        <v>702</v>
      </c>
      <c r="F120" s="337"/>
      <c r="G120" s="338">
        <v>2749</v>
      </c>
      <c r="H120" s="338"/>
    </row>
    <row r="121" spans="1:27">
      <c r="E121" s="337" t="s">
        <v>62</v>
      </c>
      <c r="F121" s="337"/>
      <c r="G121" s="338">
        <v>14111</v>
      </c>
      <c r="H121" s="338"/>
    </row>
    <row r="122" spans="1:27">
      <c r="E122" s="339" t="s">
        <v>70</v>
      </c>
      <c r="F122" s="339"/>
      <c r="G122" s="338">
        <f>SUM(G119:H121)</f>
        <v>33136</v>
      </c>
      <c r="H122" s="338"/>
    </row>
  </sheetData>
  <mergeCells count="17">
    <mergeCell ref="A1:AA1"/>
    <mergeCell ref="A2:AA2"/>
    <mergeCell ref="A3:Z3"/>
    <mergeCell ref="A40:AA40"/>
    <mergeCell ref="B116:O116"/>
    <mergeCell ref="A64:AA64"/>
    <mergeCell ref="E117:H117"/>
    <mergeCell ref="E118:F118"/>
    <mergeCell ref="G118:H118"/>
    <mergeCell ref="E119:F119"/>
    <mergeCell ref="G119:H119"/>
    <mergeCell ref="E120:F120"/>
    <mergeCell ref="G120:H120"/>
    <mergeCell ref="E121:F121"/>
    <mergeCell ref="G121:H121"/>
    <mergeCell ref="E122:F122"/>
    <mergeCell ref="G122:H122"/>
  </mergeCells>
  <dataValidations count="2">
    <dataValidation type="list" allowBlank="1" showInputMessage="1" showErrorMessage="1" sqref="F71 F42:F44 F5:F29">
      <formula1>$C$67:$C$74</formula1>
    </dataValidation>
    <dataValidation type="list" allowBlank="1" showInputMessage="1" showErrorMessage="1" sqref="F50:F52">
      <formula1>#REF!</formula1>
    </dataValidation>
  </dataValidations>
  <pageMargins left="0.7" right="0.7" top="0.75" bottom="0.75" header="0.3" footer="0.3"/>
  <pageSetup paperSize="9"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'C:\Users\shekor\Desktop\[New Job Posting.xlsm]Summary'!#REF!</xm:f>
          </x14:formula1>
          <xm:sqref>H5:H29 J42:J44 H42:H44 J68:J70 G72:G73 F47 G68:H70 F74:F76 F78:F81 F85:F88 J72:J99 F91 H72:H99 F94:F95 J47:J52 H47:H52 J5:J33 F30:H32 G33:H33</xm:sqref>
        </x14:dataValidation>
        <x14:dataValidation type="list" allowBlank="1" showInputMessage="1" showErrorMessage="1">
          <x14:formula1>
            <xm:f>'C:\Users\salman\Desktop\[New Posting.xlsm]Summary'!#REF!</xm:f>
          </x14:formula1>
          <xm:sqref>J45:J46 F45:F46</xm:sqref>
        </x14:dataValidation>
        <x14:dataValidation type="list" allowBlank="1" showInputMessage="1" showErrorMessage="1">
          <x14:formula1>
            <xm:f>'C:\Users\salman\Desktop\[New Job Posting.xlsm]Summary'!#REF!</xm:f>
          </x14:formula1>
          <xm:sqref>J66:J67 J71 H71 G66:H67</xm:sqref>
        </x14:dataValidation>
        <x14:dataValidation type="list" allowBlank="1" showInputMessage="1" showErrorMessage="1">
          <x14:formula1>
            <xm:f>'C:\Users\rokibul\Desktop\[24.08.26 Finish Fabric Plan &amp; Execution Status.xlsm]Summary'!#REF!</xm:f>
          </x14:formula1>
          <xm:sqref>F48:F49 F66:F70 F92:F93 F89:F90 F82:F84 F72:F73 F77 F96:F99</xm:sqref>
        </x14:dataValidation>
        <x14:dataValidation type="list" allowBlank="1" showInputMessage="1" showErrorMessage="1">
          <x14:formula1>
            <xm:f>'C:\Users\rokibul\Desktop\[05.09.26 Finish Fabric Plan &amp; Execution Status.xlsm]Summary'!#REF!</xm:f>
          </x14:formula1>
          <xm:sqref>F33</xm:sqref>
        </x14:dataValidation>
        <x14:dataValidation type="list" allowBlank="1" showInputMessage="1" showErrorMessage="1">
          <x14:formula1>
            <xm:f>'C:\Users\shekor\Desktop\[New Job Posting.xlsm]Summary'!#REF!</xm:f>
          </x14:formula1>
          <xm:sqref>J100 F100 H100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topLeftCell="A14" zoomScaleNormal="100" workbookViewId="0">
      <selection activeCell="D17" sqref="D17:N17"/>
    </sheetView>
  </sheetViews>
  <sheetFormatPr defaultRowHeight="15"/>
  <cols>
    <col min="4" max="14" width="10.85546875" customWidth="1"/>
  </cols>
  <sheetData>
    <row r="1" spans="1:14">
      <c r="A1" s="352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352" t="s">
        <v>1101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</row>
    <row r="3" spans="1:14">
      <c r="A3" s="245"/>
      <c r="B3" s="245"/>
      <c r="C3" s="245"/>
      <c r="D3" s="245"/>
      <c r="E3" s="246"/>
      <c r="F3" s="245"/>
      <c r="G3" s="245"/>
      <c r="H3" s="245"/>
      <c r="I3" s="245"/>
      <c r="J3" s="245"/>
      <c r="K3" s="245"/>
      <c r="L3" s="245"/>
      <c r="M3" s="353" t="s">
        <v>1389</v>
      </c>
      <c r="N3" s="353"/>
    </row>
    <row r="4" spans="1:14" ht="45">
      <c r="A4" s="349" t="s">
        <v>72</v>
      </c>
      <c r="B4" s="350"/>
      <c r="C4" s="351"/>
      <c r="D4" s="225" t="s">
        <v>1050</v>
      </c>
      <c r="E4" s="225" t="s">
        <v>74</v>
      </c>
      <c r="F4" s="225" t="s">
        <v>7</v>
      </c>
      <c r="G4" s="225" t="s">
        <v>75</v>
      </c>
      <c r="H4" s="225" t="s">
        <v>76</v>
      </c>
      <c r="I4" s="225" t="s">
        <v>77</v>
      </c>
      <c r="J4" s="225" t="s">
        <v>78</v>
      </c>
      <c r="K4" s="225" t="s">
        <v>79</v>
      </c>
      <c r="L4" s="225" t="s">
        <v>80</v>
      </c>
      <c r="M4" s="225" t="s">
        <v>81</v>
      </c>
      <c r="N4" s="225" t="s">
        <v>82</v>
      </c>
    </row>
    <row r="5" spans="1:14">
      <c r="A5" s="349" t="s">
        <v>900</v>
      </c>
      <c r="B5" s="350"/>
      <c r="C5" s="351"/>
      <c r="D5" s="225">
        <v>14</v>
      </c>
      <c r="E5" s="225">
        <v>11693</v>
      </c>
      <c r="F5" s="225">
        <v>18</v>
      </c>
      <c r="G5" s="225">
        <v>11840</v>
      </c>
      <c r="H5" s="225">
        <v>18</v>
      </c>
      <c r="I5" s="225">
        <v>0</v>
      </c>
      <c r="J5" s="225">
        <v>0</v>
      </c>
      <c r="K5" s="225">
        <v>11627</v>
      </c>
      <c r="L5" s="225">
        <v>18</v>
      </c>
      <c r="M5" s="225">
        <v>0</v>
      </c>
      <c r="N5" s="225">
        <v>0</v>
      </c>
    </row>
    <row r="6" spans="1:14">
      <c r="A6" s="349" t="s">
        <v>901</v>
      </c>
      <c r="B6" s="350"/>
      <c r="C6" s="351"/>
      <c r="D6" s="225">
        <v>5</v>
      </c>
      <c r="E6" s="225">
        <v>2973</v>
      </c>
      <c r="F6" s="225">
        <v>11</v>
      </c>
      <c r="G6" s="225">
        <v>2515</v>
      </c>
      <c r="H6" s="225">
        <v>10</v>
      </c>
      <c r="I6" s="225">
        <v>510</v>
      </c>
      <c r="J6" s="225">
        <v>1</v>
      </c>
      <c r="K6" s="225">
        <v>1963</v>
      </c>
      <c r="L6" s="225">
        <v>8</v>
      </c>
      <c r="M6" s="225">
        <v>1019</v>
      </c>
      <c r="N6" s="225">
        <v>3</v>
      </c>
    </row>
    <row r="7" spans="1:14">
      <c r="A7" s="349" t="s">
        <v>902</v>
      </c>
      <c r="B7" s="350"/>
      <c r="C7" s="351"/>
      <c r="D7" s="225">
        <v>21</v>
      </c>
      <c r="E7" s="225">
        <v>18642</v>
      </c>
      <c r="F7" s="225">
        <v>32</v>
      </c>
      <c r="G7" s="225">
        <v>13532</v>
      </c>
      <c r="H7" s="225">
        <v>21</v>
      </c>
      <c r="I7" s="225">
        <v>5255</v>
      </c>
      <c r="J7" s="225">
        <v>11</v>
      </c>
      <c r="K7" s="225">
        <v>9931</v>
      </c>
      <c r="L7" s="225">
        <v>14</v>
      </c>
      <c r="M7" s="225">
        <v>8673</v>
      </c>
      <c r="N7" s="225">
        <v>20</v>
      </c>
    </row>
    <row r="8" spans="1:14">
      <c r="A8" s="349"/>
      <c r="B8" s="350"/>
      <c r="C8" s="351"/>
      <c r="D8" s="225">
        <f>SUM(D5:D7)</f>
        <v>40</v>
      </c>
      <c r="E8" s="225">
        <f t="shared" ref="E8:N8" si="0">SUM(E5:E7)</f>
        <v>33308</v>
      </c>
      <c r="F8" s="225">
        <f t="shared" si="0"/>
        <v>61</v>
      </c>
      <c r="G8" s="225">
        <f t="shared" si="0"/>
        <v>27887</v>
      </c>
      <c r="H8" s="225">
        <f t="shared" si="0"/>
        <v>49</v>
      </c>
      <c r="I8" s="225">
        <f t="shared" si="0"/>
        <v>5765</v>
      </c>
      <c r="J8" s="225">
        <f t="shared" si="0"/>
        <v>12</v>
      </c>
      <c r="K8" s="225">
        <f t="shared" si="0"/>
        <v>23521</v>
      </c>
      <c r="L8" s="225">
        <f t="shared" si="0"/>
        <v>40</v>
      </c>
      <c r="M8" s="225">
        <f t="shared" si="0"/>
        <v>9692</v>
      </c>
      <c r="N8" s="225">
        <f t="shared" si="0"/>
        <v>23</v>
      </c>
    </row>
    <row r="9" spans="1:14">
      <c r="A9" s="354" t="s">
        <v>83</v>
      </c>
      <c r="B9" s="354"/>
      <c r="C9" s="349" t="s">
        <v>84</v>
      </c>
      <c r="D9" s="351"/>
      <c r="E9" s="349" t="s">
        <v>85</v>
      </c>
      <c r="F9" s="351"/>
      <c r="G9" s="349" t="s">
        <v>85</v>
      </c>
      <c r="H9" s="350"/>
      <c r="I9" s="351"/>
      <c r="J9" s="349" t="s">
        <v>86</v>
      </c>
      <c r="K9" s="350"/>
      <c r="L9" s="351"/>
      <c r="M9" s="349" t="s">
        <v>87</v>
      </c>
      <c r="N9" s="351"/>
    </row>
    <row r="10" spans="1:14" ht="30">
      <c r="A10" s="225" t="s">
        <v>88</v>
      </c>
      <c r="B10" s="225" t="s">
        <v>89</v>
      </c>
      <c r="C10" s="225" t="s">
        <v>88</v>
      </c>
      <c r="D10" s="225" t="s">
        <v>89</v>
      </c>
      <c r="E10" s="225" t="s">
        <v>90</v>
      </c>
      <c r="F10" s="225" t="s">
        <v>89</v>
      </c>
      <c r="G10" s="349" t="s">
        <v>91</v>
      </c>
      <c r="H10" s="351"/>
      <c r="I10" s="225" t="s">
        <v>89</v>
      </c>
      <c r="J10" s="225" t="s">
        <v>92</v>
      </c>
      <c r="K10" s="349" t="s">
        <v>93</v>
      </c>
      <c r="L10" s="351"/>
      <c r="M10" s="225" t="s">
        <v>92</v>
      </c>
      <c r="N10" s="225" t="s">
        <v>93</v>
      </c>
    </row>
    <row r="11" spans="1:14">
      <c r="A11" s="225">
        <v>56</v>
      </c>
      <c r="B11" s="225">
        <v>5</v>
      </c>
      <c r="C11" s="225">
        <v>61</v>
      </c>
      <c r="D11" s="225">
        <v>0</v>
      </c>
      <c r="E11" s="225">
        <v>60</v>
      </c>
      <c r="F11" s="225">
        <v>1</v>
      </c>
      <c r="G11" s="349">
        <v>53</v>
      </c>
      <c r="H11" s="351"/>
      <c r="I11" s="225">
        <v>7</v>
      </c>
      <c r="J11" s="225"/>
      <c r="K11" s="349"/>
      <c r="L11" s="351"/>
      <c r="M11" s="225">
        <v>27887</v>
      </c>
      <c r="N11" s="225">
        <v>5765</v>
      </c>
    </row>
    <row r="12" spans="1:14" ht="45" customHeight="1">
      <c r="A12" s="355" t="s">
        <v>904</v>
      </c>
      <c r="B12" s="356"/>
      <c r="C12" s="357"/>
      <c r="D12" s="358">
        <v>48132</v>
      </c>
      <c r="E12" s="359"/>
      <c r="F12" s="359"/>
      <c r="G12" s="359"/>
      <c r="H12" s="359"/>
      <c r="I12" s="359"/>
      <c r="J12" s="359"/>
      <c r="K12" s="359"/>
      <c r="L12" s="359"/>
      <c r="M12" s="359"/>
      <c r="N12" s="360"/>
    </row>
    <row r="13" spans="1:14" ht="45" customHeight="1">
      <c r="A13" s="355" t="s">
        <v>1049</v>
      </c>
      <c r="B13" s="356"/>
      <c r="C13" s="357"/>
      <c r="D13" s="358"/>
      <c r="E13" s="359"/>
      <c r="F13" s="359"/>
      <c r="G13" s="359"/>
      <c r="H13" s="359"/>
      <c r="I13" s="359"/>
      <c r="J13" s="359"/>
      <c r="K13" s="359"/>
      <c r="L13" s="359"/>
      <c r="M13" s="359"/>
      <c r="N13" s="360"/>
    </row>
    <row r="14" spans="1:14" ht="45" customHeight="1">
      <c r="A14" s="355" t="s">
        <v>98</v>
      </c>
      <c r="B14" s="356"/>
      <c r="C14" s="357"/>
      <c r="D14" s="361" t="s">
        <v>1319</v>
      </c>
      <c r="E14" s="359"/>
      <c r="F14" s="359"/>
      <c r="G14" s="359"/>
      <c r="H14" s="359"/>
      <c r="I14" s="359"/>
      <c r="J14" s="359"/>
      <c r="K14" s="359"/>
      <c r="L14" s="359"/>
      <c r="M14" s="359"/>
      <c r="N14" s="360"/>
    </row>
    <row r="15" spans="1:14" ht="45" customHeight="1">
      <c r="A15" s="355" t="s">
        <v>905</v>
      </c>
      <c r="B15" s="356"/>
      <c r="C15" s="357"/>
      <c r="D15" s="362" t="s">
        <v>1320</v>
      </c>
      <c r="E15" s="363"/>
      <c r="F15" s="363"/>
      <c r="G15" s="363"/>
      <c r="H15" s="363"/>
      <c r="I15" s="363"/>
      <c r="J15" s="363"/>
      <c r="K15" s="363"/>
      <c r="L15" s="363"/>
      <c r="M15" s="363"/>
      <c r="N15" s="364"/>
    </row>
    <row r="16" spans="1:14" ht="45" customHeight="1">
      <c r="A16" s="365" t="s">
        <v>96</v>
      </c>
      <c r="B16" s="365"/>
      <c r="C16" s="365"/>
      <c r="D16" s="358"/>
      <c r="E16" s="359"/>
      <c r="F16" s="359"/>
      <c r="G16" s="359"/>
      <c r="H16" s="359"/>
      <c r="I16" s="359"/>
      <c r="J16" s="359"/>
      <c r="K16" s="359"/>
      <c r="L16" s="359"/>
      <c r="M16" s="359"/>
      <c r="N16" s="360"/>
    </row>
    <row r="17" spans="1:14" ht="45" customHeight="1">
      <c r="A17" s="365" t="s">
        <v>97</v>
      </c>
      <c r="B17" s="365"/>
      <c r="C17" s="365"/>
      <c r="D17" s="358" t="s">
        <v>1387</v>
      </c>
      <c r="E17" s="359"/>
      <c r="F17" s="359"/>
      <c r="G17" s="359"/>
      <c r="H17" s="359"/>
      <c r="I17" s="359"/>
      <c r="J17" s="359"/>
      <c r="K17" s="359"/>
      <c r="L17" s="359"/>
      <c r="M17" s="359"/>
      <c r="N17" s="360"/>
    </row>
  </sheetData>
  <mergeCells count="30">
    <mergeCell ref="A6:C6"/>
    <mergeCell ref="A1:N1"/>
    <mergeCell ref="A2:N2"/>
    <mergeCell ref="M3:N3"/>
    <mergeCell ref="A4:C4"/>
    <mergeCell ref="A5:C5"/>
    <mergeCell ref="A7:C7"/>
    <mergeCell ref="A8:C8"/>
    <mergeCell ref="A9:B9"/>
    <mergeCell ref="C9:D9"/>
    <mergeCell ref="E9:F9"/>
    <mergeCell ref="J9:L9"/>
    <mergeCell ref="M9:N9"/>
    <mergeCell ref="G10:H10"/>
    <mergeCell ref="K10:L10"/>
    <mergeCell ref="G11:H11"/>
    <mergeCell ref="K11:L11"/>
    <mergeCell ref="G9:I9"/>
    <mergeCell ref="A12:C12"/>
    <mergeCell ref="D12:N12"/>
    <mergeCell ref="A13:C13"/>
    <mergeCell ref="D13:N13"/>
    <mergeCell ref="A14:C14"/>
    <mergeCell ref="D14:N14"/>
    <mergeCell ref="A15:C15"/>
    <mergeCell ref="D15:N15"/>
    <mergeCell ref="A16:C16"/>
    <mergeCell ref="D16:N16"/>
    <mergeCell ref="A17:C17"/>
    <mergeCell ref="D17:N17"/>
  </mergeCells>
  <pageMargins left="0.25" right="0.25" top="0.75" bottom="0.75" header="0.3" footer="0.3"/>
  <pageSetup paperSize="9" scale="9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0"/>
  <sheetViews>
    <sheetView view="pageBreakPreview" topLeftCell="G57" zoomScale="80" zoomScaleNormal="80" zoomScaleSheetLayoutView="80" workbookViewId="0">
      <selection activeCell="O60" sqref="O60"/>
    </sheetView>
  </sheetViews>
  <sheetFormatPr defaultRowHeight="15"/>
  <cols>
    <col min="1" max="1" width="0" hidden="1" customWidth="1"/>
    <col min="2" max="7" width="9.140625" style="9"/>
    <col min="8" max="8" width="8.5703125" style="9" customWidth="1"/>
    <col min="9" max="9" width="13.85546875" style="9" customWidth="1"/>
    <col min="10" max="10" width="9.140625" style="9"/>
    <col min="11" max="11" width="15" style="9" customWidth="1"/>
    <col min="12" max="13" width="9.140625" style="9"/>
    <col min="14" max="14" width="9.5703125" style="9" customWidth="1"/>
    <col min="15" max="16" width="9.140625" style="9"/>
    <col min="17" max="17" width="11.28515625" style="9" customWidth="1"/>
    <col min="18" max="23" width="9.140625" style="9"/>
    <col min="24" max="24" width="9.85546875" style="9" customWidth="1"/>
    <col min="25" max="25" width="9.140625" style="9"/>
    <col min="27" max="27" width="9.140625" style="9" customWidth="1"/>
    <col min="28" max="28" width="22.28515625" customWidth="1"/>
  </cols>
  <sheetData>
    <row r="1" spans="1:28" ht="21" customHeight="1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</row>
    <row r="2" spans="1:28" ht="15" customHeight="1">
      <c r="A2" s="348" t="s">
        <v>1116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</row>
    <row r="3" spans="1:28" ht="30" customHeight="1">
      <c r="A3" s="343" t="s">
        <v>1117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256"/>
      <c r="AB3" s="189" t="s">
        <v>1290</v>
      </c>
    </row>
    <row r="4" spans="1:28" ht="69.75">
      <c r="A4" s="203" t="s">
        <v>1</v>
      </c>
      <c r="B4" s="56" t="s">
        <v>140</v>
      </c>
      <c r="C4" s="56" t="s">
        <v>141</v>
      </c>
      <c r="D4" s="56" t="s">
        <v>142</v>
      </c>
      <c r="E4" s="56" t="s">
        <v>143</v>
      </c>
      <c r="F4" s="204" t="s">
        <v>115</v>
      </c>
      <c r="G4" s="203" t="s">
        <v>117</v>
      </c>
      <c r="H4" s="203" t="s">
        <v>1315</v>
      </c>
      <c r="I4" s="203" t="s">
        <v>2</v>
      </c>
      <c r="J4" s="203" t="s">
        <v>3</v>
      </c>
      <c r="K4" s="203" t="s">
        <v>4</v>
      </c>
      <c r="L4" s="206" t="s">
        <v>5</v>
      </c>
      <c r="M4" s="207" t="s">
        <v>6</v>
      </c>
      <c r="N4" s="203" t="s">
        <v>7</v>
      </c>
      <c r="O4" s="207" t="s">
        <v>8</v>
      </c>
      <c r="P4" s="207" t="s">
        <v>9</v>
      </c>
      <c r="Q4" s="207" t="s">
        <v>10</v>
      </c>
      <c r="R4" s="207" t="s">
        <v>11</v>
      </c>
      <c r="S4" s="207" t="s">
        <v>12</v>
      </c>
      <c r="T4" s="207" t="s">
        <v>119</v>
      </c>
      <c r="U4" s="207" t="s">
        <v>13</v>
      </c>
      <c r="V4" s="207" t="s">
        <v>14</v>
      </c>
      <c r="W4" s="207" t="s">
        <v>15</v>
      </c>
      <c r="X4" s="207" t="s">
        <v>119</v>
      </c>
      <c r="Y4" s="207" t="s">
        <v>118</v>
      </c>
      <c r="Z4" s="208" t="s">
        <v>16</v>
      </c>
      <c r="AA4" s="205" t="s">
        <v>48</v>
      </c>
      <c r="AB4" s="202" t="s">
        <v>17</v>
      </c>
    </row>
    <row r="5" spans="1:28" s="16" customFormat="1" ht="51.75" customHeight="1">
      <c r="A5" s="161"/>
      <c r="B5" s="144">
        <v>46286</v>
      </c>
      <c r="C5" s="144">
        <v>46295</v>
      </c>
      <c r="D5" s="144">
        <v>46297</v>
      </c>
      <c r="E5" s="144">
        <v>46303</v>
      </c>
      <c r="F5" s="55" t="s">
        <v>23</v>
      </c>
      <c r="G5" s="25" t="s">
        <v>99</v>
      </c>
      <c r="H5" s="161"/>
      <c r="I5" s="161"/>
      <c r="J5" s="56" t="s">
        <v>444</v>
      </c>
      <c r="K5" s="244">
        <v>48727</v>
      </c>
      <c r="L5" s="55">
        <v>180</v>
      </c>
      <c r="M5" s="55" t="s">
        <v>42</v>
      </c>
      <c r="N5" s="56" t="s">
        <v>1152</v>
      </c>
      <c r="O5" s="56" t="s">
        <v>52</v>
      </c>
      <c r="P5" s="55">
        <v>125</v>
      </c>
      <c r="Q5" s="25">
        <f t="shared" ref="Q5:Q34" si="0">P5-R5</f>
        <v>125</v>
      </c>
      <c r="R5" s="191">
        <v>0</v>
      </c>
      <c r="S5" s="192">
        <f t="shared" ref="S5:S34" si="1">P5-R5</f>
        <v>125</v>
      </c>
      <c r="T5" s="193"/>
      <c r="U5" s="193"/>
      <c r="V5" s="192">
        <v>0</v>
      </c>
      <c r="W5" s="192">
        <f t="shared" ref="W5:W34" si="2">+V5-P5</f>
        <v>-125</v>
      </c>
      <c r="X5" s="193"/>
      <c r="Y5" s="193"/>
      <c r="Z5" s="194">
        <f t="shared" ref="Z5:Z34" si="3">(P5-V5)*100/P5/100</f>
        <v>1</v>
      </c>
      <c r="AA5" s="55" t="s">
        <v>926</v>
      </c>
      <c r="AB5" s="162"/>
    </row>
    <row r="6" spans="1:28" s="16" customFormat="1" ht="57.75" customHeight="1">
      <c r="A6" s="161"/>
      <c r="B6" s="144">
        <v>46286</v>
      </c>
      <c r="C6" s="144">
        <v>46295</v>
      </c>
      <c r="D6" s="144">
        <v>46297</v>
      </c>
      <c r="E6" s="144">
        <v>46303</v>
      </c>
      <c r="F6" s="55" t="s">
        <v>23</v>
      </c>
      <c r="G6" s="25" t="s">
        <v>99</v>
      </c>
      <c r="H6" s="161"/>
      <c r="I6" s="161"/>
      <c r="J6" s="56" t="s">
        <v>444</v>
      </c>
      <c r="K6" s="244">
        <v>48932</v>
      </c>
      <c r="L6" s="55">
        <v>180</v>
      </c>
      <c r="M6" s="55" t="s">
        <v>56</v>
      </c>
      <c r="N6" s="56" t="s">
        <v>1153</v>
      </c>
      <c r="O6" s="56" t="s">
        <v>52</v>
      </c>
      <c r="P6" s="55">
        <v>120</v>
      </c>
      <c r="Q6" s="25">
        <f t="shared" si="0"/>
        <v>120</v>
      </c>
      <c r="R6" s="191">
        <v>0</v>
      </c>
      <c r="S6" s="192">
        <f t="shared" si="1"/>
        <v>120</v>
      </c>
      <c r="T6" s="193"/>
      <c r="U6" s="193"/>
      <c r="V6" s="192">
        <v>0</v>
      </c>
      <c r="W6" s="192">
        <f t="shared" si="2"/>
        <v>-120</v>
      </c>
      <c r="X6" s="193"/>
      <c r="Y6" s="193"/>
      <c r="Z6" s="194">
        <f t="shared" si="3"/>
        <v>1</v>
      </c>
      <c r="AA6" s="55" t="s">
        <v>926</v>
      </c>
      <c r="AB6" s="162"/>
    </row>
    <row r="7" spans="1:28" s="16" customFormat="1" ht="75" customHeight="1">
      <c r="A7" s="161"/>
      <c r="B7" s="20">
        <v>46275</v>
      </c>
      <c r="C7" s="20">
        <v>46287</v>
      </c>
      <c r="D7" s="20">
        <v>46288</v>
      </c>
      <c r="E7" s="20">
        <v>46298</v>
      </c>
      <c r="F7" s="55" t="s">
        <v>23</v>
      </c>
      <c r="G7" s="25" t="s">
        <v>99</v>
      </c>
      <c r="H7" s="161"/>
      <c r="I7" s="161"/>
      <c r="J7" s="56" t="s">
        <v>33</v>
      </c>
      <c r="K7" s="223" t="s">
        <v>1151</v>
      </c>
      <c r="L7" s="55">
        <v>210</v>
      </c>
      <c r="M7" s="55" t="s">
        <v>42</v>
      </c>
      <c r="N7" s="59" t="s">
        <v>101</v>
      </c>
      <c r="O7" s="56" t="s">
        <v>36</v>
      </c>
      <c r="P7" s="55">
        <v>1320</v>
      </c>
      <c r="Q7" s="25">
        <f t="shared" si="0"/>
        <v>23</v>
      </c>
      <c r="R7" s="191">
        <f>798+499</f>
        <v>1297</v>
      </c>
      <c r="S7" s="195">
        <f t="shared" si="1"/>
        <v>23</v>
      </c>
      <c r="T7" s="193">
        <v>3112</v>
      </c>
      <c r="U7" s="193" t="s">
        <v>1172</v>
      </c>
      <c r="V7" s="192">
        <f>820+471</f>
        <v>1291</v>
      </c>
      <c r="W7" s="192">
        <f t="shared" si="2"/>
        <v>-29</v>
      </c>
      <c r="X7" s="193">
        <v>226020</v>
      </c>
      <c r="Y7" s="193" t="s">
        <v>1363</v>
      </c>
      <c r="Z7" s="194">
        <f t="shared" si="3"/>
        <v>2.1969696969696969E-2</v>
      </c>
      <c r="AA7" s="55" t="s">
        <v>30</v>
      </c>
      <c r="AB7" s="162" t="s">
        <v>1184</v>
      </c>
    </row>
    <row r="8" spans="1:28" s="16" customFormat="1" ht="74.25" customHeight="1">
      <c r="A8" s="161"/>
      <c r="B8" s="20">
        <v>46270</v>
      </c>
      <c r="C8" s="20">
        <v>46295</v>
      </c>
      <c r="D8" s="20">
        <v>46286</v>
      </c>
      <c r="E8" s="20">
        <v>46303</v>
      </c>
      <c r="F8" s="55" t="s">
        <v>23</v>
      </c>
      <c r="G8" s="25" t="s">
        <v>105</v>
      </c>
      <c r="H8" s="161"/>
      <c r="I8" s="161"/>
      <c r="J8" s="56" t="s">
        <v>34</v>
      </c>
      <c r="K8" s="57">
        <v>48336</v>
      </c>
      <c r="L8" s="55">
        <v>140</v>
      </c>
      <c r="M8" s="55" t="s">
        <v>47</v>
      </c>
      <c r="N8" s="56" t="s">
        <v>1177</v>
      </c>
      <c r="O8" s="56" t="s">
        <v>20</v>
      </c>
      <c r="P8" s="55">
        <v>1163</v>
      </c>
      <c r="Q8" s="25">
        <f t="shared" si="0"/>
        <v>4</v>
      </c>
      <c r="R8" s="191">
        <f>679+480</f>
        <v>1159</v>
      </c>
      <c r="S8" s="192">
        <f t="shared" si="1"/>
        <v>4</v>
      </c>
      <c r="T8" s="193" t="s">
        <v>1173</v>
      </c>
      <c r="U8" s="193" t="s">
        <v>1174</v>
      </c>
      <c r="V8" s="192">
        <f>506+245+42+33+195</f>
        <v>1021</v>
      </c>
      <c r="W8" s="195">
        <f t="shared" si="2"/>
        <v>-142</v>
      </c>
      <c r="X8" s="193" t="s">
        <v>1392</v>
      </c>
      <c r="Y8" s="193" t="s">
        <v>1393</v>
      </c>
      <c r="Z8" s="226">
        <f t="shared" si="3"/>
        <v>0.12209802235597593</v>
      </c>
      <c r="AA8" s="55" t="s">
        <v>32</v>
      </c>
      <c r="AB8" s="162" t="s">
        <v>1286</v>
      </c>
    </row>
    <row r="9" spans="1:28" s="16" customFormat="1" ht="81" customHeight="1">
      <c r="A9" s="161"/>
      <c r="B9" s="20">
        <v>46270</v>
      </c>
      <c r="C9" s="20">
        <v>46295</v>
      </c>
      <c r="D9" s="20">
        <v>46286</v>
      </c>
      <c r="E9" s="20">
        <v>46303</v>
      </c>
      <c r="F9" s="55" t="s">
        <v>23</v>
      </c>
      <c r="G9" s="25" t="s">
        <v>105</v>
      </c>
      <c r="H9" s="161"/>
      <c r="I9" s="161"/>
      <c r="J9" s="56" t="s">
        <v>34</v>
      </c>
      <c r="K9" s="57">
        <v>48336</v>
      </c>
      <c r="L9" s="55">
        <v>140</v>
      </c>
      <c r="M9" s="55" t="s">
        <v>47</v>
      </c>
      <c r="N9" s="59" t="s">
        <v>1178</v>
      </c>
      <c r="O9" s="56" t="s">
        <v>20</v>
      </c>
      <c r="P9" s="55">
        <v>1182</v>
      </c>
      <c r="Q9" s="25">
        <f t="shared" si="0"/>
        <v>0</v>
      </c>
      <c r="R9" s="191">
        <f>701+236+245</f>
        <v>1182</v>
      </c>
      <c r="S9" s="192">
        <f t="shared" si="1"/>
        <v>0</v>
      </c>
      <c r="T9" s="193" t="s">
        <v>1222</v>
      </c>
      <c r="U9" s="193" t="s">
        <v>1224</v>
      </c>
      <c r="V9" s="192">
        <f>178+255+722</f>
        <v>1155</v>
      </c>
      <c r="W9" s="192">
        <f t="shared" si="2"/>
        <v>-27</v>
      </c>
      <c r="X9" s="193">
        <v>2225</v>
      </c>
      <c r="Y9" s="193" t="s">
        <v>1203</v>
      </c>
      <c r="Z9" s="194">
        <f t="shared" si="3"/>
        <v>2.2842639593908629E-2</v>
      </c>
      <c r="AA9" s="55" t="s">
        <v>32</v>
      </c>
      <c r="AB9" s="162" t="s">
        <v>1192</v>
      </c>
    </row>
    <row r="10" spans="1:28" s="16" customFormat="1" ht="76.5" customHeight="1">
      <c r="A10" s="161"/>
      <c r="B10" s="20">
        <v>46270</v>
      </c>
      <c r="C10" s="20">
        <v>46295</v>
      </c>
      <c r="D10" s="20">
        <v>46286</v>
      </c>
      <c r="E10" s="20">
        <v>46303</v>
      </c>
      <c r="F10" s="55" t="s">
        <v>23</v>
      </c>
      <c r="G10" s="25" t="s">
        <v>105</v>
      </c>
      <c r="H10" s="161"/>
      <c r="I10" s="161"/>
      <c r="J10" s="56" t="s">
        <v>34</v>
      </c>
      <c r="K10" s="57">
        <v>48336</v>
      </c>
      <c r="L10" s="55">
        <v>140</v>
      </c>
      <c r="M10" s="55" t="s">
        <v>47</v>
      </c>
      <c r="N10" s="59" t="s">
        <v>1180</v>
      </c>
      <c r="O10" s="56" t="s">
        <v>20</v>
      </c>
      <c r="P10" s="55">
        <v>1178</v>
      </c>
      <c r="Q10" s="25">
        <f t="shared" si="0"/>
        <v>0</v>
      </c>
      <c r="R10" s="191">
        <f>753+425</f>
        <v>1178</v>
      </c>
      <c r="S10" s="192">
        <f t="shared" si="1"/>
        <v>0</v>
      </c>
      <c r="T10" s="193" t="s">
        <v>1223</v>
      </c>
      <c r="U10" s="193" t="s">
        <v>1225</v>
      </c>
      <c r="V10" s="192">
        <f>296+175+426+252+7+19</f>
        <v>1175</v>
      </c>
      <c r="W10" s="192">
        <f t="shared" si="2"/>
        <v>-3</v>
      </c>
      <c r="X10" s="193" t="s">
        <v>1241</v>
      </c>
      <c r="Y10" s="193" t="s">
        <v>1242</v>
      </c>
      <c r="Z10" s="194">
        <f t="shared" si="3"/>
        <v>2.5466893039049238E-3</v>
      </c>
      <c r="AA10" s="55" t="s">
        <v>32</v>
      </c>
      <c r="AB10" s="162" t="s">
        <v>1243</v>
      </c>
    </row>
    <row r="11" spans="1:28" s="16" customFormat="1" ht="73.5" customHeight="1">
      <c r="A11" s="161"/>
      <c r="B11" s="20">
        <v>46270</v>
      </c>
      <c r="C11" s="20">
        <v>46295</v>
      </c>
      <c r="D11" s="20">
        <v>46286</v>
      </c>
      <c r="E11" s="20">
        <v>46303</v>
      </c>
      <c r="F11" s="55" t="s">
        <v>23</v>
      </c>
      <c r="G11" s="25" t="s">
        <v>105</v>
      </c>
      <c r="H11" s="161"/>
      <c r="I11" s="161"/>
      <c r="J11" s="56" t="s">
        <v>34</v>
      </c>
      <c r="K11" s="57">
        <v>48336</v>
      </c>
      <c r="L11" s="55">
        <v>140</v>
      </c>
      <c r="M11" s="55" t="s">
        <v>47</v>
      </c>
      <c r="N11" s="56" t="s">
        <v>1179</v>
      </c>
      <c r="O11" s="56" t="s">
        <v>20</v>
      </c>
      <c r="P11" s="55">
        <v>1024</v>
      </c>
      <c r="Q11" s="25">
        <f t="shared" si="0"/>
        <v>-2</v>
      </c>
      <c r="R11" s="191">
        <f>103+783+140</f>
        <v>1026</v>
      </c>
      <c r="S11" s="192">
        <f t="shared" si="1"/>
        <v>-2</v>
      </c>
      <c r="T11" s="193" t="s">
        <v>1248</v>
      </c>
      <c r="U11" s="193" t="s">
        <v>1249</v>
      </c>
      <c r="V11" s="192">
        <f>703+236</f>
        <v>939</v>
      </c>
      <c r="W11" s="195">
        <f t="shared" si="2"/>
        <v>-85</v>
      </c>
      <c r="X11" s="193">
        <v>2047</v>
      </c>
      <c r="Y11" s="193" t="s">
        <v>1310</v>
      </c>
      <c r="Z11" s="226">
        <f t="shared" si="3"/>
        <v>8.30078125E-2</v>
      </c>
      <c r="AA11" s="55" t="s">
        <v>32</v>
      </c>
      <c r="AB11" s="162" t="s">
        <v>1287</v>
      </c>
    </row>
    <row r="12" spans="1:28" s="16" customFormat="1" ht="71.25" customHeight="1">
      <c r="A12" s="161"/>
      <c r="B12" s="20">
        <v>46270</v>
      </c>
      <c r="C12" s="20">
        <v>46295</v>
      </c>
      <c r="D12" s="20">
        <v>46286</v>
      </c>
      <c r="E12" s="20">
        <v>46303</v>
      </c>
      <c r="F12" s="55" t="s">
        <v>23</v>
      </c>
      <c r="G12" s="25" t="s">
        <v>105</v>
      </c>
      <c r="H12" s="161"/>
      <c r="I12" s="161"/>
      <c r="J12" s="56" t="s">
        <v>34</v>
      </c>
      <c r="K12" s="57">
        <v>48336</v>
      </c>
      <c r="L12" s="55">
        <v>140</v>
      </c>
      <c r="M12" s="55" t="s">
        <v>47</v>
      </c>
      <c r="N12" s="56" t="s">
        <v>1181</v>
      </c>
      <c r="O12" s="56" t="s">
        <v>20</v>
      </c>
      <c r="P12" s="55">
        <v>874</v>
      </c>
      <c r="Q12" s="25">
        <f t="shared" si="0"/>
        <v>-2</v>
      </c>
      <c r="R12" s="191">
        <f>141+735</f>
        <v>876</v>
      </c>
      <c r="S12" s="192">
        <f t="shared" si="1"/>
        <v>-2</v>
      </c>
      <c r="T12" s="193" t="s">
        <v>1257</v>
      </c>
      <c r="U12" s="193" t="s">
        <v>1258</v>
      </c>
      <c r="V12" s="192">
        <f>105+39+600+67</f>
        <v>811</v>
      </c>
      <c r="W12" s="195">
        <f t="shared" si="2"/>
        <v>-63</v>
      </c>
      <c r="X12" s="193">
        <v>2044</v>
      </c>
      <c r="Y12" s="193" t="s">
        <v>1291</v>
      </c>
      <c r="Z12" s="226">
        <f t="shared" si="3"/>
        <v>7.2082379862700219E-2</v>
      </c>
      <c r="AA12" s="55" t="s">
        <v>32</v>
      </c>
      <c r="AB12" s="162" t="s">
        <v>1288</v>
      </c>
    </row>
    <row r="13" spans="1:28" s="16" customFormat="1" ht="66.75" customHeight="1">
      <c r="A13" s="161"/>
      <c r="B13" s="20">
        <v>46286</v>
      </c>
      <c r="C13" s="20">
        <v>46295</v>
      </c>
      <c r="D13" s="20">
        <v>46296</v>
      </c>
      <c r="E13" s="20">
        <v>46305</v>
      </c>
      <c r="F13" s="55" t="s">
        <v>23</v>
      </c>
      <c r="G13" s="25" t="s">
        <v>105</v>
      </c>
      <c r="H13" s="161"/>
      <c r="I13" s="161"/>
      <c r="J13" s="56" t="s">
        <v>34</v>
      </c>
      <c r="K13" s="57">
        <v>48339</v>
      </c>
      <c r="L13" s="55">
        <v>240</v>
      </c>
      <c r="M13" s="55" t="s">
        <v>56</v>
      </c>
      <c r="N13" s="56" t="s">
        <v>1183</v>
      </c>
      <c r="O13" s="56" t="s">
        <v>146</v>
      </c>
      <c r="P13" s="55">
        <v>776</v>
      </c>
      <c r="Q13" s="25">
        <f t="shared" ref="Q13" si="4">P13-R13</f>
        <v>-1</v>
      </c>
      <c r="R13" s="191">
        <f>777</f>
        <v>777</v>
      </c>
      <c r="S13" s="192">
        <f t="shared" ref="S13" si="5">P13-R13</f>
        <v>-1</v>
      </c>
      <c r="T13" s="193" t="s">
        <v>1175</v>
      </c>
      <c r="U13" s="193" t="s">
        <v>1176</v>
      </c>
      <c r="V13" s="192">
        <f>6</f>
        <v>6</v>
      </c>
      <c r="W13" s="192">
        <f t="shared" si="2"/>
        <v>-770</v>
      </c>
      <c r="X13" s="193">
        <v>2237</v>
      </c>
      <c r="Y13" s="193"/>
      <c r="Z13" s="194">
        <f t="shared" si="3"/>
        <v>0.99226804123711343</v>
      </c>
      <c r="AA13" s="55" t="s">
        <v>32</v>
      </c>
      <c r="AB13" s="162" t="s">
        <v>1285</v>
      </c>
    </row>
    <row r="14" spans="1:28" s="16" customFormat="1" ht="75.75" customHeight="1">
      <c r="A14" s="161"/>
      <c r="B14" s="20">
        <v>46286</v>
      </c>
      <c r="C14" s="20">
        <v>46295</v>
      </c>
      <c r="D14" s="20">
        <v>46296</v>
      </c>
      <c r="E14" s="20">
        <v>46305</v>
      </c>
      <c r="F14" s="55" t="s">
        <v>23</v>
      </c>
      <c r="G14" s="25" t="s">
        <v>105</v>
      </c>
      <c r="H14" s="161"/>
      <c r="I14" s="161"/>
      <c r="J14" s="56" t="s">
        <v>34</v>
      </c>
      <c r="K14" s="57">
        <v>48339</v>
      </c>
      <c r="L14" s="55">
        <v>240</v>
      </c>
      <c r="M14" s="55" t="s">
        <v>56</v>
      </c>
      <c r="N14" s="59" t="s">
        <v>1182</v>
      </c>
      <c r="O14" s="56" t="s">
        <v>146</v>
      </c>
      <c r="P14" s="55">
        <v>585</v>
      </c>
      <c r="Q14" s="25">
        <f t="shared" si="0"/>
        <v>0</v>
      </c>
      <c r="R14" s="191">
        <f>585</f>
        <v>585</v>
      </c>
      <c r="S14" s="192">
        <f t="shared" si="1"/>
        <v>0</v>
      </c>
      <c r="T14" s="193">
        <v>3157</v>
      </c>
      <c r="U14" s="193">
        <v>7.09</v>
      </c>
      <c r="V14" s="192">
        <f>575+5</f>
        <v>580</v>
      </c>
      <c r="W14" s="192">
        <f t="shared" si="2"/>
        <v>-5</v>
      </c>
      <c r="X14" s="193">
        <v>2016</v>
      </c>
      <c r="Y14" s="193" t="s">
        <v>1169</v>
      </c>
      <c r="Z14" s="194">
        <f t="shared" si="3"/>
        <v>8.5470085470085461E-3</v>
      </c>
      <c r="AA14" s="55" t="s">
        <v>32</v>
      </c>
      <c r="AB14" s="162" t="s">
        <v>1208</v>
      </c>
    </row>
    <row r="15" spans="1:28" s="16" customFormat="1" ht="51.75" customHeight="1">
      <c r="A15" s="161"/>
      <c r="B15" s="21"/>
      <c r="C15" s="21"/>
      <c r="D15" s="21"/>
      <c r="E15" s="21"/>
      <c r="F15" s="43"/>
      <c r="G15" s="25"/>
      <c r="H15" s="161"/>
      <c r="I15" s="161"/>
      <c r="J15" s="162"/>
      <c r="K15" s="162"/>
      <c r="L15" s="45"/>
      <c r="M15" s="45"/>
      <c r="N15" s="45"/>
      <c r="O15" s="45"/>
      <c r="P15" s="45">
        <v>0</v>
      </c>
      <c r="Q15" s="25">
        <f t="shared" si="0"/>
        <v>0</v>
      </c>
      <c r="R15" s="191">
        <v>0</v>
      </c>
      <c r="S15" s="192">
        <f t="shared" si="1"/>
        <v>0</v>
      </c>
      <c r="T15" s="193"/>
      <c r="U15" s="193"/>
      <c r="V15" s="192">
        <v>0</v>
      </c>
      <c r="W15" s="192">
        <f t="shared" si="2"/>
        <v>0</v>
      </c>
      <c r="X15" s="193"/>
      <c r="Y15" s="193"/>
      <c r="Z15" s="194" t="e">
        <f t="shared" si="3"/>
        <v>#DIV/0!</v>
      </c>
      <c r="AA15" s="44"/>
      <c r="AB15" s="162"/>
    </row>
    <row r="16" spans="1:28" s="16" customFormat="1" ht="51.75" customHeight="1">
      <c r="A16" s="161"/>
      <c r="B16" s="21"/>
      <c r="C16" s="21"/>
      <c r="D16" s="21"/>
      <c r="E16" s="21"/>
      <c r="F16" s="43"/>
      <c r="G16" s="25"/>
      <c r="H16" s="161"/>
      <c r="I16" s="161"/>
      <c r="J16" s="162"/>
      <c r="K16" s="162"/>
      <c r="L16" s="45"/>
      <c r="M16" s="45"/>
      <c r="N16" s="45"/>
      <c r="O16" s="45"/>
      <c r="P16" s="45">
        <v>0</v>
      </c>
      <c r="Q16" s="25">
        <f t="shared" si="0"/>
        <v>0</v>
      </c>
      <c r="R16" s="191">
        <v>0</v>
      </c>
      <c r="S16" s="192">
        <f t="shared" si="1"/>
        <v>0</v>
      </c>
      <c r="T16" s="193"/>
      <c r="U16" s="193"/>
      <c r="V16" s="192">
        <v>0</v>
      </c>
      <c r="W16" s="192">
        <f t="shared" si="2"/>
        <v>0</v>
      </c>
      <c r="X16" s="193"/>
      <c r="Y16" s="193"/>
      <c r="Z16" s="194" t="e">
        <f t="shared" si="3"/>
        <v>#DIV/0!</v>
      </c>
      <c r="AA16" s="44"/>
      <c r="AB16" s="162"/>
    </row>
    <row r="17" spans="1:28" s="16" customFormat="1" ht="51.75" customHeight="1">
      <c r="A17" s="161"/>
      <c r="B17" s="21"/>
      <c r="C17" s="21"/>
      <c r="D17" s="21"/>
      <c r="E17" s="21"/>
      <c r="F17" s="43"/>
      <c r="G17" s="25"/>
      <c r="H17" s="161"/>
      <c r="I17" s="161"/>
      <c r="J17" s="162"/>
      <c r="K17" s="162"/>
      <c r="L17" s="45"/>
      <c r="M17" s="45"/>
      <c r="N17" s="45"/>
      <c r="O17" s="45"/>
      <c r="P17" s="45">
        <v>0</v>
      </c>
      <c r="Q17" s="25">
        <f t="shared" si="0"/>
        <v>0</v>
      </c>
      <c r="R17" s="191">
        <v>0</v>
      </c>
      <c r="S17" s="192">
        <f t="shared" si="1"/>
        <v>0</v>
      </c>
      <c r="T17" s="193"/>
      <c r="U17" s="193"/>
      <c r="V17" s="192">
        <v>0</v>
      </c>
      <c r="W17" s="192">
        <f t="shared" si="2"/>
        <v>0</v>
      </c>
      <c r="X17" s="193"/>
      <c r="Y17" s="193"/>
      <c r="Z17" s="194" t="e">
        <f t="shared" si="3"/>
        <v>#DIV/0!</v>
      </c>
      <c r="AA17" s="44"/>
      <c r="AB17" s="162"/>
    </row>
    <row r="18" spans="1:28" s="16" customFormat="1" ht="51.75" customHeight="1">
      <c r="A18" s="161"/>
      <c r="B18" s="21"/>
      <c r="C18" s="21"/>
      <c r="D18" s="21"/>
      <c r="E18" s="21"/>
      <c r="F18" s="43"/>
      <c r="G18" s="25"/>
      <c r="H18" s="161"/>
      <c r="I18" s="161"/>
      <c r="J18" s="162"/>
      <c r="K18" s="162"/>
      <c r="L18" s="45"/>
      <c r="M18" s="45"/>
      <c r="N18" s="45"/>
      <c r="O18" s="45"/>
      <c r="P18" s="45">
        <v>0</v>
      </c>
      <c r="Q18" s="25">
        <f t="shared" si="0"/>
        <v>0</v>
      </c>
      <c r="R18" s="191">
        <v>0</v>
      </c>
      <c r="S18" s="192">
        <f t="shared" si="1"/>
        <v>0</v>
      </c>
      <c r="T18" s="193"/>
      <c r="U18" s="193"/>
      <c r="V18" s="192">
        <v>0</v>
      </c>
      <c r="W18" s="192">
        <f t="shared" si="2"/>
        <v>0</v>
      </c>
      <c r="X18" s="193"/>
      <c r="Y18" s="193"/>
      <c r="Z18" s="194" t="e">
        <f t="shared" si="3"/>
        <v>#DIV/0!</v>
      </c>
      <c r="AA18" s="44"/>
      <c r="AB18" s="162"/>
    </row>
    <row r="19" spans="1:28" s="16" customFormat="1" ht="51.75" customHeight="1">
      <c r="A19" s="161"/>
      <c r="B19" s="21"/>
      <c r="C19" s="21"/>
      <c r="D19" s="21"/>
      <c r="E19" s="21"/>
      <c r="F19" s="43"/>
      <c r="G19" s="25"/>
      <c r="H19" s="161"/>
      <c r="I19" s="161"/>
      <c r="J19" s="162"/>
      <c r="K19" s="162"/>
      <c r="L19" s="45"/>
      <c r="M19" s="45"/>
      <c r="N19" s="45"/>
      <c r="O19" s="45"/>
      <c r="P19" s="45">
        <v>0</v>
      </c>
      <c r="Q19" s="25">
        <f t="shared" ref="Q19:Q31" si="6">P19-R19</f>
        <v>0</v>
      </c>
      <c r="R19" s="191">
        <v>0</v>
      </c>
      <c r="S19" s="192">
        <f t="shared" ref="S19:S31" si="7">P19-R19</f>
        <v>0</v>
      </c>
      <c r="T19" s="193"/>
      <c r="U19" s="193"/>
      <c r="V19" s="192">
        <v>0</v>
      </c>
      <c r="W19" s="192">
        <f t="shared" ref="W19:W31" si="8">+V19-P19</f>
        <v>0</v>
      </c>
      <c r="X19" s="193"/>
      <c r="Y19" s="193"/>
      <c r="Z19" s="194"/>
      <c r="AA19" s="44"/>
      <c r="AB19" s="162"/>
    </row>
    <row r="20" spans="1:28" s="16" customFormat="1" ht="51.75" customHeight="1">
      <c r="A20" s="161"/>
      <c r="B20" s="21"/>
      <c r="C20" s="21"/>
      <c r="D20" s="21"/>
      <c r="E20" s="21"/>
      <c r="F20" s="43"/>
      <c r="G20" s="25"/>
      <c r="H20" s="161"/>
      <c r="I20" s="161"/>
      <c r="J20" s="162"/>
      <c r="K20" s="162"/>
      <c r="L20" s="45"/>
      <c r="M20" s="45"/>
      <c r="N20" s="45"/>
      <c r="O20" s="45"/>
      <c r="P20" s="45">
        <v>0</v>
      </c>
      <c r="Q20" s="25">
        <f t="shared" si="6"/>
        <v>0</v>
      </c>
      <c r="R20" s="191">
        <v>0</v>
      </c>
      <c r="S20" s="192">
        <f t="shared" si="7"/>
        <v>0</v>
      </c>
      <c r="T20" s="193"/>
      <c r="U20" s="193"/>
      <c r="V20" s="192">
        <v>0</v>
      </c>
      <c r="W20" s="192">
        <f t="shared" si="8"/>
        <v>0</v>
      </c>
      <c r="X20" s="193"/>
      <c r="Y20" s="193"/>
      <c r="Z20" s="194"/>
      <c r="AA20" s="44"/>
      <c r="AB20" s="162"/>
    </row>
    <row r="21" spans="1:28" s="16" customFormat="1" ht="51.75" customHeight="1">
      <c r="A21" s="161"/>
      <c r="B21" s="21"/>
      <c r="C21" s="21"/>
      <c r="D21" s="21"/>
      <c r="E21" s="21"/>
      <c r="F21" s="43"/>
      <c r="G21" s="25"/>
      <c r="H21" s="161"/>
      <c r="I21" s="161"/>
      <c r="J21" s="162"/>
      <c r="K21" s="162"/>
      <c r="L21" s="45"/>
      <c r="M21" s="45"/>
      <c r="N21" s="45"/>
      <c r="O21" s="45"/>
      <c r="P21" s="45">
        <v>0</v>
      </c>
      <c r="Q21" s="25">
        <f t="shared" si="6"/>
        <v>0</v>
      </c>
      <c r="R21" s="191">
        <v>0</v>
      </c>
      <c r="S21" s="192">
        <f t="shared" si="7"/>
        <v>0</v>
      </c>
      <c r="T21" s="193"/>
      <c r="U21" s="193"/>
      <c r="V21" s="192">
        <v>0</v>
      </c>
      <c r="W21" s="192">
        <f t="shared" si="8"/>
        <v>0</v>
      </c>
      <c r="X21" s="193"/>
      <c r="Y21" s="193"/>
      <c r="Z21" s="194"/>
      <c r="AA21" s="44"/>
      <c r="AB21" s="162"/>
    </row>
    <row r="22" spans="1:28" s="16" customFormat="1" ht="51.75" customHeight="1">
      <c r="A22" s="161"/>
      <c r="B22" s="21"/>
      <c r="C22" s="21"/>
      <c r="D22" s="21"/>
      <c r="E22" s="21"/>
      <c r="F22" s="43"/>
      <c r="G22" s="25"/>
      <c r="H22" s="161"/>
      <c r="I22" s="161"/>
      <c r="J22" s="162"/>
      <c r="K22" s="162"/>
      <c r="L22" s="45"/>
      <c r="M22" s="45"/>
      <c r="N22" s="45"/>
      <c r="O22" s="45"/>
      <c r="P22" s="45">
        <v>0</v>
      </c>
      <c r="Q22" s="25">
        <f t="shared" si="6"/>
        <v>0</v>
      </c>
      <c r="R22" s="191">
        <v>0</v>
      </c>
      <c r="S22" s="192">
        <f t="shared" si="7"/>
        <v>0</v>
      </c>
      <c r="T22" s="193"/>
      <c r="U22" s="193"/>
      <c r="V22" s="192">
        <v>0</v>
      </c>
      <c r="W22" s="192">
        <f t="shared" si="8"/>
        <v>0</v>
      </c>
      <c r="X22" s="193"/>
      <c r="Y22" s="193"/>
      <c r="Z22" s="194"/>
      <c r="AA22" s="44"/>
      <c r="AB22" s="162"/>
    </row>
    <row r="23" spans="1:28" s="16" customFormat="1" ht="51.75" customHeight="1">
      <c r="A23" s="161"/>
      <c r="B23" s="21"/>
      <c r="C23" s="21"/>
      <c r="D23" s="21"/>
      <c r="E23" s="21"/>
      <c r="F23" s="43"/>
      <c r="G23" s="25"/>
      <c r="H23" s="161"/>
      <c r="I23" s="161"/>
      <c r="J23" s="162"/>
      <c r="K23" s="162"/>
      <c r="L23" s="45"/>
      <c r="M23" s="45"/>
      <c r="N23" s="45"/>
      <c r="O23" s="45"/>
      <c r="P23" s="45">
        <v>0</v>
      </c>
      <c r="Q23" s="25">
        <f t="shared" si="6"/>
        <v>0</v>
      </c>
      <c r="R23" s="191">
        <v>0</v>
      </c>
      <c r="S23" s="192">
        <f t="shared" si="7"/>
        <v>0</v>
      </c>
      <c r="T23" s="193"/>
      <c r="U23" s="193"/>
      <c r="V23" s="192">
        <v>0</v>
      </c>
      <c r="W23" s="192">
        <f t="shared" si="8"/>
        <v>0</v>
      </c>
      <c r="X23" s="193"/>
      <c r="Y23" s="193"/>
      <c r="Z23" s="194"/>
      <c r="AA23" s="44"/>
      <c r="AB23" s="162"/>
    </row>
    <row r="24" spans="1:28" s="16" customFormat="1" ht="51.75" customHeight="1">
      <c r="A24" s="161"/>
      <c r="B24" s="21"/>
      <c r="C24" s="21"/>
      <c r="D24" s="21"/>
      <c r="E24" s="21"/>
      <c r="F24" s="43"/>
      <c r="G24" s="25"/>
      <c r="H24" s="161"/>
      <c r="I24" s="161"/>
      <c r="J24" s="162"/>
      <c r="K24" s="162"/>
      <c r="L24" s="45"/>
      <c r="M24" s="45"/>
      <c r="N24" s="45"/>
      <c r="O24" s="45"/>
      <c r="P24" s="45">
        <v>0</v>
      </c>
      <c r="Q24" s="25">
        <f t="shared" si="6"/>
        <v>0</v>
      </c>
      <c r="R24" s="191">
        <v>0</v>
      </c>
      <c r="S24" s="192">
        <f t="shared" si="7"/>
        <v>0</v>
      </c>
      <c r="T24" s="193"/>
      <c r="U24" s="193"/>
      <c r="V24" s="192">
        <v>0</v>
      </c>
      <c r="W24" s="192">
        <f t="shared" si="8"/>
        <v>0</v>
      </c>
      <c r="X24" s="193"/>
      <c r="Y24" s="193"/>
      <c r="Z24" s="194"/>
      <c r="AA24" s="44"/>
      <c r="AB24" s="162"/>
    </row>
    <row r="25" spans="1:28" s="16" customFormat="1" ht="51.75" customHeight="1">
      <c r="A25" s="161"/>
      <c r="B25" s="21"/>
      <c r="C25" s="21"/>
      <c r="D25" s="21"/>
      <c r="E25" s="21"/>
      <c r="F25" s="43"/>
      <c r="G25" s="25"/>
      <c r="H25" s="161"/>
      <c r="I25" s="161"/>
      <c r="J25" s="162"/>
      <c r="K25" s="162"/>
      <c r="L25" s="45"/>
      <c r="M25" s="45"/>
      <c r="N25" s="45"/>
      <c r="O25" s="45"/>
      <c r="P25" s="45">
        <v>0</v>
      </c>
      <c r="Q25" s="25">
        <f t="shared" si="6"/>
        <v>0</v>
      </c>
      <c r="R25" s="191">
        <v>0</v>
      </c>
      <c r="S25" s="192">
        <f t="shared" si="7"/>
        <v>0</v>
      </c>
      <c r="T25" s="193"/>
      <c r="U25" s="193"/>
      <c r="V25" s="192">
        <v>0</v>
      </c>
      <c r="W25" s="192">
        <f t="shared" si="8"/>
        <v>0</v>
      </c>
      <c r="X25" s="193"/>
      <c r="Y25" s="193"/>
      <c r="Z25" s="194"/>
      <c r="AA25" s="44"/>
      <c r="AB25" s="162"/>
    </row>
    <row r="26" spans="1:28" s="16" customFormat="1" ht="51.75" customHeight="1">
      <c r="A26" s="161"/>
      <c r="B26" s="21"/>
      <c r="C26" s="21"/>
      <c r="D26" s="21"/>
      <c r="E26" s="21"/>
      <c r="F26" s="43"/>
      <c r="G26" s="25"/>
      <c r="H26" s="161"/>
      <c r="I26" s="161"/>
      <c r="J26" s="162"/>
      <c r="K26" s="162"/>
      <c r="L26" s="45"/>
      <c r="M26" s="45"/>
      <c r="N26" s="45"/>
      <c r="O26" s="45"/>
      <c r="P26" s="45">
        <v>0</v>
      </c>
      <c r="Q26" s="25">
        <f t="shared" si="6"/>
        <v>0</v>
      </c>
      <c r="R26" s="191">
        <v>0</v>
      </c>
      <c r="S26" s="192">
        <f t="shared" si="7"/>
        <v>0</v>
      </c>
      <c r="T26" s="193"/>
      <c r="U26" s="193"/>
      <c r="V26" s="192">
        <v>0</v>
      </c>
      <c r="W26" s="192">
        <f t="shared" si="8"/>
        <v>0</v>
      </c>
      <c r="X26" s="193"/>
      <c r="Y26" s="193"/>
      <c r="Z26" s="194"/>
      <c r="AA26" s="44"/>
      <c r="AB26" s="162"/>
    </row>
    <row r="27" spans="1:28" s="16" customFormat="1" ht="51.75" customHeight="1">
      <c r="A27" s="161"/>
      <c r="B27" s="21"/>
      <c r="C27" s="21"/>
      <c r="D27" s="21"/>
      <c r="E27" s="21"/>
      <c r="F27" s="43"/>
      <c r="G27" s="25"/>
      <c r="H27" s="161"/>
      <c r="I27" s="161"/>
      <c r="J27" s="162"/>
      <c r="K27" s="162"/>
      <c r="L27" s="45"/>
      <c r="M27" s="45"/>
      <c r="N27" s="45"/>
      <c r="O27" s="45"/>
      <c r="P27" s="45">
        <v>0</v>
      </c>
      <c r="Q27" s="25">
        <f t="shared" si="6"/>
        <v>0</v>
      </c>
      <c r="R27" s="191">
        <v>0</v>
      </c>
      <c r="S27" s="192">
        <f t="shared" si="7"/>
        <v>0</v>
      </c>
      <c r="T27" s="193"/>
      <c r="U27" s="193"/>
      <c r="V27" s="192">
        <v>0</v>
      </c>
      <c r="W27" s="192">
        <f t="shared" si="8"/>
        <v>0</v>
      </c>
      <c r="X27" s="193"/>
      <c r="Y27" s="193"/>
      <c r="Z27" s="194"/>
      <c r="AA27" s="44"/>
      <c r="AB27" s="162"/>
    </row>
    <row r="28" spans="1:28" s="16" customFormat="1" ht="51.75" customHeight="1">
      <c r="A28" s="161"/>
      <c r="B28" s="21"/>
      <c r="C28" s="21"/>
      <c r="D28" s="21"/>
      <c r="E28" s="21"/>
      <c r="F28" s="43"/>
      <c r="G28" s="25"/>
      <c r="H28" s="161"/>
      <c r="I28" s="161"/>
      <c r="J28" s="162"/>
      <c r="K28" s="162"/>
      <c r="L28" s="45"/>
      <c r="M28" s="45"/>
      <c r="N28" s="45"/>
      <c r="O28" s="45"/>
      <c r="P28" s="45">
        <v>0</v>
      </c>
      <c r="Q28" s="25">
        <f t="shared" si="6"/>
        <v>0</v>
      </c>
      <c r="R28" s="191">
        <v>0</v>
      </c>
      <c r="S28" s="192">
        <f t="shared" si="7"/>
        <v>0</v>
      </c>
      <c r="T28" s="193"/>
      <c r="U28" s="193"/>
      <c r="V28" s="192">
        <v>0</v>
      </c>
      <c r="W28" s="192">
        <f t="shared" si="8"/>
        <v>0</v>
      </c>
      <c r="X28" s="193"/>
      <c r="Y28" s="193"/>
      <c r="Z28" s="194"/>
      <c r="AA28" s="44"/>
      <c r="AB28" s="162"/>
    </row>
    <row r="29" spans="1:28" s="16" customFormat="1" ht="51.75" customHeight="1">
      <c r="A29" s="161"/>
      <c r="B29" s="21"/>
      <c r="C29" s="21"/>
      <c r="D29" s="21"/>
      <c r="E29" s="21"/>
      <c r="F29" s="43"/>
      <c r="G29" s="25"/>
      <c r="H29" s="161"/>
      <c r="I29" s="161"/>
      <c r="J29" s="162"/>
      <c r="K29" s="162"/>
      <c r="L29" s="45"/>
      <c r="M29" s="45"/>
      <c r="N29" s="45"/>
      <c r="O29" s="45"/>
      <c r="P29" s="45">
        <v>0</v>
      </c>
      <c r="Q29" s="25">
        <f t="shared" si="6"/>
        <v>0</v>
      </c>
      <c r="R29" s="191">
        <v>0</v>
      </c>
      <c r="S29" s="192">
        <f t="shared" si="7"/>
        <v>0</v>
      </c>
      <c r="T29" s="193"/>
      <c r="U29" s="193"/>
      <c r="V29" s="192">
        <v>0</v>
      </c>
      <c r="W29" s="192">
        <f t="shared" si="8"/>
        <v>0</v>
      </c>
      <c r="X29" s="193"/>
      <c r="Y29" s="193"/>
      <c r="Z29" s="194"/>
      <c r="AA29" s="44"/>
      <c r="AB29" s="162"/>
    </row>
    <row r="30" spans="1:28" s="16" customFormat="1" ht="51.75" customHeight="1">
      <c r="A30" s="161"/>
      <c r="B30" s="21"/>
      <c r="C30" s="21"/>
      <c r="D30" s="21"/>
      <c r="E30" s="21"/>
      <c r="F30" s="43"/>
      <c r="G30" s="25"/>
      <c r="H30" s="161"/>
      <c r="I30" s="161"/>
      <c r="J30" s="162"/>
      <c r="K30" s="162"/>
      <c r="L30" s="45"/>
      <c r="M30" s="45"/>
      <c r="N30" s="45"/>
      <c r="O30" s="45"/>
      <c r="P30" s="45">
        <v>0</v>
      </c>
      <c r="Q30" s="25">
        <f t="shared" si="6"/>
        <v>0</v>
      </c>
      <c r="R30" s="191">
        <v>0</v>
      </c>
      <c r="S30" s="192">
        <f t="shared" si="7"/>
        <v>0</v>
      </c>
      <c r="T30" s="193"/>
      <c r="U30" s="193"/>
      <c r="V30" s="192">
        <v>0</v>
      </c>
      <c r="W30" s="192">
        <f t="shared" si="8"/>
        <v>0</v>
      </c>
      <c r="X30" s="193"/>
      <c r="Y30" s="193"/>
      <c r="Z30" s="194"/>
      <c r="AA30" s="44"/>
      <c r="AB30" s="162"/>
    </row>
    <row r="31" spans="1:28" s="16" customFormat="1" ht="51.75" customHeight="1">
      <c r="A31" s="161"/>
      <c r="B31" s="21"/>
      <c r="C31" s="21"/>
      <c r="D31" s="21"/>
      <c r="E31" s="21"/>
      <c r="F31" s="43"/>
      <c r="G31" s="25"/>
      <c r="H31" s="161"/>
      <c r="I31" s="161"/>
      <c r="J31" s="162"/>
      <c r="K31" s="162"/>
      <c r="L31" s="45"/>
      <c r="M31" s="45"/>
      <c r="N31" s="45"/>
      <c r="O31" s="45"/>
      <c r="P31" s="45">
        <v>0</v>
      </c>
      <c r="Q31" s="25">
        <f t="shared" si="6"/>
        <v>0</v>
      </c>
      <c r="R31" s="191">
        <v>0</v>
      </c>
      <c r="S31" s="192">
        <f t="shared" si="7"/>
        <v>0</v>
      </c>
      <c r="T31" s="193"/>
      <c r="U31" s="193"/>
      <c r="V31" s="192">
        <v>0</v>
      </c>
      <c r="W31" s="192">
        <f t="shared" si="8"/>
        <v>0</v>
      </c>
      <c r="X31" s="193"/>
      <c r="Y31" s="193"/>
      <c r="Z31" s="194"/>
      <c r="AA31" s="44"/>
      <c r="AB31" s="162"/>
    </row>
    <row r="32" spans="1:28" s="16" customFormat="1" ht="51.75" customHeight="1">
      <c r="A32" s="161"/>
      <c r="B32" s="21"/>
      <c r="C32" s="21"/>
      <c r="D32" s="21"/>
      <c r="E32" s="21"/>
      <c r="F32" s="43"/>
      <c r="G32" s="25"/>
      <c r="H32" s="161"/>
      <c r="I32" s="161"/>
      <c r="J32" s="162"/>
      <c r="K32" s="162"/>
      <c r="L32" s="45"/>
      <c r="M32" s="45"/>
      <c r="N32" s="45"/>
      <c r="O32" s="45"/>
      <c r="P32" s="45">
        <v>0</v>
      </c>
      <c r="Q32" s="25">
        <f t="shared" si="0"/>
        <v>0</v>
      </c>
      <c r="R32" s="191">
        <v>0</v>
      </c>
      <c r="S32" s="192">
        <f t="shared" si="1"/>
        <v>0</v>
      </c>
      <c r="T32" s="193"/>
      <c r="U32" s="193"/>
      <c r="V32" s="192">
        <v>0</v>
      </c>
      <c r="W32" s="192">
        <f t="shared" si="2"/>
        <v>0</v>
      </c>
      <c r="X32" s="193"/>
      <c r="Y32" s="193"/>
      <c r="Z32" s="194" t="e">
        <f t="shared" si="3"/>
        <v>#DIV/0!</v>
      </c>
      <c r="AA32" s="44"/>
      <c r="AB32" s="162"/>
    </row>
    <row r="33" spans="1:28" s="16" customFormat="1" ht="51.75" customHeight="1">
      <c r="A33" s="161"/>
      <c r="B33" s="21"/>
      <c r="C33" s="21"/>
      <c r="D33" s="21"/>
      <c r="E33" s="21"/>
      <c r="F33" s="43"/>
      <c r="G33" s="25"/>
      <c r="H33" s="161"/>
      <c r="I33" s="161"/>
      <c r="J33" s="162"/>
      <c r="K33" s="162"/>
      <c r="L33" s="45"/>
      <c r="M33" s="45"/>
      <c r="N33" s="45"/>
      <c r="O33" s="45"/>
      <c r="P33" s="45">
        <v>0</v>
      </c>
      <c r="Q33" s="25">
        <f t="shared" si="0"/>
        <v>0</v>
      </c>
      <c r="R33" s="191">
        <v>0</v>
      </c>
      <c r="S33" s="192">
        <f t="shared" si="1"/>
        <v>0</v>
      </c>
      <c r="T33" s="193"/>
      <c r="U33" s="193"/>
      <c r="V33" s="192">
        <v>0</v>
      </c>
      <c r="W33" s="192">
        <f t="shared" si="2"/>
        <v>0</v>
      </c>
      <c r="X33" s="193"/>
      <c r="Y33" s="193"/>
      <c r="Z33" s="194" t="e">
        <f t="shared" si="3"/>
        <v>#DIV/0!</v>
      </c>
      <c r="AA33" s="44"/>
      <c r="AB33" s="162"/>
    </row>
    <row r="34" spans="1:28" s="16" customFormat="1" ht="51.75" customHeight="1">
      <c r="A34" s="161"/>
      <c r="B34" s="21"/>
      <c r="C34" s="21"/>
      <c r="D34" s="21"/>
      <c r="E34" s="21"/>
      <c r="F34" s="43"/>
      <c r="G34" s="25"/>
      <c r="H34" s="161"/>
      <c r="I34" s="161"/>
      <c r="J34" s="162"/>
      <c r="K34" s="162"/>
      <c r="L34" s="45"/>
      <c r="M34" s="45"/>
      <c r="N34" s="45"/>
      <c r="O34" s="45"/>
      <c r="P34" s="45">
        <v>0</v>
      </c>
      <c r="Q34" s="25">
        <f t="shared" si="0"/>
        <v>0</v>
      </c>
      <c r="R34" s="191">
        <v>0</v>
      </c>
      <c r="S34" s="192">
        <f t="shared" si="1"/>
        <v>0</v>
      </c>
      <c r="T34" s="193"/>
      <c r="U34" s="193"/>
      <c r="V34" s="192">
        <v>0</v>
      </c>
      <c r="W34" s="192">
        <f t="shared" si="2"/>
        <v>0</v>
      </c>
      <c r="X34" s="193"/>
      <c r="Y34" s="193"/>
      <c r="Z34" s="194" t="e">
        <f t="shared" si="3"/>
        <v>#DIV/0!</v>
      </c>
      <c r="AA34" s="44"/>
      <c r="AB34" s="162"/>
    </row>
    <row r="35" spans="1:28" ht="30.75" customHeight="1">
      <c r="A35" s="161"/>
      <c r="B35" s="21"/>
      <c r="C35" s="21"/>
      <c r="D35" s="21"/>
      <c r="E35" s="21"/>
      <c r="F35" s="43"/>
      <c r="G35" s="25"/>
      <c r="H35" s="161"/>
      <c r="I35" s="161"/>
      <c r="J35" s="162"/>
      <c r="K35" s="162"/>
      <c r="L35" s="45"/>
      <c r="M35" s="45"/>
      <c r="N35" s="45"/>
      <c r="O35" s="45"/>
      <c r="P35" s="45">
        <f>SUM(P5:P34)</f>
        <v>8347</v>
      </c>
      <c r="Q35" s="45">
        <f t="shared" ref="Q35:S35" si="9">SUM(Q5:Q34)</f>
        <v>267</v>
      </c>
      <c r="R35" s="45">
        <f t="shared" si="9"/>
        <v>8080</v>
      </c>
      <c r="S35" s="45">
        <f t="shared" si="9"/>
        <v>267</v>
      </c>
      <c r="T35" s="142"/>
      <c r="U35" s="142"/>
      <c r="V35" s="45">
        <f>SUM(V5:V34)</f>
        <v>6978</v>
      </c>
      <c r="W35" s="45">
        <f>SUM(W6:W34)</f>
        <v>-1244</v>
      </c>
      <c r="X35" s="142">
        <f>SUM(X33:X34)</f>
        <v>0</v>
      </c>
      <c r="Y35" s="142">
        <f>SUM(Y33:Y34)</f>
        <v>0</v>
      </c>
      <c r="Z35" s="142" t="e">
        <f>SUM(Z17:Z34)</f>
        <v>#DIV/0!</v>
      </c>
      <c r="AA35" s="44"/>
      <c r="AB35" s="162"/>
    </row>
    <row r="36" spans="1:28" ht="20.25">
      <c r="A36" s="345" t="s">
        <v>1118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346"/>
      <c r="AB36" s="346"/>
    </row>
    <row r="37" spans="1:28" ht="83.25">
      <c r="A37" s="196" t="s">
        <v>1</v>
      </c>
      <c r="B37" s="25" t="s">
        <v>140</v>
      </c>
      <c r="C37" s="25" t="s">
        <v>141</v>
      </c>
      <c r="D37" s="25" t="s">
        <v>142</v>
      </c>
      <c r="E37" s="25" t="s">
        <v>143</v>
      </c>
      <c r="F37" s="199" t="s">
        <v>115</v>
      </c>
      <c r="G37" s="196" t="s">
        <v>117</v>
      </c>
      <c r="H37" s="203" t="s">
        <v>1315</v>
      </c>
      <c r="I37" s="196" t="s">
        <v>2</v>
      </c>
      <c r="J37" s="196" t="s">
        <v>3</v>
      </c>
      <c r="K37" s="196" t="s">
        <v>4</v>
      </c>
      <c r="L37" s="197" t="s">
        <v>5</v>
      </c>
      <c r="M37" s="198" t="s">
        <v>6</v>
      </c>
      <c r="N37" s="196" t="s">
        <v>7</v>
      </c>
      <c r="O37" s="198" t="s">
        <v>8</v>
      </c>
      <c r="P37" s="198" t="s">
        <v>9</v>
      </c>
      <c r="Q37" s="198" t="s">
        <v>10</v>
      </c>
      <c r="R37" s="198" t="s">
        <v>11</v>
      </c>
      <c r="S37" s="198" t="s">
        <v>12</v>
      </c>
      <c r="T37" s="198" t="s">
        <v>119</v>
      </c>
      <c r="U37" s="198" t="s">
        <v>13</v>
      </c>
      <c r="V37" s="198" t="s">
        <v>14</v>
      </c>
      <c r="W37" s="198" t="s">
        <v>15</v>
      </c>
      <c r="X37" s="196" t="s">
        <v>119</v>
      </c>
      <c r="Y37" s="198" t="s">
        <v>118</v>
      </c>
      <c r="Z37" s="201" t="s">
        <v>16</v>
      </c>
      <c r="AA37" s="200" t="s">
        <v>48</v>
      </c>
      <c r="AB37" s="161" t="s">
        <v>17</v>
      </c>
    </row>
    <row r="38" spans="1:28" s="16" customFormat="1" ht="51.75" customHeight="1">
      <c r="A38" s="161"/>
      <c r="B38" s="144">
        <v>46279</v>
      </c>
      <c r="C38" s="20">
        <v>46295</v>
      </c>
      <c r="D38" s="20">
        <v>46301</v>
      </c>
      <c r="E38" s="20">
        <v>46309</v>
      </c>
      <c r="F38" s="55" t="s">
        <v>38</v>
      </c>
      <c r="G38" s="25" t="s">
        <v>105</v>
      </c>
      <c r="H38" s="161"/>
      <c r="I38" s="161"/>
      <c r="J38" s="56" t="s">
        <v>18</v>
      </c>
      <c r="K38" s="140">
        <v>48102</v>
      </c>
      <c r="L38" s="55">
        <v>160</v>
      </c>
      <c r="M38" s="55" t="s">
        <v>35</v>
      </c>
      <c r="N38" s="56" t="s">
        <v>1139</v>
      </c>
      <c r="O38" s="56" t="s">
        <v>20</v>
      </c>
      <c r="P38" s="55">
        <v>186</v>
      </c>
      <c r="Q38" s="25">
        <f t="shared" ref="Q38:Q67" si="10">P38-R38</f>
        <v>186</v>
      </c>
      <c r="R38" s="191">
        <v>0</v>
      </c>
      <c r="S38" s="192">
        <f t="shared" ref="S38:S67" si="11">P38-R38</f>
        <v>186</v>
      </c>
      <c r="T38" s="193"/>
      <c r="U38" s="193"/>
      <c r="V38" s="192">
        <v>0</v>
      </c>
      <c r="W38" s="192">
        <f t="shared" ref="W38:W67" si="12">+V38-P38</f>
        <v>-186</v>
      </c>
      <c r="X38" s="193"/>
      <c r="Y38" s="193"/>
      <c r="Z38" s="194">
        <f t="shared" ref="Z38:Z67" si="13">(P38-V38)*100/P38/100</f>
        <v>1</v>
      </c>
      <c r="AA38" s="55" t="s">
        <v>128</v>
      </c>
      <c r="AB38" s="162" t="s">
        <v>1301</v>
      </c>
    </row>
    <row r="39" spans="1:28" s="16" customFormat="1" ht="51.75" customHeight="1">
      <c r="A39" s="161"/>
      <c r="B39" s="144">
        <v>46279</v>
      </c>
      <c r="C39" s="20">
        <v>46295</v>
      </c>
      <c r="D39" s="20">
        <v>46301</v>
      </c>
      <c r="E39" s="20">
        <v>46309</v>
      </c>
      <c r="F39" s="55" t="s">
        <v>25</v>
      </c>
      <c r="G39" s="25" t="s">
        <v>105</v>
      </c>
      <c r="H39" s="161"/>
      <c r="I39" s="161"/>
      <c r="J39" s="56" t="s">
        <v>18</v>
      </c>
      <c r="K39" s="140">
        <v>48102</v>
      </c>
      <c r="L39" s="55">
        <v>160</v>
      </c>
      <c r="M39" s="55" t="s">
        <v>35</v>
      </c>
      <c r="N39" s="56" t="s">
        <v>1140</v>
      </c>
      <c r="O39" s="56" t="s">
        <v>20</v>
      </c>
      <c r="P39" s="55">
        <v>166</v>
      </c>
      <c r="Q39" s="25">
        <f t="shared" si="10"/>
        <v>166</v>
      </c>
      <c r="R39" s="191">
        <v>0</v>
      </c>
      <c r="S39" s="192">
        <f t="shared" si="11"/>
        <v>166</v>
      </c>
      <c r="T39" s="193"/>
      <c r="U39" s="193"/>
      <c r="V39" s="192">
        <v>0</v>
      </c>
      <c r="W39" s="192">
        <f t="shared" si="12"/>
        <v>-166</v>
      </c>
      <c r="X39" s="193"/>
      <c r="Y39" s="193"/>
      <c r="Z39" s="194">
        <f t="shared" si="13"/>
        <v>1</v>
      </c>
      <c r="AA39" s="55" t="s">
        <v>128</v>
      </c>
      <c r="AB39" s="162" t="s">
        <v>1301</v>
      </c>
    </row>
    <row r="40" spans="1:28" s="16" customFormat="1" ht="51.75" customHeight="1">
      <c r="A40" s="161"/>
      <c r="B40" s="144">
        <v>46279</v>
      </c>
      <c r="C40" s="20">
        <v>46295</v>
      </c>
      <c r="D40" s="20">
        <v>46301</v>
      </c>
      <c r="E40" s="20">
        <v>46309</v>
      </c>
      <c r="F40" s="55" t="s">
        <v>25</v>
      </c>
      <c r="G40" s="25" t="s">
        <v>105</v>
      </c>
      <c r="H40" s="161"/>
      <c r="I40" s="161"/>
      <c r="J40" s="56" t="s">
        <v>18</v>
      </c>
      <c r="K40" s="140">
        <v>48102</v>
      </c>
      <c r="L40" s="55">
        <v>160</v>
      </c>
      <c r="M40" s="55" t="s">
        <v>35</v>
      </c>
      <c r="N40" s="56" t="s">
        <v>883</v>
      </c>
      <c r="O40" s="56" t="s">
        <v>20</v>
      </c>
      <c r="P40" s="55">
        <v>155</v>
      </c>
      <c r="Q40" s="25">
        <f t="shared" si="10"/>
        <v>155</v>
      </c>
      <c r="R40" s="191">
        <v>0</v>
      </c>
      <c r="S40" s="192">
        <f t="shared" si="11"/>
        <v>155</v>
      </c>
      <c r="T40" s="193"/>
      <c r="U40" s="193"/>
      <c r="V40" s="192">
        <v>0</v>
      </c>
      <c r="W40" s="192">
        <f t="shared" si="12"/>
        <v>-155</v>
      </c>
      <c r="X40" s="193"/>
      <c r="Y40" s="193"/>
      <c r="Z40" s="194">
        <f t="shared" si="13"/>
        <v>1</v>
      </c>
      <c r="AA40" s="55" t="s">
        <v>128</v>
      </c>
      <c r="AB40" s="162" t="s">
        <v>1378</v>
      </c>
    </row>
    <row r="41" spans="1:28" s="16" customFormat="1" ht="51.75" customHeight="1">
      <c r="A41" s="161"/>
      <c r="B41" s="144">
        <v>46280</v>
      </c>
      <c r="C41" s="20">
        <v>46295</v>
      </c>
      <c r="D41" s="20">
        <v>46304</v>
      </c>
      <c r="E41" s="20">
        <v>46314</v>
      </c>
      <c r="F41" s="55" t="s">
        <v>38</v>
      </c>
      <c r="G41" s="25" t="s">
        <v>105</v>
      </c>
      <c r="H41" s="161"/>
      <c r="I41" s="161"/>
      <c r="J41" s="56" t="s">
        <v>18</v>
      </c>
      <c r="K41" s="140">
        <v>48105</v>
      </c>
      <c r="L41" s="17">
        <v>154</v>
      </c>
      <c r="M41" s="55" t="s">
        <v>47</v>
      </c>
      <c r="N41" s="56" t="s">
        <v>1139</v>
      </c>
      <c r="O41" s="56" t="s">
        <v>20</v>
      </c>
      <c r="P41" s="55">
        <v>154</v>
      </c>
      <c r="Q41" s="25">
        <f t="shared" si="10"/>
        <v>-3</v>
      </c>
      <c r="R41" s="191">
        <f>157</f>
        <v>157</v>
      </c>
      <c r="S41" s="192">
        <f t="shared" si="11"/>
        <v>-3</v>
      </c>
      <c r="T41" s="193">
        <v>2196</v>
      </c>
      <c r="U41" s="193" t="s">
        <v>1310</v>
      </c>
      <c r="V41" s="192">
        <v>0</v>
      </c>
      <c r="W41" s="192">
        <f t="shared" si="12"/>
        <v>-154</v>
      </c>
      <c r="X41" s="193"/>
      <c r="Y41" s="193"/>
      <c r="Z41" s="194">
        <f t="shared" si="13"/>
        <v>1</v>
      </c>
      <c r="AA41" s="55" t="s">
        <v>128</v>
      </c>
      <c r="AB41" s="162" t="s">
        <v>1301</v>
      </c>
    </row>
    <row r="42" spans="1:28" s="16" customFormat="1" ht="51.75" customHeight="1">
      <c r="A42" s="161"/>
      <c r="B42" s="144">
        <v>46280</v>
      </c>
      <c r="C42" s="20">
        <v>46295</v>
      </c>
      <c r="D42" s="20">
        <v>46304</v>
      </c>
      <c r="E42" s="20">
        <v>46314</v>
      </c>
      <c r="F42" s="55" t="s">
        <v>121</v>
      </c>
      <c r="G42" s="25" t="s">
        <v>105</v>
      </c>
      <c r="H42" s="161"/>
      <c r="I42" s="161"/>
      <c r="J42" s="56" t="s">
        <v>18</v>
      </c>
      <c r="K42" s="140">
        <v>48105</v>
      </c>
      <c r="L42" s="17">
        <v>174</v>
      </c>
      <c r="M42" s="55" t="s">
        <v>47</v>
      </c>
      <c r="N42" s="56" t="s">
        <v>1140</v>
      </c>
      <c r="O42" s="56" t="s">
        <v>20</v>
      </c>
      <c r="P42" s="55">
        <v>174</v>
      </c>
      <c r="Q42" s="25">
        <f t="shared" si="10"/>
        <v>174</v>
      </c>
      <c r="R42" s="191">
        <v>0</v>
      </c>
      <c r="S42" s="192">
        <f t="shared" si="11"/>
        <v>174</v>
      </c>
      <c r="T42" s="193"/>
      <c r="U42" s="193"/>
      <c r="V42" s="192">
        <v>0</v>
      </c>
      <c r="W42" s="192">
        <f t="shared" si="12"/>
        <v>-174</v>
      </c>
      <c r="X42" s="193"/>
      <c r="Y42" s="193"/>
      <c r="Z42" s="194">
        <f t="shared" si="13"/>
        <v>1</v>
      </c>
      <c r="AA42" s="55" t="s">
        <v>128</v>
      </c>
      <c r="AB42" s="162" t="s">
        <v>1412</v>
      </c>
    </row>
    <row r="43" spans="1:28" s="16" customFormat="1" ht="51.75" customHeight="1">
      <c r="A43" s="161"/>
      <c r="B43" s="144">
        <v>46280</v>
      </c>
      <c r="C43" s="20">
        <v>46295</v>
      </c>
      <c r="D43" s="20">
        <v>46304</v>
      </c>
      <c r="E43" s="20">
        <v>46314</v>
      </c>
      <c r="F43" s="55" t="s">
        <v>121</v>
      </c>
      <c r="G43" s="25" t="s">
        <v>105</v>
      </c>
      <c r="H43" s="161"/>
      <c r="I43" s="161"/>
      <c r="J43" s="56" t="s">
        <v>18</v>
      </c>
      <c r="K43" s="140">
        <v>48105</v>
      </c>
      <c r="L43" s="17">
        <v>161</v>
      </c>
      <c r="M43" s="55" t="s">
        <v>47</v>
      </c>
      <c r="N43" s="56" t="s">
        <v>883</v>
      </c>
      <c r="O43" s="56" t="s">
        <v>20</v>
      </c>
      <c r="P43" s="55">
        <v>161</v>
      </c>
      <c r="Q43" s="25">
        <f t="shared" si="10"/>
        <v>-13</v>
      </c>
      <c r="R43" s="191">
        <f>174</f>
        <v>174</v>
      </c>
      <c r="S43" s="192">
        <f t="shared" si="11"/>
        <v>-13</v>
      </c>
      <c r="T43" s="193">
        <v>3751</v>
      </c>
      <c r="U43" s="193" t="s">
        <v>1363</v>
      </c>
      <c r="V43" s="192">
        <v>0</v>
      </c>
      <c r="W43" s="192">
        <f t="shared" si="12"/>
        <v>-161</v>
      </c>
      <c r="X43" s="193"/>
      <c r="Y43" s="193"/>
      <c r="Z43" s="194">
        <f t="shared" si="13"/>
        <v>1</v>
      </c>
      <c r="AA43" s="55" t="s">
        <v>128</v>
      </c>
      <c r="AB43" s="162" t="s">
        <v>1379</v>
      </c>
    </row>
    <row r="44" spans="1:28" s="16" customFormat="1" ht="51.75" customHeight="1">
      <c r="A44" s="161"/>
      <c r="B44" s="144">
        <v>46280</v>
      </c>
      <c r="C44" s="20">
        <v>46295</v>
      </c>
      <c r="D44" s="20">
        <v>46301</v>
      </c>
      <c r="E44" s="20">
        <v>46312</v>
      </c>
      <c r="F44" s="55" t="s">
        <v>38</v>
      </c>
      <c r="G44" s="25" t="s">
        <v>105</v>
      </c>
      <c r="H44" s="161" t="s">
        <v>1349</v>
      </c>
      <c r="I44" s="161"/>
      <c r="J44" s="56" t="s">
        <v>18</v>
      </c>
      <c r="K44" s="140">
        <v>48107</v>
      </c>
      <c r="L44" s="55">
        <v>160</v>
      </c>
      <c r="M44" s="55" t="s">
        <v>42</v>
      </c>
      <c r="N44" s="56" t="s">
        <v>1141</v>
      </c>
      <c r="O44" s="56" t="s">
        <v>52</v>
      </c>
      <c r="P44" s="55">
        <v>350</v>
      </c>
      <c r="Q44" s="25">
        <f t="shared" si="10"/>
        <v>-5</v>
      </c>
      <c r="R44" s="191">
        <f>355</f>
        <v>355</v>
      </c>
      <c r="S44" s="192">
        <f t="shared" si="11"/>
        <v>-5</v>
      </c>
      <c r="T44" s="193">
        <v>3751</v>
      </c>
      <c r="U44" s="193" t="s">
        <v>1363</v>
      </c>
      <c r="V44" s="192">
        <v>0</v>
      </c>
      <c r="W44" s="192">
        <f t="shared" si="12"/>
        <v>-350</v>
      </c>
      <c r="X44" s="193"/>
      <c r="Y44" s="193"/>
      <c r="Z44" s="194">
        <f t="shared" si="13"/>
        <v>1</v>
      </c>
      <c r="AA44" s="55" t="s">
        <v>128</v>
      </c>
      <c r="AB44" s="162" t="s">
        <v>1411</v>
      </c>
    </row>
    <row r="45" spans="1:28" s="16" customFormat="1" ht="51.75" customHeight="1">
      <c r="A45" s="161"/>
      <c r="B45" s="144">
        <v>46280</v>
      </c>
      <c r="C45" s="20">
        <v>46295</v>
      </c>
      <c r="D45" s="20">
        <v>46301</v>
      </c>
      <c r="E45" s="20">
        <v>46312</v>
      </c>
      <c r="F45" s="55" t="s">
        <v>23</v>
      </c>
      <c r="G45" s="25" t="s">
        <v>105</v>
      </c>
      <c r="H45" s="161" t="s">
        <v>1349</v>
      </c>
      <c r="I45" s="161"/>
      <c r="J45" s="56" t="s">
        <v>18</v>
      </c>
      <c r="K45" s="140">
        <v>48107</v>
      </c>
      <c r="L45" s="55">
        <v>160</v>
      </c>
      <c r="M45" s="55" t="s">
        <v>42</v>
      </c>
      <c r="N45" s="56" t="s">
        <v>27</v>
      </c>
      <c r="O45" s="56" t="s">
        <v>52</v>
      </c>
      <c r="P45" s="55">
        <v>277</v>
      </c>
      <c r="Q45" s="25">
        <f t="shared" si="10"/>
        <v>-12</v>
      </c>
      <c r="R45" s="191">
        <f>219+70</f>
        <v>289</v>
      </c>
      <c r="S45" s="192">
        <f t="shared" si="11"/>
        <v>-12</v>
      </c>
      <c r="T45" s="193" t="s">
        <v>1408</v>
      </c>
      <c r="U45" s="193" t="s">
        <v>1409</v>
      </c>
      <c r="V45" s="192">
        <v>0</v>
      </c>
      <c r="W45" s="192">
        <f t="shared" si="12"/>
        <v>-277</v>
      </c>
      <c r="X45" s="193"/>
      <c r="Y45" s="193"/>
      <c r="Z45" s="194">
        <f t="shared" si="13"/>
        <v>1</v>
      </c>
      <c r="AA45" s="55" t="s">
        <v>128</v>
      </c>
      <c r="AB45" s="162" t="s">
        <v>1410</v>
      </c>
    </row>
    <row r="46" spans="1:28" s="16" customFormat="1" ht="51.75" customHeight="1">
      <c r="A46" s="161"/>
      <c r="B46" s="144">
        <v>46280</v>
      </c>
      <c r="C46" s="20">
        <v>46295</v>
      </c>
      <c r="D46" s="20">
        <v>46301</v>
      </c>
      <c r="E46" s="20">
        <v>46312</v>
      </c>
      <c r="F46" s="55" t="s">
        <v>25</v>
      </c>
      <c r="G46" s="25" t="s">
        <v>62</v>
      </c>
      <c r="H46" s="161" t="s">
        <v>1349</v>
      </c>
      <c r="I46" s="161"/>
      <c r="J46" s="56" t="s">
        <v>18</v>
      </c>
      <c r="K46" s="140">
        <v>48107</v>
      </c>
      <c r="L46" s="55">
        <v>160</v>
      </c>
      <c r="M46" s="55" t="s">
        <v>42</v>
      </c>
      <c r="N46" s="80" t="s">
        <v>663</v>
      </c>
      <c r="O46" s="56" t="s">
        <v>52</v>
      </c>
      <c r="P46" s="55">
        <v>302</v>
      </c>
      <c r="Q46" s="25">
        <f t="shared" si="10"/>
        <v>-1</v>
      </c>
      <c r="R46" s="191">
        <f>303</f>
        <v>303</v>
      </c>
      <c r="S46" s="192">
        <f t="shared" si="11"/>
        <v>-1</v>
      </c>
      <c r="T46" s="193">
        <v>3194</v>
      </c>
      <c r="U46" s="193" t="s">
        <v>1363</v>
      </c>
      <c r="V46" s="192">
        <v>0</v>
      </c>
      <c r="W46" s="192">
        <f t="shared" si="12"/>
        <v>-302</v>
      </c>
      <c r="X46" s="193"/>
      <c r="Y46" s="193"/>
      <c r="Z46" s="194">
        <f t="shared" si="13"/>
        <v>1</v>
      </c>
      <c r="AA46" s="55" t="s">
        <v>128</v>
      </c>
      <c r="AB46" s="162" t="s">
        <v>1362</v>
      </c>
    </row>
    <row r="47" spans="1:28" s="16" customFormat="1" ht="51.75" customHeight="1">
      <c r="A47" s="161"/>
      <c r="B47" s="20">
        <v>46288</v>
      </c>
      <c r="C47" s="20">
        <v>46300</v>
      </c>
      <c r="D47" s="20">
        <v>46305</v>
      </c>
      <c r="E47" s="20">
        <v>46312</v>
      </c>
      <c r="F47" s="55" t="s">
        <v>38</v>
      </c>
      <c r="G47" s="25" t="s">
        <v>105</v>
      </c>
      <c r="H47" s="161"/>
      <c r="I47" s="161"/>
      <c r="J47" s="56" t="s">
        <v>18</v>
      </c>
      <c r="K47" s="140">
        <v>48101</v>
      </c>
      <c r="L47" s="55">
        <v>160</v>
      </c>
      <c r="M47" s="55" t="s">
        <v>67</v>
      </c>
      <c r="N47" s="56" t="s">
        <v>1139</v>
      </c>
      <c r="O47" s="56" t="s">
        <v>20</v>
      </c>
      <c r="P47" s="55">
        <v>157</v>
      </c>
      <c r="Q47" s="25">
        <f t="shared" si="10"/>
        <v>68</v>
      </c>
      <c r="R47" s="191">
        <f>89</f>
        <v>89</v>
      </c>
      <c r="S47" s="195">
        <f t="shared" si="11"/>
        <v>68</v>
      </c>
      <c r="T47" s="193">
        <v>2196</v>
      </c>
      <c r="U47" s="193" t="s">
        <v>1310</v>
      </c>
      <c r="V47" s="192">
        <v>0</v>
      </c>
      <c r="W47" s="192">
        <f t="shared" si="12"/>
        <v>-157</v>
      </c>
      <c r="X47" s="193"/>
      <c r="Y47" s="193"/>
      <c r="Z47" s="194">
        <f t="shared" si="13"/>
        <v>1</v>
      </c>
      <c r="AA47" s="55" t="s">
        <v>128</v>
      </c>
      <c r="AB47" s="162" t="s">
        <v>1300</v>
      </c>
    </row>
    <row r="48" spans="1:28" s="16" customFormat="1" ht="51.75" customHeight="1">
      <c r="A48" s="161"/>
      <c r="B48" s="20">
        <v>46288</v>
      </c>
      <c r="C48" s="20">
        <v>46300</v>
      </c>
      <c r="D48" s="20">
        <v>46305</v>
      </c>
      <c r="E48" s="20">
        <v>46312</v>
      </c>
      <c r="F48" s="55" t="s">
        <v>25</v>
      </c>
      <c r="G48" s="25" t="s">
        <v>105</v>
      </c>
      <c r="H48" s="161"/>
      <c r="I48" s="161"/>
      <c r="J48" s="56" t="s">
        <v>18</v>
      </c>
      <c r="K48" s="140">
        <v>48101</v>
      </c>
      <c r="L48" s="55">
        <v>160</v>
      </c>
      <c r="M48" s="55" t="s">
        <v>67</v>
      </c>
      <c r="N48" s="56" t="s">
        <v>1140</v>
      </c>
      <c r="O48" s="56" t="s">
        <v>20</v>
      </c>
      <c r="P48" s="55">
        <v>181</v>
      </c>
      <c r="Q48" s="25">
        <f t="shared" si="10"/>
        <v>181</v>
      </c>
      <c r="R48" s="191">
        <v>0</v>
      </c>
      <c r="S48" s="192">
        <f t="shared" si="11"/>
        <v>181</v>
      </c>
      <c r="T48" s="193"/>
      <c r="U48" s="193"/>
      <c r="V48" s="192">
        <v>0</v>
      </c>
      <c r="W48" s="192">
        <f t="shared" si="12"/>
        <v>-181</v>
      </c>
      <c r="X48" s="193"/>
      <c r="Y48" s="193"/>
      <c r="Z48" s="194">
        <f t="shared" si="13"/>
        <v>1</v>
      </c>
      <c r="AA48" s="55" t="s">
        <v>128</v>
      </c>
      <c r="AB48" s="162" t="s">
        <v>1300</v>
      </c>
    </row>
    <row r="49" spans="1:28" s="16" customFormat="1" ht="51.75" customHeight="1">
      <c r="A49" s="161"/>
      <c r="B49" s="20">
        <v>46288</v>
      </c>
      <c r="C49" s="20">
        <v>46300</v>
      </c>
      <c r="D49" s="20">
        <v>46305</v>
      </c>
      <c r="E49" s="20">
        <v>46312</v>
      </c>
      <c r="F49" s="55" t="s">
        <v>25</v>
      </c>
      <c r="G49" s="25" t="s">
        <v>105</v>
      </c>
      <c r="H49" s="161"/>
      <c r="I49" s="161"/>
      <c r="J49" s="56" t="s">
        <v>18</v>
      </c>
      <c r="K49" s="140">
        <v>48101</v>
      </c>
      <c r="L49" s="55">
        <v>160</v>
      </c>
      <c r="M49" s="55" t="s">
        <v>67</v>
      </c>
      <c r="N49" s="56" t="s">
        <v>883</v>
      </c>
      <c r="O49" s="56" t="s">
        <v>20</v>
      </c>
      <c r="P49" s="55">
        <v>211</v>
      </c>
      <c r="Q49" s="25">
        <f t="shared" si="10"/>
        <v>211</v>
      </c>
      <c r="R49" s="191">
        <v>0</v>
      </c>
      <c r="S49" s="192">
        <f t="shared" si="11"/>
        <v>211</v>
      </c>
      <c r="T49" s="193"/>
      <c r="U49" s="193"/>
      <c r="V49" s="192">
        <v>0</v>
      </c>
      <c r="W49" s="192">
        <f t="shared" si="12"/>
        <v>-211</v>
      </c>
      <c r="X49" s="193"/>
      <c r="Y49" s="193"/>
      <c r="Z49" s="194">
        <f t="shared" si="13"/>
        <v>1</v>
      </c>
      <c r="AA49" s="55" t="s">
        <v>128</v>
      </c>
      <c r="AB49" s="162" t="s">
        <v>1380</v>
      </c>
    </row>
    <row r="50" spans="1:28" s="16" customFormat="1" ht="51.75" customHeight="1">
      <c r="A50" s="161"/>
      <c r="B50" s="20">
        <v>46286</v>
      </c>
      <c r="C50" s="20">
        <v>46300</v>
      </c>
      <c r="D50" s="20">
        <v>46301</v>
      </c>
      <c r="E50" s="20">
        <v>46309</v>
      </c>
      <c r="F50" s="55" t="s">
        <v>25</v>
      </c>
      <c r="G50" s="25" t="s">
        <v>105</v>
      </c>
      <c r="H50" s="161" t="s">
        <v>1349</v>
      </c>
      <c r="I50" s="161"/>
      <c r="J50" s="56" t="s">
        <v>18</v>
      </c>
      <c r="K50" s="140">
        <v>48765</v>
      </c>
      <c r="L50" s="55">
        <v>150</v>
      </c>
      <c r="M50" s="55" t="s">
        <v>19</v>
      </c>
      <c r="N50" s="56" t="s">
        <v>1145</v>
      </c>
      <c r="O50" s="56" t="s">
        <v>20</v>
      </c>
      <c r="P50" s="55">
        <v>356</v>
      </c>
      <c r="Q50" s="25">
        <f t="shared" si="10"/>
        <v>-13</v>
      </c>
      <c r="R50" s="191">
        <f>369</f>
        <v>369</v>
      </c>
      <c r="S50" s="192">
        <f t="shared" si="11"/>
        <v>-13</v>
      </c>
      <c r="T50" s="193">
        <v>2196</v>
      </c>
      <c r="U50" s="193" t="s">
        <v>1310</v>
      </c>
      <c r="V50" s="192">
        <v>0</v>
      </c>
      <c r="W50" s="192">
        <f t="shared" si="12"/>
        <v>-356</v>
      </c>
      <c r="X50" s="193"/>
      <c r="Y50" s="193"/>
      <c r="Z50" s="194">
        <f t="shared" si="13"/>
        <v>1</v>
      </c>
      <c r="AA50" s="56" t="s">
        <v>24</v>
      </c>
      <c r="AB50" s="162" t="s">
        <v>1361</v>
      </c>
    </row>
    <row r="51" spans="1:28" s="16" customFormat="1" ht="51.75" customHeight="1">
      <c r="A51" s="161"/>
      <c r="B51" s="20">
        <v>46286</v>
      </c>
      <c r="C51" s="20">
        <v>46300</v>
      </c>
      <c r="D51" s="20">
        <v>46301</v>
      </c>
      <c r="E51" s="20">
        <v>46309</v>
      </c>
      <c r="F51" s="55" t="s">
        <v>25</v>
      </c>
      <c r="G51" s="25" t="s">
        <v>105</v>
      </c>
      <c r="H51" s="161" t="s">
        <v>1349</v>
      </c>
      <c r="I51" s="161"/>
      <c r="J51" s="56" t="s">
        <v>18</v>
      </c>
      <c r="K51" s="140">
        <v>48765</v>
      </c>
      <c r="L51" s="55">
        <v>150</v>
      </c>
      <c r="M51" s="55" t="s">
        <v>19</v>
      </c>
      <c r="N51" s="56" t="s">
        <v>1147</v>
      </c>
      <c r="O51" s="56" t="s">
        <v>20</v>
      </c>
      <c r="P51" s="55">
        <v>157</v>
      </c>
      <c r="Q51" s="25">
        <f t="shared" si="10"/>
        <v>157</v>
      </c>
      <c r="R51" s="191">
        <v>0</v>
      </c>
      <c r="S51" s="192">
        <f t="shared" si="11"/>
        <v>157</v>
      </c>
      <c r="T51" s="193"/>
      <c r="U51" s="193"/>
      <c r="V51" s="192">
        <v>0</v>
      </c>
      <c r="W51" s="192">
        <f t="shared" si="12"/>
        <v>-157</v>
      </c>
      <c r="X51" s="193"/>
      <c r="Y51" s="193"/>
      <c r="Z51" s="194">
        <f t="shared" si="13"/>
        <v>1</v>
      </c>
      <c r="AA51" s="56" t="s">
        <v>24</v>
      </c>
      <c r="AB51" s="162" t="s">
        <v>1361</v>
      </c>
    </row>
    <row r="52" spans="1:28" s="16" customFormat="1" ht="51.75" customHeight="1">
      <c r="A52" s="161"/>
      <c r="B52" s="20">
        <v>46286</v>
      </c>
      <c r="C52" s="20">
        <v>46300</v>
      </c>
      <c r="D52" s="20">
        <v>46301</v>
      </c>
      <c r="E52" s="20">
        <v>46309</v>
      </c>
      <c r="F52" s="55" t="s">
        <v>25</v>
      </c>
      <c r="G52" s="25" t="s">
        <v>105</v>
      </c>
      <c r="H52" s="161" t="s">
        <v>1349</v>
      </c>
      <c r="I52" s="161"/>
      <c r="J52" s="56" t="s">
        <v>18</v>
      </c>
      <c r="K52" s="140">
        <v>48765</v>
      </c>
      <c r="L52" s="55">
        <v>150</v>
      </c>
      <c r="M52" s="55" t="s">
        <v>19</v>
      </c>
      <c r="N52" s="56" t="s">
        <v>1146</v>
      </c>
      <c r="O52" s="56" t="s">
        <v>20</v>
      </c>
      <c r="P52" s="55">
        <v>347</v>
      </c>
      <c r="Q52" s="25">
        <f t="shared" ref="Q52:Q64" si="14">P52-R52</f>
        <v>0</v>
      </c>
      <c r="R52" s="191">
        <f>347</f>
        <v>347</v>
      </c>
      <c r="S52" s="192">
        <f t="shared" ref="S52:S64" si="15">P52-R52</f>
        <v>0</v>
      </c>
      <c r="T52" s="193">
        <v>3757</v>
      </c>
      <c r="U52" s="193" t="s">
        <v>1398</v>
      </c>
      <c r="V52" s="192">
        <v>0</v>
      </c>
      <c r="W52" s="192">
        <f t="shared" ref="W52:W64" si="16">+V52-P52</f>
        <v>-347</v>
      </c>
      <c r="X52" s="193"/>
      <c r="Y52" s="193"/>
      <c r="Z52" s="194"/>
      <c r="AA52" s="56" t="s">
        <v>24</v>
      </c>
      <c r="AB52" s="162" t="s">
        <v>1361</v>
      </c>
    </row>
    <row r="53" spans="1:28" s="16" customFormat="1" ht="51.75" customHeight="1">
      <c r="A53" s="161"/>
      <c r="B53" s="20">
        <v>46288</v>
      </c>
      <c r="C53" s="20">
        <v>46303</v>
      </c>
      <c r="D53" s="20">
        <v>46304</v>
      </c>
      <c r="E53" s="20">
        <v>46311</v>
      </c>
      <c r="F53" s="55" t="s">
        <v>25</v>
      </c>
      <c r="G53" s="25" t="s">
        <v>105</v>
      </c>
      <c r="H53" s="161" t="s">
        <v>1349</v>
      </c>
      <c r="I53" s="161"/>
      <c r="J53" s="56" t="s">
        <v>18</v>
      </c>
      <c r="K53" s="140">
        <v>48756</v>
      </c>
      <c r="L53" s="55">
        <v>150</v>
      </c>
      <c r="M53" s="55" t="s">
        <v>19</v>
      </c>
      <c r="N53" s="56" t="s">
        <v>1145</v>
      </c>
      <c r="O53" s="56" t="s">
        <v>20</v>
      </c>
      <c r="P53" s="55">
        <v>169</v>
      </c>
      <c r="Q53" s="25">
        <f t="shared" si="14"/>
        <v>-1</v>
      </c>
      <c r="R53" s="191">
        <f>170</f>
        <v>170</v>
      </c>
      <c r="S53" s="192">
        <f t="shared" si="15"/>
        <v>-1</v>
      </c>
      <c r="T53" s="193">
        <v>2196</v>
      </c>
      <c r="U53" s="193" t="s">
        <v>1310</v>
      </c>
      <c r="V53" s="192">
        <v>0</v>
      </c>
      <c r="W53" s="192">
        <f t="shared" si="16"/>
        <v>-169</v>
      </c>
      <c r="X53" s="193"/>
      <c r="Y53" s="193"/>
      <c r="Z53" s="194"/>
      <c r="AA53" s="56" t="s">
        <v>24</v>
      </c>
      <c r="AB53" s="162" t="s">
        <v>1361</v>
      </c>
    </row>
    <row r="54" spans="1:28" s="16" customFormat="1" ht="51.75" customHeight="1">
      <c r="A54" s="161"/>
      <c r="B54" s="20">
        <v>46288</v>
      </c>
      <c r="C54" s="20">
        <v>46303</v>
      </c>
      <c r="D54" s="20">
        <v>46304</v>
      </c>
      <c r="E54" s="20">
        <v>46311</v>
      </c>
      <c r="F54" s="55" t="s">
        <v>25</v>
      </c>
      <c r="G54" s="25" t="s">
        <v>105</v>
      </c>
      <c r="H54" s="161" t="s">
        <v>1349</v>
      </c>
      <c r="I54" s="161"/>
      <c r="J54" s="56" t="s">
        <v>18</v>
      </c>
      <c r="K54" s="140">
        <v>48756</v>
      </c>
      <c r="L54" s="55">
        <v>150</v>
      </c>
      <c r="M54" s="55" t="s">
        <v>19</v>
      </c>
      <c r="N54" s="56" t="s">
        <v>1147</v>
      </c>
      <c r="O54" s="56" t="s">
        <v>20</v>
      </c>
      <c r="P54" s="55">
        <v>155</v>
      </c>
      <c r="Q54" s="25">
        <f t="shared" si="14"/>
        <v>155</v>
      </c>
      <c r="R54" s="191">
        <v>0</v>
      </c>
      <c r="S54" s="192">
        <f t="shared" si="15"/>
        <v>155</v>
      </c>
      <c r="T54" s="193"/>
      <c r="U54" s="193"/>
      <c r="V54" s="192">
        <v>0</v>
      </c>
      <c r="W54" s="192">
        <f t="shared" si="16"/>
        <v>-155</v>
      </c>
      <c r="X54" s="193"/>
      <c r="Y54" s="193"/>
      <c r="Z54" s="194"/>
      <c r="AA54" s="56" t="s">
        <v>24</v>
      </c>
      <c r="AB54" s="162" t="s">
        <v>1361</v>
      </c>
    </row>
    <row r="55" spans="1:28" s="16" customFormat="1" ht="51.75" customHeight="1">
      <c r="A55" s="161"/>
      <c r="B55" s="20">
        <v>46288</v>
      </c>
      <c r="C55" s="20">
        <v>46303</v>
      </c>
      <c r="D55" s="20">
        <v>46304</v>
      </c>
      <c r="E55" s="20">
        <v>46311</v>
      </c>
      <c r="F55" s="55" t="s">
        <v>25</v>
      </c>
      <c r="G55" s="25" t="s">
        <v>105</v>
      </c>
      <c r="H55" s="161" t="s">
        <v>1349</v>
      </c>
      <c r="I55" s="161"/>
      <c r="J55" s="56" t="s">
        <v>18</v>
      </c>
      <c r="K55" s="140">
        <v>48756</v>
      </c>
      <c r="L55" s="55">
        <v>150</v>
      </c>
      <c r="M55" s="55" t="s">
        <v>19</v>
      </c>
      <c r="N55" s="56" t="s">
        <v>1146</v>
      </c>
      <c r="O55" s="56" t="s">
        <v>20</v>
      </c>
      <c r="P55" s="55">
        <v>182</v>
      </c>
      <c r="Q55" s="25">
        <f t="shared" si="14"/>
        <v>-1</v>
      </c>
      <c r="R55" s="191">
        <f>183</f>
        <v>183</v>
      </c>
      <c r="S55" s="192">
        <f t="shared" si="15"/>
        <v>-1</v>
      </c>
      <c r="T55" s="193">
        <v>3757</v>
      </c>
      <c r="U55" s="193" t="s">
        <v>1398</v>
      </c>
      <c r="V55" s="192">
        <v>0</v>
      </c>
      <c r="W55" s="192">
        <f t="shared" si="16"/>
        <v>-182</v>
      </c>
      <c r="X55" s="193"/>
      <c r="Y55" s="193"/>
      <c r="Z55" s="194"/>
      <c r="AA55" s="56" t="s">
        <v>24</v>
      </c>
      <c r="AB55" s="162" t="s">
        <v>1361</v>
      </c>
    </row>
    <row r="56" spans="1:28" s="16" customFormat="1" ht="51.75" customHeight="1">
      <c r="A56" s="161"/>
      <c r="B56" s="20">
        <v>46292</v>
      </c>
      <c r="C56" s="20">
        <v>46302</v>
      </c>
      <c r="D56" s="20">
        <v>46304</v>
      </c>
      <c r="E56" s="20">
        <v>46310</v>
      </c>
      <c r="F56" s="55" t="s">
        <v>25</v>
      </c>
      <c r="G56" s="25" t="s">
        <v>105</v>
      </c>
      <c r="H56" s="161" t="s">
        <v>1349</v>
      </c>
      <c r="I56" s="161"/>
      <c r="J56" s="56" t="s">
        <v>18</v>
      </c>
      <c r="K56" s="140">
        <v>48816</v>
      </c>
      <c r="L56" s="55">
        <v>180</v>
      </c>
      <c r="M56" s="55" t="s">
        <v>35</v>
      </c>
      <c r="N56" s="56" t="s">
        <v>160</v>
      </c>
      <c r="O56" s="56" t="s">
        <v>306</v>
      </c>
      <c r="P56" s="55">
        <v>94</v>
      </c>
      <c r="Q56" s="25">
        <f t="shared" si="14"/>
        <v>-2</v>
      </c>
      <c r="R56" s="191">
        <f>96</f>
        <v>96</v>
      </c>
      <c r="S56" s="192">
        <f t="shared" si="15"/>
        <v>-2</v>
      </c>
      <c r="T56" s="193">
        <v>2200</v>
      </c>
      <c r="U56" s="193" t="s">
        <v>1363</v>
      </c>
      <c r="V56" s="192">
        <v>0</v>
      </c>
      <c r="W56" s="192">
        <f t="shared" si="16"/>
        <v>-94</v>
      </c>
      <c r="X56" s="193"/>
      <c r="Y56" s="193"/>
      <c r="Z56" s="194"/>
      <c r="AA56" s="56" t="s">
        <v>51</v>
      </c>
      <c r="AB56" s="162" t="s">
        <v>1357</v>
      </c>
    </row>
    <row r="57" spans="1:28" s="16" customFormat="1" ht="51.75" customHeight="1">
      <c r="A57" s="161"/>
      <c r="B57" s="20">
        <v>46292</v>
      </c>
      <c r="C57" s="20">
        <v>46302</v>
      </c>
      <c r="D57" s="20">
        <v>46304</v>
      </c>
      <c r="E57" s="20">
        <v>46310</v>
      </c>
      <c r="F57" s="55" t="s">
        <v>25</v>
      </c>
      <c r="G57" s="25" t="s">
        <v>105</v>
      </c>
      <c r="H57" s="161" t="s">
        <v>1349</v>
      </c>
      <c r="I57" s="161"/>
      <c r="J57" s="56" t="s">
        <v>18</v>
      </c>
      <c r="K57" s="140">
        <v>48816</v>
      </c>
      <c r="L57" s="55">
        <v>180</v>
      </c>
      <c r="M57" s="55" t="s">
        <v>35</v>
      </c>
      <c r="N57" s="56" t="s">
        <v>1148</v>
      </c>
      <c r="O57" s="56" t="s">
        <v>306</v>
      </c>
      <c r="P57" s="55">
        <v>94</v>
      </c>
      <c r="Q57" s="25">
        <f t="shared" si="14"/>
        <v>-2</v>
      </c>
      <c r="R57" s="191">
        <f>96</f>
        <v>96</v>
      </c>
      <c r="S57" s="192">
        <f t="shared" si="15"/>
        <v>-2</v>
      </c>
      <c r="T57" s="193">
        <v>2200</v>
      </c>
      <c r="U57" s="193" t="s">
        <v>1363</v>
      </c>
      <c r="V57" s="192">
        <v>0</v>
      </c>
      <c r="W57" s="192">
        <f t="shared" si="16"/>
        <v>-94</v>
      </c>
      <c r="X57" s="193"/>
      <c r="Y57" s="193"/>
      <c r="Z57" s="194"/>
      <c r="AA57" s="56" t="s">
        <v>51</v>
      </c>
      <c r="AB57" s="162" t="s">
        <v>1358</v>
      </c>
    </row>
    <row r="58" spans="1:28" s="16" customFormat="1" ht="51.75" customHeight="1">
      <c r="A58" s="161"/>
      <c r="B58" s="20">
        <v>46287</v>
      </c>
      <c r="C58" s="20">
        <v>46300</v>
      </c>
      <c r="D58" s="20">
        <v>46302</v>
      </c>
      <c r="E58" s="20">
        <v>46310</v>
      </c>
      <c r="F58" s="55" t="s">
        <v>25</v>
      </c>
      <c r="G58" s="25" t="s">
        <v>105</v>
      </c>
      <c r="H58" s="161" t="s">
        <v>1349</v>
      </c>
      <c r="I58" s="161"/>
      <c r="J58" s="56" t="s">
        <v>18</v>
      </c>
      <c r="K58" s="140">
        <v>48817</v>
      </c>
      <c r="L58" s="55">
        <v>180</v>
      </c>
      <c r="M58" s="55" t="s">
        <v>35</v>
      </c>
      <c r="N58" s="56" t="s">
        <v>160</v>
      </c>
      <c r="O58" s="56" t="s">
        <v>306</v>
      </c>
      <c r="P58" s="55">
        <v>200</v>
      </c>
      <c r="Q58" s="25">
        <f t="shared" si="14"/>
        <v>-3</v>
      </c>
      <c r="R58" s="191">
        <f>203</f>
        <v>203</v>
      </c>
      <c r="S58" s="192">
        <f t="shared" si="15"/>
        <v>-3</v>
      </c>
      <c r="T58" s="193">
        <v>2200</v>
      </c>
      <c r="U58" s="193" t="s">
        <v>1363</v>
      </c>
      <c r="V58" s="192">
        <v>0</v>
      </c>
      <c r="W58" s="192">
        <f t="shared" si="16"/>
        <v>-200</v>
      </c>
      <c r="X58" s="193"/>
      <c r="Y58" s="193"/>
      <c r="Z58" s="194"/>
      <c r="AA58" s="56" t="s">
        <v>51</v>
      </c>
      <c r="AB58" s="162" t="s">
        <v>1357</v>
      </c>
    </row>
    <row r="59" spans="1:28" s="16" customFormat="1" ht="51.75" customHeight="1">
      <c r="A59" s="161"/>
      <c r="B59" s="20">
        <v>46287</v>
      </c>
      <c r="C59" s="20">
        <v>46300</v>
      </c>
      <c r="D59" s="20">
        <v>46302</v>
      </c>
      <c r="E59" s="20">
        <v>46310</v>
      </c>
      <c r="F59" s="55" t="s">
        <v>25</v>
      </c>
      <c r="G59" s="25" t="s">
        <v>105</v>
      </c>
      <c r="H59" s="161" t="s">
        <v>1349</v>
      </c>
      <c r="I59" s="161"/>
      <c r="J59" s="56" t="s">
        <v>18</v>
      </c>
      <c r="K59" s="140">
        <v>48817</v>
      </c>
      <c r="L59" s="55">
        <v>180</v>
      </c>
      <c r="M59" s="55" t="s">
        <v>35</v>
      </c>
      <c r="N59" s="56" t="s">
        <v>1148</v>
      </c>
      <c r="O59" s="56" t="s">
        <v>306</v>
      </c>
      <c r="P59" s="55">
        <v>190</v>
      </c>
      <c r="Q59" s="25">
        <f t="shared" si="14"/>
        <v>-2</v>
      </c>
      <c r="R59" s="191">
        <f>192</f>
        <v>192</v>
      </c>
      <c r="S59" s="192">
        <f t="shared" si="15"/>
        <v>-2</v>
      </c>
      <c r="T59" s="193">
        <v>2200</v>
      </c>
      <c r="U59" s="193" t="s">
        <v>1363</v>
      </c>
      <c r="V59" s="192">
        <v>0</v>
      </c>
      <c r="W59" s="192">
        <f t="shared" si="16"/>
        <v>-190</v>
      </c>
      <c r="X59" s="193"/>
      <c r="Y59" s="193"/>
      <c r="Z59" s="194"/>
      <c r="AA59" s="56" t="s">
        <v>51</v>
      </c>
      <c r="AB59" s="162" t="s">
        <v>1358</v>
      </c>
    </row>
    <row r="60" spans="1:28" s="16" customFormat="1" ht="51.75" customHeight="1">
      <c r="A60" s="161"/>
      <c r="B60" s="20">
        <v>46288</v>
      </c>
      <c r="C60" s="20">
        <v>46302</v>
      </c>
      <c r="D60" s="20">
        <v>46304</v>
      </c>
      <c r="E60" s="20">
        <v>46311</v>
      </c>
      <c r="F60" s="55" t="s">
        <v>25</v>
      </c>
      <c r="G60" s="25" t="s">
        <v>105</v>
      </c>
      <c r="H60" s="161" t="s">
        <v>1350</v>
      </c>
      <c r="I60" s="161"/>
      <c r="J60" s="56" t="s">
        <v>18</v>
      </c>
      <c r="K60" s="140">
        <v>48818</v>
      </c>
      <c r="L60" s="55">
        <v>180</v>
      </c>
      <c r="M60" s="55" t="s">
        <v>35</v>
      </c>
      <c r="N60" s="52" t="s">
        <v>1149</v>
      </c>
      <c r="O60" s="56" t="s">
        <v>306</v>
      </c>
      <c r="P60" s="55">
        <v>200</v>
      </c>
      <c r="Q60" s="25">
        <f t="shared" si="14"/>
        <v>-2</v>
      </c>
      <c r="R60" s="191">
        <f>202</f>
        <v>202</v>
      </c>
      <c r="S60" s="192">
        <f t="shared" si="15"/>
        <v>-2</v>
      </c>
      <c r="T60" s="193">
        <v>3757</v>
      </c>
      <c r="U60" s="193" t="s">
        <v>1398</v>
      </c>
      <c r="V60" s="192">
        <v>0</v>
      </c>
      <c r="W60" s="192">
        <f t="shared" si="16"/>
        <v>-200</v>
      </c>
      <c r="X60" s="193"/>
      <c r="Y60" s="193"/>
      <c r="Z60" s="194"/>
      <c r="AA60" s="56" t="s">
        <v>51</v>
      </c>
      <c r="AB60" s="162" t="s">
        <v>1413</v>
      </c>
    </row>
    <row r="61" spans="1:28" s="16" customFormat="1" ht="60" customHeight="1">
      <c r="A61" s="161"/>
      <c r="B61" s="20">
        <v>46288</v>
      </c>
      <c r="C61" s="20">
        <v>46302</v>
      </c>
      <c r="D61" s="20">
        <v>46304</v>
      </c>
      <c r="E61" s="20">
        <v>46311</v>
      </c>
      <c r="F61" s="55" t="s">
        <v>25</v>
      </c>
      <c r="G61" s="25" t="s">
        <v>105</v>
      </c>
      <c r="H61" s="161" t="s">
        <v>1349</v>
      </c>
      <c r="I61" s="161"/>
      <c r="J61" s="56" t="s">
        <v>18</v>
      </c>
      <c r="K61" s="140">
        <v>48818</v>
      </c>
      <c r="L61" s="55">
        <v>180</v>
      </c>
      <c r="M61" s="55" t="s">
        <v>35</v>
      </c>
      <c r="N61" s="52" t="s">
        <v>129</v>
      </c>
      <c r="O61" s="56" t="s">
        <v>306</v>
      </c>
      <c r="P61" s="55">
        <v>190</v>
      </c>
      <c r="Q61" s="25">
        <f t="shared" si="14"/>
        <v>-2</v>
      </c>
      <c r="R61" s="191">
        <f>192</f>
        <v>192</v>
      </c>
      <c r="S61" s="192">
        <f t="shared" si="15"/>
        <v>-2</v>
      </c>
      <c r="T61" s="193">
        <v>2200</v>
      </c>
      <c r="U61" s="193" t="s">
        <v>1363</v>
      </c>
      <c r="V61" s="192">
        <v>0</v>
      </c>
      <c r="W61" s="192">
        <f t="shared" si="16"/>
        <v>-190</v>
      </c>
      <c r="X61" s="193"/>
      <c r="Y61" s="193"/>
      <c r="Z61" s="194"/>
      <c r="AA61" s="56" t="s">
        <v>51</v>
      </c>
      <c r="AB61" s="162" t="s">
        <v>1359</v>
      </c>
    </row>
    <row r="62" spans="1:28" s="16" customFormat="1" ht="51.75" customHeight="1">
      <c r="A62" s="161"/>
      <c r="B62" s="20">
        <v>46287</v>
      </c>
      <c r="C62" s="20">
        <v>46305</v>
      </c>
      <c r="D62" s="20">
        <v>46307</v>
      </c>
      <c r="E62" s="20">
        <v>46315</v>
      </c>
      <c r="F62" s="55" t="s">
        <v>25</v>
      </c>
      <c r="G62" s="25" t="s">
        <v>105</v>
      </c>
      <c r="H62" s="161" t="s">
        <v>1349</v>
      </c>
      <c r="I62" s="161"/>
      <c r="J62" s="56" t="s">
        <v>18</v>
      </c>
      <c r="K62" s="140">
        <v>48822</v>
      </c>
      <c r="L62" s="55">
        <v>180</v>
      </c>
      <c r="M62" s="55" t="s">
        <v>35</v>
      </c>
      <c r="N62" s="56" t="s">
        <v>129</v>
      </c>
      <c r="O62" s="56" t="s">
        <v>306</v>
      </c>
      <c r="P62" s="55">
        <v>131</v>
      </c>
      <c r="Q62" s="25">
        <f t="shared" si="14"/>
        <v>-2</v>
      </c>
      <c r="R62" s="191">
        <f>133</f>
        <v>133</v>
      </c>
      <c r="S62" s="192">
        <f t="shared" si="15"/>
        <v>-2</v>
      </c>
      <c r="T62" s="193">
        <v>2200</v>
      </c>
      <c r="U62" s="193" t="s">
        <v>1363</v>
      </c>
      <c r="V62" s="192">
        <v>0</v>
      </c>
      <c r="W62" s="192">
        <f t="shared" si="16"/>
        <v>-131</v>
      </c>
      <c r="X62" s="193"/>
      <c r="Y62" s="193"/>
      <c r="Z62" s="194"/>
      <c r="AA62" s="56" t="s">
        <v>51</v>
      </c>
      <c r="AB62" s="162" t="s">
        <v>1359</v>
      </c>
    </row>
    <row r="63" spans="1:28" s="16" customFormat="1" ht="51.75" customHeight="1">
      <c r="A63" s="161"/>
      <c r="B63" s="20">
        <v>46287</v>
      </c>
      <c r="C63" s="20">
        <v>46305</v>
      </c>
      <c r="D63" s="20">
        <v>46307</v>
      </c>
      <c r="E63" s="20">
        <v>46315</v>
      </c>
      <c r="F63" s="55" t="s">
        <v>25</v>
      </c>
      <c r="G63" s="25" t="s">
        <v>105</v>
      </c>
      <c r="H63" s="161" t="s">
        <v>1350</v>
      </c>
      <c r="I63" s="161"/>
      <c r="J63" s="56" t="s">
        <v>18</v>
      </c>
      <c r="K63" s="140">
        <v>48822</v>
      </c>
      <c r="L63" s="55">
        <v>180</v>
      </c>
      <c r="M63" s="55" t="s">
        <v>35</v>
      </c>
      <c r="N63" s="52" t="s">
        <v>1149</v>
      </c>
      <c r="O63" s="56" t="s">
        <v>306</v>
      </c>
      <c r="P63" s="55">
        <v>131</v>
      </c>
      <c r="Q63" s="25">
        <f t="shared" si="14"/>
        <v>-2</v>
      </c>
      <c r="R63" s="191">
        <f>133</f>
        <v>133</v>
      </c>
      <c r="S63" s="192">
        <f t="shared" si="15"/>
        <v>-2</v>
      </c>
      <c r="T63" s="193">
        <v>3757</v>
      </c>
      <c r="U63" s="193" t="s">
        <v>1398</v>
      </c>
      <c r="V63" s="192">
        <v>0</v>
      </c>
      <c r="W63" s="192">
        <f t="shared" si="16"/>
        <v>-131</v>
      </c>
      <c r="X63" s="193"/>
      <c r="Y63" s="193"/>
      <c r="Z63" s="194"/>
      <c r="AA63" s="56" t="s">
        <v>51</v>
      </c>
      <c r="AB63" s="162" t="s">
        <v>1357</v>
      </c>
    </row>
    <row r="64" spans="1:28" s="16" customFormat="1" ht="51.75" customHeight="1">
      <c r="A64" s="161"/>
      <c r="B64" s="20">
        <v>46290</v>
      </c>
      <c r="C64" s="20">
        <v>46305</v>
      </c>
      <c r="D64" s="20">
        <v>46307</v>
      </c>
      <c r="E64" s="20">
        <v>46312</v>
      </c>
      <c r="F64" s="55" t="s">
        <v>25</v>
      </c>
      <c r="G64" s="25" t="s">
        <v>105</v>
      </c>
      <c r="H64" s="161" t="s">
        <v>1349</v>
      </c>
      <c r="I64" s="161"/>
      <c r="J64" s="56" t="s">
        <v>18</v>
      </c>
      <c r="K64" s="140">
        <v>48823</v>
      </c>
      <c r="L64" s="55">
        <v>180</v>
      </c>
      <c r="M64" s="55" t="s">
        <v>35</v>
      </c>
      <c r="N64" s="56" t="s">
        <v>129</v>
      </c>
      <c r="O64" s="56" t="s">
        <v>306</v>
      </c>
      <c r="P64" s="55">
        <v>97</v>
      </c>
      <c r="Q64" s="25">
        <f t="shared" si="14"/>
        <v>-1</v>
      </c>
      <c r="R64" s="191">
        <f>98</f>
        <v>98</v>
      </c>
      <c r="S64" s="192">
        <f t="shared" si="15"/>
        <v>-1</v>
      </c>
      <c r="T64" s="193">
        <v>2200</v>
      </c>
      <c r="U64" s="193" t="s">
        <v>1363</v>
      </c>
      <c r="V64" s="192">
        <v>0</v>
      </c>
      <c r="W64" s="192">
        <f t="shared" si="16"/>
        <v>-97</v>
      </c>
      <c r="X64" s="193"/>
      <c r="Y64" s="193"/>
      <c r="Z64" s="194"/>
      <c r="AA64" s="56" t="s">
        <v>51</v>
      </c>
      <c r="AB64" s="162" t="s">
        <v>1359</v>
      </c>
    </row>
    <row r="65" spans="1:28" s="16" customFormat="1" ht="51.75" customHeight="1">
      <c r="A65" s="161"/>
      <c r="B65" s="20">
        <v>46290</v>
      </c>
      <c r="C65" s="20">
        <v>46305</v>
      </c>
      <c r="D65" s="20">
        <v>46307</v>
      </c>
      <c r="E65" s="20">
        <v>46312</v>
      </c>
      <c r="F65" s="55" t="s">
        <v>25</v>
      </c>
      <c r="G65" s="25" t="s">
        <v>105</v>
      </c>
      <c r="H65" s="161" t="s">
        <v>1349</v>
      </c>
      <c r="I65" s="161"/>
      <c r="J65" s="56" t="s">
        <v>18</v>
      </c>
      <c r="K65" s="140">
        <v>48823</v>
      </c>
      <c r="L65" s="55">
        <v>180</v>
      </c>
      <c r="M65" s="55" t="s">
        <v>35</v>
      </c>
      <c r="N65" s="56" t="s">
        <v>129</v>
      </c>
      <c r="O65" s="56" t="s">
        <v>306</v>
      </c>
      <c r="P65" s="55">
        <v>69</v>
      </c>
      <c r="Q65" s="25">
        <f t="shared" si="10"/>
        <v>-1</v>
      </c>
      <c r="R65" s="191">
        <f>70</f>
        <v>70</v>
      </c>
      <c r="S65" s="192">
        <f t="shared" si="11"/>
        <v>-1</v>
      </c>
      <c r="T65" s="193">
        <v>2200</v>
      </c>
      <c r="U65" s="193" t="s">
        <v>1363</v>
      </c>
      <c r="V65" s="192">
        <v>0</v>
      </c>
      <c r="W65" s="192">
        <f t="shared" si="12"/>
        <v>-69</v>
      </c>
      <c r="X65" s="193"/>
      <c r="Y65" s="193"/>
      <c r="Z65" s="194">
        <f t="shared" si="13"/>
        <v>1</v>
      </c>
      <c r="AA65" s="56" t="s">
        <v>51</v>
      </c>
      <c r="AB65" s="162" t="s">
        <v>1359</v>
      </c>
    </row>
    <row r="66" spans="1:28" s="16" customFormat="1" ht="51.75" customHeight="1">
      <c r="A66" s="161"/>
      <c r="B66" s="20">
        <v>46290</v>
      </c>
      <c r="C66" s="20">
        <v>46305</v>
      </c>
      <c r="D66" s="20">
        <v>46307</v>
      </c>
      <c r="E66" s="20">
        <v>46312</v>
      </c>
      <c r="F66" s="55" t="s">
        <v>25</v>
      </c>
      <c r="G66" s="25" t="s">
        <v>105</v>
      </c>
      <c r="H66" s="161" t="s">
        <v>1350</v>
      </c>
      <c r="I66" s="161"/>
      <c r="J66" s="56" t="s">
        <v>18</v>
      </c>
      <c r="K66" s="140">
        <v>48823</v>
      </c>
      <c r="L66" s="55">
        <v>180</v>
      </c>
      <c r="M66" s="55" t="s">
        <v>35</v>
      </c>
      <c r="N66" s="56" t="s">
        <v>1149</v>
      </c>
      <c r="O66" s="56" t="s">
        <v>306</v>
      </c>
      <c r="P66" s="55">
        <v>86</v>
      </c>
      <c r="Q66" s="25">
        <f t="shared" si="10"/>
        <v>-5</v>
      </c>
      <c r="R66" s="191">
        <f>91</f>
        <v>91</v>
      </c>
      <c r="S66" s="192">
        <f t="shared" si="11"/>
        <v>-5</v>
      </c>
      <c r="T66" s="193">
        <v>2200</v>
      </c>
      <c r="U66" s="193" t="s">
        <v>1363</v>
      </c>
      <c r="V66" s="192">
        <v>0</v>
      </c>
      <c r="W66" s="192">
        <f t="shared" si="12"/>
        <v>-86</v>
      </c>
      <c r="X66" s="193"/>
      <c r="Y66" s="193"/>
      <c r="Z66" s="194">
        <f t="shared" si="13"/>
        <v>1</v>
      </c>
      <c r="AA66" s="56" t="s">
        <v>51</v>
      </c>
      <c r="AB66" s="162" t="s">
        <v>1357</v>
      </c>
    </row>
    <row r="67" spans="1:28" s="16" customFormat="1" ht="51.75" customHeight="1">
      <c r="A67" s="161"/>
      <c r="B67" s="20">
        <v>46292</v>
      </c>
      <c r="C67" s="20">
        <v>46305</v>
      </c>
      <c r="D67" s="20">
        <v>46307</v>
      </c>
      <c r="E67" s="20">
        <v>46313</v>
      </c>
      <c r="F67" s="55" t="s">
        <v>25</v>
      </c>
      <c r="G67" s="25" t="s">
        <v>105</v>
      </c>
      <c r="H67" s="161" t="s">
        <v>1349</v>
      </c>
      <c r="I67" s="161"/>
      <c r="J67" s="56" t="s">
        <v>18</v>
      </c>
      <c r="K67" s="140">
        <v>48824</v>
      </c>
      <c r="L67" s="55">
        <v>180</v>
      </c>
      <c r="M67" s="55" t="s">
        <v>35</v>
      </c>
      <c r="N67" s="56" t="s">
        <v>160</v>
      </c>
      <c r="O67" s="56" t="s">
        <v>306</v>
      </c>
      <c r="P67" s="55">
        <v>48</v>
      </c>
      <c r="Q67" s="25">
        <f t="shared" si="10"/>
        <v>-2</v>
      </c>
      <c r="R67" s="191">
        <f>50</f>
        <v>50</v>
      </c>
      <c r="S67" s="192">
        <f t="shared" si="11"/>
        <v>-2</v>
      </c>
      <c r="T67" s="193">
        <v>2200</v>
      </c>
      <c r="U67" s="193" t="s">
        <v>1363</v>
      </c>
      <c r="V67" s="192">
        <v>0</v>
      </c>
      <c r="W67" s="192">
        <f t="shared" si="12"/>
        <v>-48</v>
      </c>
      <c r="X67" s="193"/>
      <c r="Y67" s="193"/>
      <c r="Z67" s="194">
        <f t="shared" si="13"/>
        <v>1</v>
      </c>
      <c r="AA67" s="56" t="s">
        <v>51</v>
      </c>
      <c r="AB67" s="162" t="s">
        <v>1357</v>
      </c>
    </row>
    <row r="68" spans="1:28" s="16" customFormat="1" ht="51.75" customHeight="1">
      <c r="A68" s="161"/>
      <c r="B68" s="20">
        <v>46290</v>
      </c>
      <c r="C68" s="20">
        <v>46303</v>
      </c>
      <c r="D68" s="20">
        <v>46305</v>
      </c>
      <c r="E68" s="20">
        <v>46312</v>
      </c>
      <c r="F68" s="55" t="s">
        <v>25</v>
      </c>
      <c r="G68" s="25" t="s">
        <v>105</v>
      </c>
      <c r="H68" s="161" t="s">
        <v>1349</v>
      </c>
      <c r="I68" s="161"/>
      <c r="J68" s="56" t="s">
        <v>18</v>
      </c>
      <c r="K68" s="140">
        <v>48825</v>
      </c>
      <c r="L68" s="55">
        <v>180</v>
      </c>
      <c r="M68" s="55" t="s">
        <v>35</v>
      </c>
      <c r="N68" s="56" t="s">
        <v>160</v>
      </c>
      <c r="O68" s="56" t="s">
        <v>306</v>
      </c>
      <c r="P68" s="55">
        <v>56</v>
      </c>
      <c r="Q68" s="25">
        <f t="shared" ref="Q68:Q79" si="17">P68-R68</f>
        <v>-2</v>
      </c>
      <c r="R68" s="191">
        <f>58</f>
        <v>58</v>
      </c>
      <c r="S68" s="192">
        <f t="shared" ref="S68:S79" si="18">P68-R68</f>
        <v>-2</v>
      </c>
      <c r="T68" s="193">
        <v>2200</v>
      </c>
      <c r="U68" s="193" t="s">
        <v>1363</v>
      </c>
      <c r="V68" s="192">
        <v>0</v>
      </c>
      <c r="W68" s="192">
        <f t="shared" ref="W68:W79" si="19">+V68-P68</f>
        <v>-56</v>
      </c>
      <c r="X68" s="193"/>
      <c r="Y68" s="193"/>
      <c r="Z68" s="194">
        <f t="shared" ref="Z68:Z116" si="20">(P68-V68)*100/P68/100</f>
        <v>1</v>
      </c>
      <c r="AA68" s="56" t="s">
        <v>51</v>
      </c>
      <c r="AB68" s="162" t="s">
        <v>1357</v>
      </c>
    </row>
    <row r="69" spans="1:28" s="16" customFormat="1" ht="51.75" customHeight="1">
      <c r="A69" s="161"/>
      <c r="B69" s="20">
        <v>46290</v>
      </c>
      <c r="C69" s="20">
        <v>46303</v>
      </c>
      <c r="D69" s="20">
        <v>46305</v>
      </c>
      <c r="E69" s="20">
        <v>46312</v>
      </c>
      <c r="F69" s="55" t="s">
        <v>25</v>
      </c>
      <c r="G69" s="25" t="s">
        <v>105</v>
      </c>
      <c r="H69" s="161" t="s">
        <v>1349</v>
      </c>
      <c r="I69" s="161"/>
      <c r="J69" s="56" t="s">
        <v>18</v>
      </c>
      <c r="K69" s="140">
        <v>48825</v>
      </c>
      <c r="L69" s="55">
        <v>180</v>
      </c>
      <c r="M69" s="55" t="s">
        <v>35</v>
      </c>
      <c r="N69" s="56" t="s">
        <v>1148</v>
      </c>
      <c r="O69" s="56" t="s">
        <v>306</v>
      </c>
      <c r="P69" s="55">
        <v>56</v>
      </c>
      <c r="Q69" s="25">
        <f t="shared" si="17"/>
        <v>-2</v>
      </c>
      <c r="R69" s="191">
        <f>58</f>
        <v>58</v>
      </c>
      <c r="S69" s="192">
        <f t="shared" si="18"/>
        <v>-2</v>
      </c>
      <c r="T69" s="193">
        <v>2200</v>
      </c>
      <c r="U69" s="193" t="s">
        <v>1363</v>
      </c>
      <c r="V69" s="192">
        <v>0</v>
      </c>
      <c r="W69" s="192">
        <f t="shared" si="19"/>
        <v>-56</v>
      </c>
      <c r="X69" s="193"/>
      <c r="Y69" s="193"/>
      <c r="Z69" s="194">
        <f t="shared" si="20"/>
        <v>1</v>
      </c>
      <c r="AA69" s="56" t="s">
        <v>51</v>
      </c>
      <c r="AB69" s="162" t="s">
        <v>1360</v>
      </c>
    </row>
    <row r="70" spans="1:28" s="16" customFormat="1" ht="51.75" customHeight="1">
      <c r="A70" s="161"/>
      <c r="B70" s="20">
        <v>46290</v>
      </c>
      <c r="C70" s="20">
        <v>46301</v>
      </c>
      <c r="D70" s="20">
        <v>46303</v>
      </c>
      <c r="E70" s="20">
        <v>46309</v>
      </c>
      <c r="F70" s="55" t="s">
        <v>25</v>
      </c>
      <c r="G70" s="25" t="s">
        <v>105</v>
      </c>
      <c r="H70" s="161" t="s">
        <v>1350</v>
      </c>
      <c r="I70" s="161"/>
      <c r="J70" s="56" t="s">
        <v>18</v>
      </c>
      <c r="K70" s="140">
        <v>48826</v>
      </c>
      <c r="L70" s="55">
        <v>180</v>
      </c>
      <c r="M70" s="55" t="s">
        <v>35</v>
      </c>
      <c r="N70" s="52" t="s">
        <v>1149</v>
      </c>
      <c r="O70" s="56" t="s">
        <v>306</v>
      </c>
      <c r="P70" s="55">
        <v>40</v>
      </c>
      <c r="Q70" s="25">
        <f t="shared" si="17"/>
        <v>-2</v>
      </c>
      <c r="R70" s="191">
        <f>42</f>
        <v>42</v>
      </c>
      <c r="S70" s="192">
        <f t="shared" si="18"/>
        <v>-2</v>
      </c>
      <c r="T70" s="193">
        <v>3757</v>
      </c>
      <c r="U70" s="193" t="s">
        <v>1398</v>
      </c>
      <c r="V70" s="192">
        <v>0</v>
      </c>
      <c r="W70" s="192">
        <f t="shared" si="19"/>
        <v>-40</v>
      </c>
      <c r="X70" s="193"/>
      <c r="Y70" s="193"/>
      <c r="Z70" s="194">
        <f t="shared" si="20"/>
        <v>1</v>
      </c>
      <c r="AA70" s="56" t="s">
        <v>51</v>
      </c>
      <c r="AB70" s="162" t="s">
        <v>1357</v>
      </c>
    </row>
    <row r="71" spans="1:28" s="16" customFormat="1" ht="51.75" customHeight="1">
      <c r="A71" s="161"/>
      <c r="B71" s="20">
        <v>46290</v>
      </c>
      <c r="C71" s="20">
        <v>46301</v>
      </c>
      <c r="D71" s="20">
        <v>46303</v>
      </c>
      <c r="E71" s="20">
        <v>46309</v>
      </c>
      <c r="F71" s="55" t="s">
        <v>25</v>
      </c>
      <c r="G71" s="25" t="s">
        <v>105</v>
      </c>
      <c r="H71" s="161" t="s">
        <v>1349</v>
      </c>
      <c r="I71" s="161"/>
      <c r="J71" s="56" t="s">
        <v>18</v>
      </c>
      <c r="K71" s="140">
        <v>48826</v>
      </c>
      <c r="L71" s="55">
        <v>180</v>
      </c>
      <c r="M71" s="55" t="s">
        <v>35</v>
      </c>
      <c r="N71" s="52" t="s">
        <v>129</v>
      </c>
      <c r="O71" s="56" t="s">
        <v>306</v>
      </c>
      <c r="P71" s="55">
        <v>40</v>
      </c>
      <c r="Q71" s="25">
        <f t="shared" si="17"/>
        <v>-2</v>
      </c>
      <c r="R71" s="191">
        <f>42</f>
        <v>42</v>
      </c>
      <c r="S71" s="192">
        <f t="shared" si="18"/>
        <v>-2</v>
      </c>
      <c r="T71" s="193">
        <v>2200</v>
      </c>
      <c r="U71" s="193" t="s">
        <v>1363</v>
      </c>
      <c r="V71" s="192">
        <v>0</v>
      </c>
      <c r="W71" s="192">
        <f t="shared" si="19"/>
        <v>-40</v>
      </c>
      <c r="X71" s="193"/>
      <c r="Y71" s="193"/>
      <c r="Z71" s="194">
        <f t="shared" si="20"/>
        <v>1</v>
      </c>
      <c r="AA71" s="56" t="s">
        <v>51</v>
      </c>
      <c r="AB71" s="162" t="s">
        <v>1359</v>
      </c>
    </row>
    <row r="72" spans="1:28" s="16" customFormat="1" ht="51.75" customHeight="1">
      <c r="A72" s="161"/>
      <c r="B72" s="20">
        <v>46290</v>
      </c>
      <c r="C72" s="20">
        <v>46305</v>
      </c>
      <c r="D72" s="20">
        <v>46307</v>
      </c>
      <c r="E72" s="20">
        <v>46312</v>
      </c>
      <c r="F72" s="55" t="s">
        <v>25</v>
      </c>
      <c r="G72" s="25" t="s">
        <v>105</v>
      </c>
      <c r="H72" s="161" t="s">
        <v>1350</v>
      </c>
      <c r="I72" s="161"/>
      <c r="J72" s="56" t="s">
        <v>18</v>
      </c>
      <c r="K72" s="140">
        <v>48827</v>
      </c>
      <c r="L72" s="55">
        <v>180</v>
      </c>
      <c r="M72" s="55" t="s">
        <v>35</v>
      </c>
      <c r="N72" s="52" t="s">
        <v>1149</v>
      </c>
      <c r="O72" s="56" t="s">
        <v>306</v>
      </c>
      <c r="P72" s="55">
        <v>82</v>
      </c>
      <c r="Q72" s="25">
        <f t="shared" si="17"/>
        <v>-2</v>
      </c>
      <c r="R72" s="191">
        <f>84</f>
        <v>84</v>
      </c>
      <c r="S72" s="192">
        <f t="shared" si="18"/>
        <v>-2</v>
      </c>
      <c r="T72" s="193">
        <v>3757</v>
      </c>
      <c r="U72" s="193" t="s">
        <v>1398</v>
      </c>
      <c r="V72" s="192">
        <v>0</v>
      </c>
      <c r="W72" s="192">
        <f t="shared" si="19"/>
        <v>-82</v>
      </c>
      <c r="X72" s="193"/>
      <c r="Y72" s="193"/>
      <c r="Z72" s="194">
        <f t="shared" si="20"/>
        <v>1</v>
      </c>
      <c r="AA72" s="56" t="s">
        <v>51</v>
      </c>
      <c r="AB72" s="162" t="s">
        <v>1357</v>
      </c>
    </row>
    <row r="73" spans="1:28" s="16" customFormat="1" ht="51.75" customHeight="1">
      <c r="A73" s="161"/>
      <c r="B73" s="20">
        <v>46292</v>
      </c>
      <c r="C73" s="20">
        <v>46302</v>
      </c>
      <c r="D73" s="20">
        <v>46304</v>
      </c>
      <c r="E73" s="20">
        <v>46310</v>
      </c>
      <c r="F73" s="55" t="s">
        <v>25</v>
      </c>
      <c r="G73" s="25" t="s">
        <v>105</v>
      </c>
      <c r="H73" s="161" t="s">
        <v>1349</v>
      </c>
      <c r="I73" s="161"/>
      <c r="J73" s="56" t="s">
        <v>18</v>
      </c>
      <c r="K73" s="140">
        <v>48830</v>
      </c>
      <c r="L73" s="55">
        <v>180</v>
      </c>
      <c r="M73" s="55" t="s">
        <v>35</v>
      </c>
      <c r="N73" s="56" t="s">
        <v>193</v>
      </c>
      <c r="O73" s="56" t="s">
        <v>306</v>
      </c>
      <c r="P73" s="55">
        <v>66</v>
      </c>
      <c r="Q73" s="25">
        <f t="shared" si="17"/>
        <v>-1</v>
      </c>
      <c r="R73" s="191">
        <f>67</f>
        <v>67</v>
      </c>
      <c r="S73" s="192">
        <f t="shared" si="18"/>
        <v>-1</v>
      </c>
      <c r="T73" s="193">
        <v>2200</v>
      </c>
      <c r="U73" s="193" t="s">
        <v>1363</v>
      </c>
      <c r="V73" s="192">
        <v>0</v>
      </c>
      <c r="W73" s="192">
        <f t="shared" si="19"/>
        <v>-66</v>
      </c>
      <c r="X73" s="193"/>
      <c r="Y73" s="193"/>
      <c r="Z73" s="194">
        <f t="shared" si="20"/>
        <v>1</v>
      </c>
      <c r="AA73" s="56" t="s">
        <v>51</v>
      </c>
      <c r="AB73" s="162" t="s">
        <v>1357</v>
      </c>
    </row>
    <row r="74" spans="1:28" s="16" customFormat="1" ht="51.75" customHeight="1">
      <c r="A74" s="161"/>
      <c r="B74" s="20">
        <v>46292</v>
      </c>
      <c r="C74" s="20">
        <v>46302</v>
      </c>
      <c r="D74" s="20">
        <v>46304</v>
      </c>
      <c r="E74" s="20">
        <v>46310</v>
      </c>
      <c r="F74" s="55" t="s">
        <v>25</v>
      </c>
      <c r="G74" s="25" t="s">
        <v>105</v>
      </c>
      <c r="H74" s="161" t="s">
        <v>1349</v>
      </c>
      <c r="I74" s="161"/>
      <c r="J74" s="56" t="s">
        <v>18</v>
      </c>
      <c r="K74" s="140">
        <v>48830</v>
      </c>
      <c r="L74" s="55">
        <v>180</v>
      </c>
      <c r="M74" s="55" t="s">
        <v>35</v>
      </c>
      <c r="N74" s="56" t="s">
        <v>1148</v>
      </c>
      <c r="O74" s="56" t="s">
        <v>306</v>
      </c>
      <c r="P74" s="55">
        <v>97</v>
      </c>
      <c r="Q74" s="25">
        <f t="shared" si="17"/>
        <v>-1</v>
      </c>
      <c r="R74" s="191">
        <f>98</f>
        <v>98</v>
      </c>
      <c r="S74" s="192">
        <f t="shared" si="18"/>
        <v>-1</v>
      </c>
      <c r="T74" s="193">
        <v>2200</v>
      </c>
      <c r="U74" s="193" t="s">
        <v>1363</v>
      </c>
      <c r="V74" s="192">
        <v>0</v>
      </c>
      <c r="W74" s="192">
        <f t="shared" si="19"/>
        <v>-97</v>
      </c>
      <c r="X74" s="193"/>
      <c r="Y74" s="193"/>
      <c r="Z74" s="194">
        <f t="shared" si="20"/>
        <v>1</v>
      </c>
      <c r="AA74" s="56" t="s">
        <v>51</v>
      </c>
      <c r="AB74" s="162" t="s">
        <v>1360</v>
      </c>
    </row>
    <row r="75" spans="1:28" s="16" customFormat="1" ht="51.75" customHeight="1">
      <c r="A75" s="161"/>
      <c r="B75" s="20">
        <v>46292</v>
      </c>
      <c r="C75" s="20">
        <v>46302</v>
      </c>
      <c r="D75" s="20">
        <v>46304</v>
      </c>
      <c r="E75" s="20">
        <v>46310</v>
      </c>
      <c r="F75" s="55" t="s">
        <v>25</v>
      </c>
      <c r="G75" s="25" t="s">
        <v>105</v>
      </c>
      <c r="H75" s="161" t="s">
        <v>1349</v>
      </c>
      <c r="I75" s="161"/>
      <c r="J75" s="56" t="s">
        <v>18</v>
      </c>
      <c r="K75" s="140">
        <v>48830</v>
      </c>
      <c r="L75" s="55">
        <v>180</v>
      </c>
      <c r="M75" s="55" t="s">
        <v>35</v>
      </c>
      <c r="N75" s="56" t="s">
        <v>1148</v>
      </c>
      <c r="O75" s="56" t="s">
        <v>306</v>
      </c>
      <c r="P75" s="55">
        <v>67</v>
      </c>
      <c r="Q75" s="25">
        <f t="shared" si="17"/>
        <v>-1</v>
      </c>
      <c r="R75" s="191">
        <f>68</f>
        <v>68</v>
      </c>
      <c r="S75" s="192">
        <f t="shared" si="18"/>
        <v>-1</v>
      </c>
      <c r="T75" s="193">
        <v>2200</v>
      </c>
      <c r="U75" s="193" t="s">
        <v>1363</v>
      </c>
      <c r="V75" s="192">
        <v>0</v>
      </c>
      <c r="W75" s="192">
        <f t="shared" si="19"/>
        <v>-67</v>
      </c>
      <c r="X75" s="193"/>
      <c r="Y75" s="193"/>
      <c r="Z75" s="194">
        <f t="shared" si="20"/>
        <v>1</v>
      </c>
      <c r="AA75" s="56" t="s">
        <v>51</v>
      </c>
      <c r="AB75" s="162" t="s">
        <v>1360</v>
      </c>
    </row>
    <row r="76" spans="1:28" s="16" customFormat="1" ht="51.75" customHeight="1">
      <c r="A76" s="161"/>
      <c r="B76" s="144">
        <v>46285</v>
      </c>
      <c r="C76" s="144">
        <v>46298</v>
      </c>
      <c r="D76" s="144">
        <v>46301</v>
      </c>
      <c r="E76" s="144">
        <v>46307</v>
      </c>
      <c r="F76" s="55" t="s">
        <v>23</v>
      </c>
      <c r="G76" s="25" t="s">
        <v>62</v>
      </c>
      <c r="H76" s="161"/>
      <c r="I76" s="161"/>
      <c r="J76" s="56" t="s">
        <v>162</v>
      </c>
      <c r="K76" s="141">
        <v>48676</v>
      </c>
      <c r="L76" s="55">
        <v>140</v>
      </c>
      <c r="M76" s="55" t="s">
        <v>47</v>
      </c>
      <c r="N76" s="56" t="s">
        <v>27</v>
      </c>
      <c r="O76" s="56" t="s">
        <v>20</v>
      </c>
      <c r="P76" s="55">
        <v>122</v>
      </c>
      <c r="Q76" s="25">
        <f t="shared" si="17"/>
        <v>-10</v>
      </c>
      <c r="R76" s="191">
        <f>132</f>
        <v>132</v>
      </c>
      <c r="S76" s="192">
        <f t="shared" si="18"/>
        <v>-10</v>
      </c>
      <c r="T76" s="193">
        <v>3124</v>
      </c>
      <c r="U76" s="193" t="s">
        <v>1172</v>
      </c>
      <c r="V76" s="192">
        <v>0</v>
      </c>
      <c r="W76" s="192">
        <f t="shared" si="19"/>
        <v>-122</v>
      </c>
      <c r="X76" s="193"/>
      <c r="Y76" s="193"/>
      <c r="Z76" s="194">
        <f t="shared" si="20"/>
        <v>1</v>
      </c>
      <c r="AA76" s="56" t="s">
        <v>69</v>
      </c>
      <c r="AB76" s="162" t="s">
        <v>1369</v>
      </c>
    </row>
    <row r="77" spans="1:28" s="16" customFormat="1" ht="51.75" customHeight="1">
      <c r="A77" s="161"/>
      <c r="B77" s="144">
        <v>46281</v>
      </c>
      <c r="C77" s="144">
        <v>46295</v>
      </c>
      <c r="D77" s="144">
        <v>46298</v>
      </c>
      <c r="E77" s="144">
        <v>46307</v>
      </c>
      <c r="F77" s="55" t="s">
        <v>23</v>
      </c>
      <c r="G77" s="25" t="s">
        <v>99</v>
      </c>
      <c r="H77" s="161"/>
      <c r="I77" s="161"/>
      <c r="J77" s="56" t="s">
        <v>444</v>
      </c>
      <c r="K77" s="244">
        <v>48711</v>
      </c>
      <c r="L77" s="55">
        <v>180</v>
      </c>
      <c r="M77" s="55" t="s">
        <v>35</v>
      </c>
      <c r="N77" s="56" t="s">
        <v>1150</v>
      </c>
      <c r="O77" s="56" t="s">
        <v>52</v>
      </c>
      <c r="P77" s="55">
        <v>1593</v>
      </c>
      <c r="Q77" s="25">
        <f t="shared" si="17"/>
        <v>1593</v>
      </c>
      <c r="R77" s="191">
        <v>0</v>
      </c>
      <c r="S77" s="192">
        <f t="shared" si="18"/>
        <v>1593</v>
      </c>
      <c r="T77" s="193"/>
      <c r="U77" s="193"/>
      <c r="V77" s="192">
        <v>0</v>
      </c>
      <c r="W77" s="192">
        <f t="shared" si="19"/>
        <v>-1593</v>
      </c>
      <c r="X77" s="193"/>
      <c r="Y77" s="193"/>
      <c r="Z77" s="194">
        <f t="shared" si="20"/>
        <v>1</v>
      </c>
      <c r="AA77" s="56" t="s">
        <v>926</v>
      </c>
      <c r="AB77" s="162"/>
    </row>
    <row r="78" spans="1:28" s="16" customFormat="1" ht="77.25" customHeight="1">
      <c r="A78" s="161"/>
      <c r="B78" s="20">
        <v>46279</v>
      </c>
      <c r="C78" s="20">
        <v>46295</v>
      </c>
      <c r="D78" s="20">
        <v>46296</v>
      </c>
      <c r="E78" s="20">
        <v>46307</v>
      </c>
      <c r="F78" s="55" t="s">
        <v>23</v>
      </c>
      <c r="G78" s="25" t="s">
        <v>105</v>
      </c>
      <c r="H78" s="161"/>
      <c r="I78" s="161"/>
      <c r="J78" s="56" t="s">
        <v>34</v>
      </c>
      <c r="K78" s="57">
        <v>48300</v>
      </c>
      <c r="L78" s="55">
        <v>140</v>
      </c>
      <c r="M78" s="55" t="s">
        <v>35</v>
      </c>
      <c r="N78" s="59" t="s">
        <v>27</v>
      </c>
      <c r="O78" s="56" t="s">
        <v>20</v>
      </c>
      <c r="P78" s="55">
        <v>1781</v>
      </c>
      <c r="Q78" s="25">
        <f t="shared" si="17"/>
        <v>-2</v>
      </c>
      <c r="R78" s="191">
        <f>782+438+338+225</f>
        <v>1783</v>
      </c>
      <c r="S78" s="192">
        <f t="shared" si="18"/>
        <v>-2</v>
      </c>
      <c r="T78" s="193" t="s">
        <v>1217</v>
      </c>
      <c r="U78" s="193" t="s">
        <v>1219</v>
      </c>
      <c r="V78" s="192">
        <f>620+337+750</f>
        <v>1707</v>
      </c>
      <c r="W78" s="192">
        <f t="shared" si="19"/>
        <v>-74</v>
      </c>
      <c r="X78" s="193">
        <v>2185</v>
      </c>
      <c r="Y78" s="193" t="s">
        <v>1226</v>
      </c>
      <c r="Z78" s="194">
        <f t="shared" si="20"/>
        <v>4.1549691184727677E-2</v>
      </c>
      <c r="AA78" s="55" t="s">
        <v>32</v>
      </c>
      <c r="AB78" s="162" t="s">
        <v>1221</v>
      </c>
    </row>
    <row r="79" spans="1:28" s="16" customFormat="1" ht="86.25" customHeight="1">
      <c r="A79" s="161"/>
      <c r="B79" s="20">
        <v>46279</v>
      </c>
      <c r="C79" s="20">
        <v>46295</v>
      </c>
      <c r="D79" s="20">
        <v>46296</v>
      </c>
      <c r="E79" s="20">
        <v>46307</v>
      </c>
      <c r="F79" s="55" t="s">
        <v>23</v>
      </c>
      <c r="G79" s="25" t="s">
        <v>105</v>
      </c>
      <c r="H79" s="161" t="s">
        <v>1351</v>
      </c>
      <c r="I79" s="161"/>
      <c r="J79" s="56" t="s">
        <v>34</v>
      </c>
      <c r="K79" s="57">
        <v>48300</v>
      </c>
      <c r="L79" s="55">
        <v>140</v>
      </c>
      <c r="M79" s="55" t="s">
        <v>35</v>
      </c>
      <c r="N79" s="56" t="s">
        <v>27</v>
      </c>
      <c r="O79" s="56" t="s">
        <v>20</v>
      </c>
      <c r="P79" s="55">
        <v>1288</v>
      </c>
      <c r="Q79" s="25">
        <f t="shared" si="17"/>
        <v>-3</v>
      </c>
      <c r="R79" s="191">
        <f>793+498</f>
        <v>1291</v>
      </c>
      <c r="S79" s="192">
        <f t="shared" si="18"/>
        <v>-3</v>
      </c>
      <c r="T79" s="193" t="s">
        <v>1218</v>
      </c>
      <c r="U79" s="193" t="s">
        <v>1220</v>
      </c>
      <c r="V79" s="192">
        <f>663+296+110+119</f>
        <v>1188</v>
      </c>
      <c r="W79" s="195">
        <f t="shared" si="19"/>
        <v>-100</v>
      </c>
      <c r="X79" s="193" t="s">
        <v>1390</v>
      </c>
      <c r="Y79" s="193" t="s">
        <v>1391</v>
      </c>
      <c r="Z79" s="226">
        <f t="shared" si="20"/>
        <v>7.7639751552795039E-2</v>
      </c>
      <c r="AA79" s="55" t="s">
        <v>32</v>
      </c>
      <c r="AB79" s="162" t="s">
        <v>1348</v>
      </c>
    </row>
    <row r="80" spans="1:28" s="16" customFormat="1" ht="51.75" customHeight="1">
      <c r="A80" s="161"/>
      <c r="B80" s="20">
        <v>46290</v>
      </c>
      <c r="C80" s="20">
        <v>46304</v>
      </c>
      <c r="D80" s="20">
        <v>46305</v>
      </c>
      <c r="E80" s="20">
        <v>46315</v>
      </c>
      <c r="F80" s="55" t="s">
        <v>23</v>
      </c>
      <c r="G80" s="25" t="s">
        <v>62</v>
      </c>
      <c r="H80" s="161" t="s">
        <v>1349</v>
      </c>
      <c r="I80" s="161"/>
      <c r="J80" s="56" t="s">
        <v>34</v>
      </c>
      <c r="K80" s="57">
        <v>48314</v>
      </c>
      <c r="L80" s="55">
        <v>140</v>
      </c>
      <c r="M80" s="55" t="s">
        <v>42</v>
      </c>
      <c r="N80" s="56" t="s">
        <v>1154</v>
      </c>
      <c r="O80" s="56" t="s">
        <v>20</v>
      </c>
      <c r="P80" s="55">
        <v>562</v>
      </c>
      <c r="Q80" s="25">
        <f t="shared" ref="Q80:Q116" si="21">P80-R80</f>
        <v>562</v>
      </c>
      <c r="R80" s="191">
        <v>0</v>
      </c>
      <c r="S80" s="192">
        <f t="shared" ref="S80:S116" si="22">P80-R80</f>
        <v>562</v>
      </c>
      <c r="T80" s="193"/>
      <c r="U80" s="193"/>
      <c r="V80" s="192">
        <v>0</v>
      </c>
      <c r="W80" s="192">
        <f t="shared" ref="W80:W116" si="23">+V80-P80</f>
        <v>-562</v>
      </c>
      <c r="X80" s="193"/>
      <c r="Y80" s="193"/>
      <c r="Z80" s="194">
        <f t="shared" si="20"/>
        <v>1</v>
      </c>
      <c r="AA80" s="55" t="s">
        <v>31</v>
      </c>
      <c r="AB80" s="162" t="s">
        <v>1385</v>
      </c>
    </row>
    <row r="81" spans="1:28" s="16" customFormat="1" ht="51.75" customHeight="1">
      <c r="A81" s="161"/>
      <c r="B81" s="20">
        <v>46290</v>
      </c>
      <c r="C81" s="20">
        <v>46304</v>
      </c>
      <c r="D81" s="20">
        <v>46305</v>
      </c>
      <c r="E81" s="20">
        <v>46315</v>
      </c>
      <c r="F81" s="55" t="s">
        <v>23</v>
      </c>
      <c r="G81" s="25" t="s">
        <v>62</v>
      </c>
      <c r="H81" s="161" t="s">
        <v>1349</v>
      </c>
      <c r="I81" s="161"/>
      <c r="J81" s="56" t="s">
        <v>34</v>
      </c>
      <c r="K81" s="57">
        <v>48314</v>
      </c>
      <c r="L81" s="55">
        <v>140</v>
      </c>
      <c r="M81" s="55" t="s">
        <v>42</v>
      </c>
      <c r="N81" s="56" t="s">
        <v>1157</v>
      </c>
      <c r="O81" s="56" t="s">
        <v>20</v>
      </c>
      <c r="P81" s="55">
        <v>488</v>
      </c>
      <c r="Q81" s="25">
        <f t="shared" si="21"/>
        <v>488</v>
      </c>
      <c r="R81" s="191">
        <v>0</v>
      </c>
      <c r="S81" s="192">
        <f t="shared" si="22"/>
        <v>488</v>
      </c>
      <c r="T81" s="193"/>
      <c r="U81" s="193"/>
      <c r="V81" s="192">
        <v>0</v>
      </c>
      <c r="W81" s="192">
        <f t="shared" si="23"/>
        <v>-488</v>
      </c>
      <c r="X81" s="193"/>
      <c r="Y81" s="193"/>
      <c r="Z81" s="194">
        <f t="shared" si="20"/>
        <v>1</v>
      </c>
      <c r="AA81" s="55" t="s">
        <v>31</v>
      </c>
      <c r="AB81" s="162" t="s">
        <v>1385</v>
      </c>
    </row>
    <row r="82" spans="1:28" s="16" customFormat="1" ht="51.75" customHeight="1">
      <c r="A82" s="161"/>
      <c r="B82" s="20">
        <v>46290</v>
      </c>
      <c r="C82" s="20">
        <v>46304</v>
      </c>
      <c r="D82" s="20">
        <v>46305</v>
      </c>
      <c r="E82" s="20">
        <v>46315</v>
      </c>
      <c r="F82" s="55" t="s">
        <v>23</v>
      </c>
      <c r="G82" s="25" t="s">
        <v>62</v>
      </c>
      <c r="H82" s="161" t="s">
        <v>1349</v>
      </c>
      <c r="I82" s="161"/>
      <c r="J82" s="56" t="s">
        <v>34</v>
      </c>
      <c r="K82" s="57">
        <v>48314</v>
      </c>
      <c r="L82" s="55">
        <v>140</v>
      </c>
      <c r="M82" s="55" t="s">
        <v>42</v>
      </c>
      <c r="N82" s="56" t="s">
        <v>1158</v>
      </c>
      <c r="O82" s="56" t="s">
        <v>20</v>
      </c>
      <c r="P82" s="55">
        <v>320</v>
      </c>
      <c r="Q82" s="25">
        <f t="shared" si="21"/>
        <v>320</v>
      </c>
      <c r="R82" s="191">
        <v>0</v>
      </c>
      <c r="S82" s="192">
        <f t="shared" si="22"/>
        <v>320</v>
      </c>
      <c r="T82" s="193"/>
      <c r="U82" s="193"/>
      <c r="V82" s="192">
        <v>0</v>
      </c>
      <c r="W82" s="192">
        <f t="shared" si="23"/>
        <v>-320</v>
      </c>
      <c r="X82" s="193"/>
      <c r="Y82" s="193"/>
      <c r="Z82" s="194">
        <f t="shared" si="20"/>
        <v>1</v>
      </c>
      <c r="AA82" s="55" t="s">
        <v>31</v>
      </c>
      <c r="AB82" s="162" t="s">
        <v>1385</v>
      </c>
    </row>
    <row r="83" spans="1:28" s="16" customFormat="1" ht="51.75" customHeight="1">
      <c r="A83" s="161"/>
      <c r="B83" s="20">
        <v>46290</v>
      </c>
      <c r="C83" s="20">
        <v>46303</v>
      </c>
      <c r="D83" s="20">
        <v>46305</v>
      </c>
      <c r="E83" s="20">
        <v>46315</v>
      </c>
      <c r="F83" s="55" t="s">
        <v>38</v>
      </c>
      <c r="G83" s="25" t="s">
        <v>105</v>
      </c>
      <c r="H83" s="161"/>
      <c r="I83" s="161"/>
      <c r="J83" s="56" t="s">
        <v>34</v>
      </c>
      <c r="K83" s="57">
        <v>47845</v>
      </c>
      <c r="L83" s="55">
        <v>140</v>
      </c>
      <c r="M83" s="55" t="s">
        <v>26</v>
      </c>
      <c r="N83" s="56" t="s">
        <v>1160</v>
      </c>
      <c r="O83" s="56" t="s">
        <v>20</v>
      </c>
      <c r="P83" s="55">
        <v>500</v>
      </c>
      <c r="Q83" s="25">
        <f t="shared" si="21"/>
        <v>500</v>
      </c>
      <c r="R83" s="191">
        <v>0</v>
      </c>
      <c r="S83" s="192">
        <f t="shared" si="22"/>
        <v>500</v>
      </c>
      <c r="T83" s="193"/>
      <c r="U83" s="193"/>
      <c r="V83" s="192">
        <v>0</v>
      </c>
      <c r="W83" s="192">
        <f t="shared" si="23"/>
        <v>-500</v>
      </c>
      <c r="X83" s="193"/>
      <c r="Y83" s="193"/>
      <c r="Z83" s="194">
        <f t="shared" si="20"/>
        <v>1</v>
      </c>
      <c r="AA83" s="55" t="s">
        <v>138</v>
      </c>
      <c r="AB83" s="162"/>
    </row>
    <row r="84" spans="1:28" s="16" customFormat="1" ht="51.75" customHeight="1">
      <c r="A84" s="161"/>
      <c r="B84" s="20">
        <v>46290</v>
      </c>
      <c r="C84" s="20">
        <v>46303</v>
      </c>
      <c r="D84" s="20">
        <v>46305</v>
      </c>
      <c r="E84" s="20">
        <v>46315</v>
      </c>
      <c r="F84" s="55" t="s">
        <v>38</v>
      </c>
      <c r="G84" s="25" t="s">
        <v>105</v>
      </c>
      <c r="H84" s="161"/>
      <c r="I84" s="161"/>
      <c r="J84" s="56" t="s">
        <v>34</v>
      </c>
      <c r="K84" s="57">
        <v>47845</v>
      </c>
      <c r="L84" s="55">
        <v>140</v>
      </c>
      <c r="M84" s="55" t="s">
        <v>26</v>
      </c>
      <c r="N84" s="56" t="s">
        <v>206</v>
      </c>
      <c r="O84" s="56" t="s">
        <v>20</v>
      </c>
      <c r="P84" s="55">
        <v>410</v>
      </c>
      <c r="Q84" s="25">
        <f t="shared" si="21"/>
        <v>410</v>
      </c>
      <c r="R84" s="191">
        <v>0</v>
      </c>
      <c r="S84" s="192">
        <f t="shared" si="22"/>
        <v>410</v>
      </c>
      <c r="T84" s="193"/>
      <c r="U84" s="193"/>
      <c r="V84" s="192">
        <v>0</v>
      </c>
      <c r="W84" s="192">
        <f t="shared" si="23"/>
        <v>-410</v>
      </c>
      <c r="X84" s="193"/>
      <c r="Y84" s="193"/>
      <c r="Z84" s="194">
        <f t="shared" si="20"/>
        <v>1</v>
      </c>
      <c r="AA84" s="55" t="s">
        <v>138</v>
      </c>
      <c r="AB84" s="162"/>
    </row>
    <row r="85" spans="1:28" s="16" customFormat="1" ht="51.75" customHeight="1">
      <c r="A85" s="161"/>
      <c r="B85" s="20">
        <v>46290</v>
      </c>
      <c r="C85" s="20">
        <v>46303</v>
      </c>
      <c r="D85" s="20">
        <v>46305</v>
      </c>
      <c r="E85" s="20">
        <v>46315</v>
      </c>
      <c r="F85" s="55" t="s">
        <v>23</v>
      </c>
      <c r="G85" s="25" t="s">
        <v>105</v>
      </c>
      <c r="H85" s="161"/>
      <c r="I85" s="161"/>
      <c r="J85" s="56" t="s">
        <v>34</v>
      </c>
      <c r="K85" s="57">
        <v>47845</v>
      </c>
      <c r="L85" s="55">
        <v>140</v>
      </c>
      <c r="M85" s="55" t="s">
        <v>26</v>
      </c>
      <c r="N85" s="56" t="s">
        <v>176</v>
      </c>
      <c r="O85" s="56" t="s">
        <v>20</v>
      </c>
      <c r="P85" s="55">
        <v>280</v>
      </c>
      <c r="Q85" s="25">
        <f t="shared" si="21"/>
        <v>280</v>
      </c>
      <c r="R85" s="191">
        <v>0</v>
      </c>
      <c r="S85" s="192">
        <f t="shared" si="22"/>
        <v>280</v>
      </c>
      <c r="T85" s="193"/>
      <c r="U85" s="193"/>
      <c r="V85" s="192">
        <v>0</v>
      </c>
      <c r="W85" s="192">
        <f t="shared" si="23"/>
        <v>-280</v>
      </c>
      <c r="X85" s="193"/>
      <c r="Y85" s="193"/>
      <c r="Z85" s="194">
        <f t="shared" si="20"/>
        <v>1</v>
      </c>
      <c r="AA85" s="55" t="s">
        <v>138</v>
      </c>
      <c r="AB85" s="162"/>
    </row>
    <row r="86" spans="1:28" s="16" customFormat="1" ht="51.75" customHeight="1">
      <c r="A86" s="161"/>
      <c r="B86" s="20">
        <v>46290</v>
      </c>
      <c r="C86" s="20">
        <v>46303</v>
      </c>
      <c r="D86" s="20">
        <v>46305</v>
      </c>
      <c r="E86" s="20">
        <v>46315</v>
      </c>
      <c r="F86" s="55" t="s">
        <v>23</v>
      </c>
      <c r="G86" s="25" t="s">
        <v>105</v>
      </c>
      <c r="H86" s="161"/>
      <c r="I86" s="161"/>
      <c r="J86" s="56" t="s">
        <v>34</v>
      </c>
      <c r="K86" s="57">
        <v>47846</v>
      </c>
      <c r="L86" s="55">
        <v>140</v>
      </c>
      <c r="M86" s="55" t="s">
        <v>43</v>
      </c>
      <c r="N86" s="56" t="s">
        <v>176</v>
      </c>
      <c r="O86" s="56" t="s">
        <v>20</v>
      </c>
      <c r="P86" s="55">
        <v>545</v>
      </c>
      <c r="Q86" s="25">
        <f t="shared" si="21"/>
        <v>545</v>
      </c>
      <c r="R86" s="191">
        <v>0</v>
      </c>
      <c r="S86" s="192">
        <f t="shared" si="22"/>
        <v>545</v>
      </c>
      <c r="T86" s="193"/>
      <c r="U86" s="193"/>
      <c r="V86" s="192">
        <v>0</v>
      </c>
      <c r="W86" s="192">
        <f t="shared" si="23"/>
        <v>-545</v>
      </c>
      <c r="X86" s="193"/>
      <c r="Y86" s="193"/>
      <c r="Z86" s="194">
        <f t="shared" si="20"/>
        <v>1</v>
      </c>
      <c r="AA86" s="55" t="s">
        <v>138</v>
      </c>
      <c r="AB86" s="162"/>
    </row>
    <row r="87" spans="1:28" s="16" customFormat="1" ht="51.75" customHeight="1">
      <c r="A87" s="161"/>
      <c r="B87" s="20">
        <v>46290</v>
      </c>
      <c r="C87" s="20">
        <v>46303</v>
      </c>
      <c r="D87" s="20">
        <v>46305</v>
      </c>
      <c r="E87" s="20">
        <v>46315</v>
      </c>
      <c r="F87" s="55" t="s">
        <v>25</v>
      </c>
      <c r="G87" s="25" t="s">
        <v>105</v>
      </c>
      <c r="H87" s="161"/>
      <c r="I87" s="161"/>
      <c r="J87" s="56" t="s">
        <v>34</v>
      </c>
      <c r="K87" s="57">
        <v>47846</v>
      </c>
      <c r="L87" s="55">
        <v>140</v>
      </c>
      <c r="M87" s="55" t="s">
        <v>43</v>
      </c>
      <c r="N87" s="56" t="s">
        <v>1161</v>
      </c>
      <c r="O87" s="56" t="s">
        <v>20</v>
      </c>
      <c r="P87" s="55">
        <v>445</v>
      </c>
      <c r="Q87" s="25">
        <f t="shared" si="21"/>
        <v>445</v>
      </c>
      <c r="R87" s="191">
        <v>0</v>
      </c>
      <c r="S87" s="192">
        <f t="shared" si="22"/>
        <v>445</v>
      </c>
      <c r="T87" s="193"/>
      <c r="U87" s="193"/>
      <c r="V87" s="192">
        <v>0</v>
      </c>
      <c r="W87" s="192">
        <f t="shared" si="23"/>
        <v>-445</v>
      </c>
      <c r="X87" s="193"/>
      <c r="Y87" s="193"/>
      <c r="Z87" s="194">
        <f t="shared" si="20"/>
        <v>1</v>
      </c>
      <c r="AA87" s="55" t="s">
        <v>138</v>
      </c>
      <c r="AB87" s="162"/>
    </row>
    <row r="88" spans="1:28" s="16" customFormat="1" ht="51.75" customHeight="1">
      <c r="A88" s="161"/>
      <c r="B88" s="20">
        <v>46290</v>
      </c>
      <c r="C88" s="20">
        <v>46303</v>
      </c>
      <c r="D88" s="20">
        <v>46305</v>
      </c>
      <c r="E88" s="20">
        <v>46315</v>
      </c>
      <c r="F88" s="55" t="s">
        <v>25</v>
      </c>
      <c r="G88" s="25" t="s">
        <v>105</v>
      </c>
      <c r="H88" s="161"/>
      <c r="I88" s="161"/>
      <c r="J88" s="56" t="s">
        <v>34</v>
      </c>
      <c r="K88" s="57">
        <v>47846</v>
      </c>
      <c r="L88" s="55">
        <v>140</v>
      </c>
      <c r="M88" s="55" t="s">
        <v>43</v>
      </c>
      <c r="N88" s="56" t="s">
        <v>101</v>
      </c>
      <c r="O88" s="56" t="s">
        <v>20</v>
      </c>
      <c r="P88" s="55">
        <v>295</v>
      </c>
      <c r="Q88" s="25">
        <f t="shared" si="21"/>
        <v>295</v>
      </c>
      <c r="R88" s="191">
        <v>0</v>
      </c>
      <c r="S88" s="192">
        <f t="shared" si="22"/>
        <v>295</v>
      </c>
      <c r="T88" s="193"/>
      <c r="U88" s="193"/>
      <c r="V88" s="192">
        <v>0</v>
      </c>
      <c r="W88" s="192">
        <f t="shared" si="23"/>
        <v>-295</v>
      </c>
      <c r="X88" s="193"/>
      <c r="Y88" s="193"/>
      <c r="Z88" s="194">
        <f t="shared" si="20"/>
        <v>1</v>
      </c>
      <c r="AA88" s="55" t="s">
        <v>138</v>
      </c>
      <c r="AB88" s="162"/>
    </row>
    <row r="89" spans="1:28" s="16" customFormat="1" ht="51.75" customHeight="1">
      <c r="A89" s="161"/>
      <c r="B89" s="20">
        <v>46291</v>
      </c>
      <c r="C89" s="18">
        <v>46307</v>
      </c>
      <c r="D89" s="53">
        <v>46308</v>
      </c>
      <c r="E89" s="20">
        <v>46315</v>
      </c>
      <c r="F89" s="55" t="s">
        <v>38</v>
      </c>
      <c r="G89" s="25" t="s">
        <v>62</v>
      </c>
      <c r="H89" s="161" t="s">
        <v>1349</v>
      </c>
      <c r="I89" s="161"/>
      <c r="J89" s="56" t="s">
        <v>18</v>
      </c>
      <c r="K89" s="140">
        <v>48909</v>
      </c>
      <c r="L89" s="17">
        <v>250</v>
      </c>
      <c r="M89" s="17" t="s">
        <v>45</v>
      </c>
      <c r="N89" s="52" t="s">
        <v>1259</v>
      </c>
      <c r="O89" s="52" t="s">
        <v>1260</v>
      </c>
      <c r="P89" s="17">
        <v>740</v>
      </c>
      <c r="Q89" s="25">
        <f t="shared" si="21"/>
        <v>740</v>
      </c>
      <c r="R89" s="191">
        <v>0</v>
      </c>
      <c r="S89" s="192">
        <f t="shared" si="22"/>
        <v>740</v>
      </c>
      <c r="T89" s="193"/>
      <c r="U89" s="193"/>
      <c r="V89" s="192">
        <v>0</v>
      </c>
      <c r="W89" s="192">
        <f t="shared" si="23"/>
        <v>-740</v>
      </c>
      <c r="X89" s="193"/>
      <c r="Y89" s="193"/>
      <c r="Z89" s="194">
        <f t="shared" si="20"/>
        <v>1</v>
      </c>
      <c r="AA89" s="55" t="s">
        <v>127</v>
      </c>
      <c r="AB89" s="162" t="s">
        <v>1386</v>
      </c>
    </row>
    <row r="90" spans="1:28" s="16" customFormat="1" ht="51.75" customHeight="1">
      <c r="A90" s="161"/>
      <c r="B90" s="20">
        <v>46291</v>
      </c>
      <c r="C90" s="18">
        <v>46307</v>
      </c>
      <c r="D90" s="53">
        <v>46308</v>
      </c>
      <c r="E90" s="20">
        <v>46315</v>
      </c>
      <c r="F90" s="55" t="s">
        <v>38</v>
      </c>
      <c r="G90" s="25" t="s">
        <v>62</v>
      </c>
      <c r="H90" s="161" t="s">
        <v>1349</v>
      </c>
      <c r="I90" s="161"/>
      <c r="J90" s="56" t="s">
        <v>18</v>
      </c>
      <c r="K90" s="140">
        <v>48909</v>
      </c>
      <c r="L90" s="17">
        <v>250</v>
      </c>
      <c r="M90" s="17" t="s">
        <v>45</v>
      </c>
      <c r="N90" s="52" t="s">
        <v>1261</v>
      </c>
      <c r="O90" s="52" t="s">
        <v>1260</v>
      </c>
      <c r="P90" s="17">
        <v>183</v>
      </c>
      <c r="Q90" s="25">
        <f t="shared" si="21"/>
        <v>183</v>
      </c>
      <c r="R90" s="191">
        <v>0</v>
      </c>
      <c r="S90" s="192">
        <f t="shared" si="22"/>
        <v>183</v>
      </c>
      <c r="T90" s="193"/>
      <c r="U90" s="193"/>
      <c r="V90" s="192">
        <v>0</v>
      </c>
      <c r="W90" s="192">
        <f t="shared" si="23"/>
        <v>-183</v>
      </c>
      <c r="X90" s="193"/>
      <c r="Y90" s="193"/>
      <c r="Z90" s="194">
        <f t="shared" si="20"/>
        <v>1</v>
      </c>
      <c r="AA90" s="55" t="s">
        <v>127</v>
      </c>
      <c r="AB90" s="162" t="s">
        <v>1386</v>
      </c>
    </row>
    <row r="91" spans="1:28" s="16" customFormat="1" ht="51.75" customHeight="1">
      <c r="A91" s="161"/>
      <c r="B91" s="144">
        <v>46289</v>
      </c>
      <c r="C91" s="118">
        <v>46301</v>
      </c>
      <c r="D91" s="224">
        <v>46299</v>
      </c>
      <c r="E91" s="144">
        <v>46314</v>
      </c>
      <c r="F91" s="55" t="s">
        <v>23</v>
      </c>
      <c r="G91" s="25" t="s">
        <v>99</v>
      </c>
      <c r="H91" s="161"/>
      <c r="I91" s="161"/>
      <c r="J91" s="56" t="s">
        <v>1262</v>
      </c>
      <c r="K91" s="244">
        <v>48735</v>
      </c>
      <c r="L91" s="17">
        <v>160</v>
      </c>
      <c r="M91" s="17" t="s">
        <v>122</v>
      </c>
      <c r="N91" s="56" t="s">
        <v>46</v>
      </c>
      <c r="O91" s="56" t="s">
        <v>1263</v>
      </c>
      <c r="P91" s="55">
        <f>6684-1788</f>
        <v>4896</v>
      </c>
      <c r="Q91" s="25">
        <f t="shared" si="21"/>
        <v>4896</v>
      </c>
      <c r="R91" s="191">
        <v>0</v>
      </c>
      <c r="S91" s="192">
        <f t="shared" si="22"/>
        <v>4896</v>
      </c>
      <c r="T91" s="193"/>
      <c r="U91" s="193"/>
      <c r="V91" s="192">
        <v>0</v>
      </c>
      <c r="W91" s="192">
        <f t="shared" si="23"/>
        <v>-4896</v>
      </c>
      <c r="X91" s="193"/>
      <c r="Y91" s="193"/>
      <c r="Z91" s="194">
        <f t="shared" si="20"/>
        <v>1</v>
      </c>
      <c r="AA91" s="55" t="s">
        <v>1264</v>
      </c>
      <c r="AB91" s="162"/>
    </row>
    <row r="92" spans="1:28" s="16" customFormat="1" ht="51.75" customHeight="1">
      <c r="A92" s="161"/>
      <c r="B92" s="144">
        <v>46289</v>
      </c>
      <c r="C92" s="118">
        <v>46301</v>
      </c>
      <c r="D92" s="224">
        <v>46299</v>
      </c>
      <c r="E92" s="144">
        <v>46314</v>
      </c>
      <c r="F92" s="55" t="s">
        <v>23</v>
      </c>
      <c r="G92" s="25" t="s">
        <v>99</v>
      </c>
      <c r="H92" s="161"/>
      <c r="I92" s="161"/>
      <c r="J92" s="56" t="s">
        <v>1262</v>
      </c>
      <c r="K92" s="244">
        <v>48735</v>
      </c>
      <c r="L92" s="17">
        <v>160</v>
      </c>
      <c r="M92" s="17" t="s">
        <v>47</v>
      </c>
      <c r="N92" s="56" t="s">
        <v>46</v>
      </c>
      <c r="O92" s="56" t="s">
        <v>1263</v>
      </c>
      <c r="P92" s="55">
        <f>3686-3358</f>
        <v>328</v>
      </c>
      <c r="Q92" s="25">
        <f t="shared" si="21"/>
        <v>328</v>
      </c>
      <c r="R92" s="191">
        <v>0</v>
      </c>
      <c r="S92" s="192">
        <f t="shared" si="22"/>
        <v>328</v>
      </c>
      <c r="T92" s="193"/>
      <c r="U92" s="193"/>
      <c r="V92" s="192">
        <v>0</v>
      </c>
      <c r="W92" s="192">
        <f t="shared" si="23"/>
        <v>-328</v>
      </c>
      <c r="X92" s="193"/>
      <c r="Y92" s="193"/>
      <c r="Z92" s="194">
        <f t="shared" si="20"/>
        <v>1</v>
      </c>
      <c r="AA92" s="55" t="s">
        <v>1264</v>
      </c>
      <c r="AB92" s="162"/>
    </row>
    <row r="93" spans="1:28" s="16" customFormat="1" ht="51.75" customHeight="1">
      <c r="A93" s="161"/>
      <c r="B93" s="20">
        <v>46296</v>
      </c>
      <c r="C93" s="18">
        <v>46310</v>
      </c>
      <c r="D93" s="53">
        <v>46310</v>
      </c>
      <c r="E93" s="20">
        <v>46315</v>
      </c>
      <c r="F93" s="55" t="s">
        <v>25</v>
      </c>
      <c r="G93" s="25" t="s">
        <v>105</v>
      </c>
      <c r="H93" s="161" t="s">
        <v>1350</v>
      </c>
      <c r="I93" s="161"/>
      <c r="J93" s="56" t="s">
        <v>18</v>
      </c>
      <c r="K93" s="140">
        <v>48829</v>
      </c>
      <c r="L93" s="17">
        <v>180</v>
      </c>
      <c r="M93" s="17" t="s">
        <v>35</v>
      </c>
      <c r="N93" s="52" t="s">
        <v>1149</v>
      </c>
      <c r="O93" s="52" t="s">
        <v>306</v>
      </c>
      <c r="P93" s="17">
        <v>37</v>
      </c>
      <c r="Q93" s="25">
        <f t="shared" si="21"/>
        <v>-1</v>
      </c>
      <c r="R93" s="191">
        <f>38</f>
        <v>38</v>
      </c>
      <c r="S93" s="192">
        <f t="shared" si="22"/>
        <v>-1</v>
      </c>
      <c r="T93" s="193">
        <v>3757</v>
      </c>
      <c r="U93" s="193" t="s">
        <v>1398</v>
      </c>
      <c r="V93" s="192">
        <v>0</v>
      </c>
      <c r="W93" s="192">
        <f t="shared" si="23"/>
        <v>-37</v>
      </c>
      <c r="X93" s="193"/>
      <c r="Y93" s="193"/>
      <c r="Z93" s="194">
        <f t="shared" si="20"/>
        <v>1</v>
      </c>
      <c r="AA93" s="55" t="s">
        <v>51</v>
      </c>
      <c r="AB93" s="162" t="s">
        <v>1357</v>
      </c>
    </row>
    <row r="94" spans="1:28" s="16" customFormat="1" ht="51.75" customHeight="1">
      <c r="A94" s="161"/>
      <c r="B94" s="20">
        <v>46296</v>
      </c>
      <c r="C94" s="18">
        <v>46307</v>
      </c>
      <c r="D94" s="53">
        <v>46310</v>
      </c>
      <c r="E94" s="20">
        <v>46315</v>
      </c>
      <c r="F94" s="55" t="s">
        <v>23</v>
      </c>
      <c r="G94" s="25" t="s">
        <v>105</v>
      </c>
      <c r="H94" s="161" t="s">
        <v>1349</v>
      </c>
      <c r="I94" s="161"/>
      <c r="J94" s="56" t="s">
        <v>18</v>
      </c>
      <c r="K94" s="140">
        <v>48793</v>
      </c>
      <c r="L94" s="17">
        <v>220</v>
      </c>
      <c r="M94" s="17" t="s">
        <v>122</v>
      </c>
      <c r="N94" s="52" t="s">
        <v>321</v>
      </c>
      <c r="O94" s="52" t="s">
        <v>737</v>
      </c>
      <c r="P94" s="17">
        <v>71</v>
      </c>
      <c r="Q94" s="25">
        <f t="shared" si="21"/>
        <v>71</v>
      </c>
      <c r="R94" s="191">
        <v>0</v>
      </c>
      <c r="S94" s="192">
        <f t="shared" si="22"/>
        <v>71</v>
      </c>
      <c r="T94" s="193"/>
      <c r="U94" s="193"/>
      <c r="V94" s="192">
        <v>0</v>
      </c>
      <c r="W94" s="192">
        <f t="shared" si="23"/>
        <v>-71</v>
      </c>
      <c r="X94" s="193"/>
      <c r="Y94" s="193"/>
      <c r="Z94" s="194">
        <f t="shared" si="20"/>
        <v>1</v>
      </c>
      <c r="AA94" s="55" t="s">
        <v>179</v>
      </c>
      <c r="AB94" s="162" t="s">
        <v>1354</v>
      </c>
    </row>
    <row r="95" spans="1:28" s="16" customFormat="1" ht="51.75" customHeight="1">
      <c r="A95" s="161"/>
      <c r="B95" s="20">
        <v>46296</v>
      </c>
      <c r="C95" s="18">
        <v>46307</v>
      </c>
      <c r="D95" s="53">
        <v>46310</v>
      </c>
      <c r="E95" s="20">
        <v>46315</v>
      </c>
      <c r="F95" s="55" t="s">
        <v>23</v>
      </c>
      <c r="G95" s="25" t="s">
        <v>105</v>
      </c>
      <c r="H95" s="161" t="s">
        <v>1349</v>
      </c>
      <c r="I95" s="161"/>
      <c r="J95" s="56" t="s">
        <v>18</v>
      </c>
      <c r="K95" s="140">
        <v>48793</v>
      </c>
      <c r="L95" s="17">
        <v>220</v>
      </c>
      <c r="M95" s="17" t="s">
        <v>122</v>
      </c>
      <c r="N95" s="52" t="s">
        <v>1147</v>
      </c>
      <c r="O95" s="52" t="s">
        <v>737</v>
      </c>
      <c r="P95" s="17">
        <v>102</v>
      </c>
      <c r="Q95" s="25">
        <f t="shared" ref="Q95:Q114" si="24">P95-R95</f>
        <v>102</v>
      </c>
      <c r="R95" s="191">
        <v>0</v>
      </c>
      <c r="S95" s="192">
        <f t="shared" ref="S95:S114" si="25">P95-R95</f>
        <v>102</v>
      </c>
      <c r="T95" s="193"/>
      <c r="U95" s="193"/>
      <c r="V95" s="192">
        <v>0</v>
      </c>
      <c r="W95" s="192">
        <f t="shared" ref="W95:W114" si="26">+V95-P95</f>
        <v>-102</v>
      </c>
      <c r="X95" s="193"/>
      <c r="Y95" s="193"/>
      <c r="Z95" s="194">
        <f t="shared" si="20"/>
        <v>1</v>
      </c>
      <c r="AA95" s="55" t="s">
        <v>179</v>
      </c>
      <c r="AB95" s="162"/>
    </row>
    <row r="96" spans="1:28" s="16" customFormat="1" ht="51.75" customHeight="1">
      <c r="A96" s="161"/>
      <c r="B96" s="20">
        <v>46296</v>
      </c>
      <c r="C96" s="18">
        <v>46305</v>
      </c>
      <c r="D96" s="53">
        <v>46307</v>
      </c>
      <c r="E96" s="20">
        <v>46314</v>
      </c>
      <c r="F96" s="55" t="s">
        <v>23</v>
      </c>
      <c r="G96" s="25" t="s">
        <v>105</v>
      </c>
      <c r="H96" s="161" t="s">
        <v>1349</v>
      </c>
      <c r="I96" s="161"/>
      <c r="J96" s="56" t="s">
        <v>18</v>
      </c>
      <c r="K96" s="140">
        <v>48794</v>
      </c>
      <c r="L96" s="17">
        <v>220</v>
      </c>
      <c r="M96" s="17" t="s">
        <v>122</v>
      </c>
      <c r="N96" s="52" t="s">
        <v>321</v>
      </c>
      <c r="O96" s="52" t="s">
        <v>737</v>
      </c>
      <c r="P96" s="17">
        <v>111</v>
      </c>
      <c r="Q96" s="25">
        <f t="shared" si="24"/>
        <v>111</v>
      </c>
      <c r="R96" s="191">
        <v>0</v>
      </c>
      <c r="S96" s="192">
        <f t="shared" si="25"/>
        <v>111</v>
      </c>
      <c r="T96" s="193"/>
      <c r="U96" s="193"/>
      <c r="V96" s="192">
        <v>0</v>
      </c>
      <c r="W96" s="192">
        <f t="shared" si="26"/>
        <v>-111</v>
      </c>
      <c r="X96" s="193"/>
      <c r="Y96" s="193"/>
      <c r="Z96" s="194">
        <f t="shared" si="20"/>
        <v>1</v>
      </c>
      <c r="AA96" s="55" t="s">
        <v>179</v>
      </c>
      <c r="AB96" s="162"/>
    </row>
    <row r="97" spans="1:28" s="16" customFormat="1" ht="51.75" customHeight="1">
      <c r="A97" s="161"/>
      <c r="B97" s="20">
        <v>46296</v>
      </c>
      <c r="C97" s="18">
        <v>46305</v>
      </c>
      <c r="D97" s="53">
        <v>46307</v>
      </c>
      <c r="E97" s="20">
        <v>46314</v>
      </c>
      <c r="F97" s="55" t="s">
        <v>23</v>
      </c>
      <c r="G97" s="25" t="s">
        <v>105</v>
      </c>
      <c r="H97" s="161" t="s">
        <v>1349</v>
      </c>
      <c r="I97" s="161"/>
      <c r="J97" s="56" t="s">
        <v>18</v>
      </c>
      <c r="K97" s="140">
        <v>48794</v>
      </c>
      <c r="L97" s="17">
        <v>220</v>
      </c>
      <c r="M97" s="17" t="s">
        <v>122</v>
      </c>
      <c r="N97" s="52" t="s">
        <v>1147</v>
      </c>
      <c r="O97" s="52" t="s">
        <v>737</v>
      </c>
      <c r="P97" s="17">
        <v>158</v>
      </c>
      <c r="Q97" s="25">
        <f t="shared" si="24"/>
        <v>158</v>
      </c>
      <c r="R97" s="191">
        <v>0</v>
      </c>
      <c r="S97" s="192">
        <f t="shared" si="25"/>
        <v>158</v>
      </c>
      <c r="T97" s="193"/>
      <c r="U97" s="193"/>
      <c r="V97" s="192">
        <v>0</v>
      </c>
      <c r="W97" s="192">
        <f t="shared" si="26"/>
        <v>-158</v>
      </c>
      <c r="X97" s="193"/>
      <c r="Y97" s="193"/>
      <c r="Z97" s="194">
        <f t="shared" si="20"/>
        <v>1</v>
      </c>
      <c r="AA97" s="55" t="s">
        <v>179</v>
      </c>
      <c r="AB97" s="162"/>
    </row>
    <row r="98" spans="1:28" s="16" customFormat="1" ht="51.75" customHeight="1">
      <c r="A98" s="161"/>
      <c r="B98" s="20">
        <v>46296</v>
      </c>
      <c r="C98" s="18">
        <v>46307</v>
      </c>
      <c r="D98" s="53">
        <v>46307</v>
      </c>
      <c r="E98" s="20">
        <v>46314</v>
      </c>
      <c r="F98" s="55" t="s">
        <v>25</v>
      </c>
      <c r="G98" s="25" t="s">
        <v>105</v>
      </c>
      <c r="H98" s="161" t="s">
        <v>1349</v>
      </c>
      <c r="I98" s="161"/>
      <c r="J98" s="56" t="s">
        <v>18</v>
      </c>
      <c r="K98" s="140">
        <v>48798</v>
      </c>
      <c r="L98" s="17">
        <v>240</v>
      </c>
      <c r="M98" s="17" t="s">
        <v>35</v>
      </c>
      <c r="N98" s="52" t="s">
        <v>129</v>
      </c>
      <c r="O98" s="52" t="s">
        <v>661</v>
      </c>
      <c r="P98" s="17">
        <v>147</v>
      </c>
      <c r="Q98" s="25">
        <f t="shared" si="24"/>
        <v>147</v>
      </c>
      <c r="R98" s="191">
        <v>0</v>
      </c>
      <c r="S98" s="192">
        <f t="shared" si="25"/>
        <v>147</v>
      </c>
      <c r="T98" s="193"/>
      <c r="U98" s="193"/>
      <c r="V98" s="192">
        <v>0</v>
      </c>
      <c r="W98" s="192">
        <f t="shared" si="26"/>
        <v>-147</v>
      </c>
      <c r="X98" s="193"/>
      <c r="Y98" s="193"/>
      <c r="Z98" s="194">
        <f t="shared" si="20"/>
        <v>1</v>
      </c>
      <c r="AA98" s="55" t="s">
        <v>179</v>
      </c>
      <c r="AB98" s="162"/>
    </row>
    <row r="99" spans="1:28" s="16" customFormat="1" ht="51.75" customHeight="1">
      <c r="A99" s="161"/>
      <c r="B99" s="20">
        <v>46296</v>
      </c>
      <c r="C99" s="18">
        <v>46307</v>
      </c>
      <c r="D99" s="53">
        <v>46307</v>
      </c>
      <c r="E99" s="20">
        <v>46314</v>
      </c>
      <c r="F99" s="55" t="s">
        <v>23</v>
      </c>
      <c r="G99" s="25" t="s">
        <v>105</v>
      </c>
      <c r="H99" s="161" t="s">
        <v>1349</v>
      </c>
      <c r="I99" s="161"/>
      <c r="J99" s="56" t="s">
        <v>18</v>
      </c>
      <c r="K99" s="140">
        <v>48798</v>
      </c>
      <c r="L99" s="17">
        <v>240</v>
      </c>
      <c r="M99" s="17" t="s">
        <v>35</v>
      </c>
      <c r="N99" s="52" t="s">
        <v>126</v>
      </c>
      <c r="O99" s="52" t="s">
        <v>661</v>
      </c>
      <c r="P99" s="17">
        <v>227</v>
      </c>
      <c r="Q99" s="25">
        <f t="shared" si="24"/>
        <v>227</v>
      </c>
      <c r="R99" s="191">
        <v>0</v>
      </c>
      <c r="S99" s="192">
        <f t="shared" si="25"/>
        <v>227</v>
      </c>
      <c r="T99" s="193"/>
      <c r="U99" s="193"/>
      <c r="V99" s="192">
        <v>0</v>
      </c>
      <c r="W99" s="192">
        <f t="shared" si="26"/>
        <v>-227</v>
      </c>
      <c r="X99" s="193"/>
      <c r="Y99" s="193"/>
      <c r="Z99" s="194">
        <f t="shared" si="20"/>
        <v>1</v>
      </c>
      <c r="AA99" s="55" t="s">
        <v>179</v>
      </c>
      <c r="AB99" s="162" t="s">
        <v>1353</v>
      </c>
    </row>
    <row r="100" spans="1:28" s="16" customFormat="1" ht="51.75" customHeight="1">
      <c r="A100" s="161"/>
      <c r="B100" s="20">
        <v>46296</v>
      </c>
      <c r="C100" s="18">
        <v>46305</v>
      </c>
      <c r="D100" s="53">
        <v>46307</v>
      </c>
      <c r="E100" s="20">
        <v>46312</v>
      </c>
      <c r="F100" s="55" t="s">
        <v>23</v>
      </c>
      <c r="G100" s="25" t="s">
        <v>105</v>
      </c>
      <c r="H100" s="161" t="s">
        <v>1349</v>
      </c>
      <c r="I100" s="161"/>
      <c r="J100" s="56" t="s">
        <v>18</v>
      </c>
      <c r="K100" s="140">
        <v>48799</v>
      </c>
      <c r="L100" s="17">
        <v>240</v>
      </c>
      <c r="M100" s="17" t="s">
        <v>35</v>
      </c>
      <c r="N100" s="52" t="s">
        <v>126</v>
      </c>
      <c r="O100" s="52" t="s">
        <v>53</v>
      </c>
      <c r="P100" s="17">
        <v>171</v>
      </c>
      <c r="Q100" s="25">
        <f t="shared" si="24"/>
        <v>171</v>
      </c>
      <c r="R100" s="191">
        <v>0</v>
      </c>
      <c r="S100" s="192">
        <f t="shared" si="25"/>
        <v>171</v>
      </c>
      <c r="T100" s="193"/>
      <c r="U100" s="193"/>
      <c r="V100" s="192">
        <v>0</v>
      </c>
      <c r="W100" s="192">
        <f t="shared" si="26"/>
        <v>-171</v>
      </c>
      <c r="X100" s="193"/>
      <c r="Y100" s="193"/>
      <c r="Z100" s="194">
        <f t="shared" si="20"/>
        <v>1</v>
      </c>
      <c r="AA100" s="55" t="s">
        <v>179</v>
      </c>
      <c r="AB100" s="162" t="s">
        <v>1352</v>
      </c>
    </row>
    <row r="101" spans="1:28" s="16" customFormat="1" ht="51.75" customHeight="1">
      <c r="A101" s="161"/>
      <c r="B101" s="20">
        <v>46296</v>
      </c>
      <c r="C101" s="18">
        <v>46305</v>
      </c>
      <c r="D101" s="53">
        <v>46307</v>
      </c>
      <c r="E101" s="20">
        <v>46312</v>
      </c>
      <c r="F101" s="55" t="s">
        <v>23</v>
      </c>
      <c r="G101" s="25" t="s">
        <v>62</v>
      </c>
      <c r="H101" s="161"/>
      <c r="I101" s="161"/>
      <c r="J101" s="56" t="s">
        <v>18</v>
      </c>
      <c r="K101" s="140">
        <v>48881</v>
      </c>
      <c r="L101" s="17">
        <v>220</v>
      </c>
      <c r="M101" s="17" t="s">
        <v>122</v>
      </c>
      <c r="N101" s="52" t="s">
        <v>1272</v>
      </c>
      <c r="O101" s="52" t="s">
        <v>55</v>
      </c>
      <c r="P101" s="17">
        <v>141</v>
      </c>
      <c r="Q101" s="25">
        <f t="shared" si="24"/>
        <v>141</v>
      </c>
      <c r="R101" s="191">
        <v>0</v>
      </c>
      <c r="S101" s="192">
        <f t="shared" si="25"/>
        <v>141</v>
      </c>
      <c r="T101" s="193"/>
      <c r="U101" s="193"/>
      <c r="V101" s="192">
        <v>0</v>
      </c>
      <c r="W101" s="192">
        <f t="shared" si="26"/>
        <v>-141</v>
      </c>
      <c r="X101" s="193"/>
      <c r="Y101" s="193"/>
      <c r="Z101" s="194">
        <f t="shared" si="20"/>
        <v>1</v>
      </c>
      <c r="AA101" s="55" t="s">
        <v>29</v>
      </c>
      <c r="AB101" s="162"/>
    </row>
    <row r="102" spans="1:28" s="16" customFormat="1" ht="51.75" customHeight="1">
      <c r="A102" s="161"/>
      <c r="B102" s="20">
        <v>46296</v>
      </c>
      <c r="C102" s="18">
        <v>46305</v>
      </c>
      <c r="D102" s="53">
        <v>46307</v>
      </c>
      <c r="E102" s="20">
        <v>46312</v>
      </c>
      <c r="F102" s="55" t="s">
        <v>23</v>
      </c>
      <c r="G102" s="25" t="s">
        <v>62</v>
      </c>
      <c r="H102" s="161"/>
      <c r="I102" s="161"/>
      <c r="J102" s="56" t="s">
        <v>18</v>
      </c>
      <c r="K102" s="140">
        <v>48881</v>
      </c>
      <c r="L102" s="17">
        <v>220</v>
      </c>
      <c r="M102" s="17" t="s">
        <v>122</v>
      </c>
      <c r="N102" s="52" t="s">
        <v>1273</v>
      </c>
      <c r="O102" s="52" t="s">
        <v>55</v>
      </c>
      <c r="P102" s="17">
        <v>155</v>
      </c>
      <c r="Q102" s="25">
        <f t="shared" si="24"/>
        <v>155</v>
      </c>
      <c r="R102" s="191">
        <v>0</v>
      </c>
      <c r="S102" s="192">
        <f t="shared" si="25"/>
        <v>155</v>
      </c>
      <c r="T102" s="193"/>
      <c r="U102" s="193"/>
      <c r="V102" s="192">
        <v>0</v>
      </c>
      <c r="W102" s="192">
        <f t="shared" si="26"/>
        <v>-155</v>
      </c>
      <c r="X102" s="193"/>
      <c r="Y102" s="193"/>
      <c r="Z102" s="194">
        <f t="shared" si="20"/>
        <v>1</v>
      </c>
      <c r="AA102" s="55" t="s">
        <v>29</v>
      </c>
      <c r="AB102" s="162"/>
    </row>
    <row r="103" spans="1:28" s="16" customFormat="1" ht="51.75" customHeight="1">
      <c r="A103" s="161"/>
      <c r="B103" s="20">
        <v>46296</v>
      </c>
      <c r="C103" s="18">
        <v>46310</v>
      </c>
      <c r="D103" s="53">
        <v>46305</v>
      </c>
      <c r="E103" s="20">
        <v>46311</v>
      </c>
      <c r="F103" s="55" t="s">
        <v>25</v>
      </c>
      <c r="G103" s="25" t="s">
        <v>62</v>
      </c>
      <c r="H103" s="161"/>
      <c r="I103" s="161"/>
      <c r="J103" s="56" t="s">
        <v>18</v>
      </c>
      <c r="K103" s="140">
        <v>48935</v>
      </c>
      <c r="L103" s="17">
        <v>150</v>
      </c>
      <c r="M103" s="17" t="s">
        <v>19</v>
      </c>
      <c r="N103" s="52" t="s">
        <v>1274</v>
      </c>
      <c r="O103" s="52" t="s">
        <v>20</v>
      </c>
      <c r="P103" s="17">
        <v>197</v>
      </c>
      <c r="Q103" s="25">
        <f t="shared" si="24"/>
        <v>197</v>
      </c>
      <c r="R103" s="191">
        <v>0</v>
      </c>
      <c r="S103" s="192">
        <f t="shared" si="25"/>
        <v>197</v>
      </c>
      <c r="T103" s="193"/>
      <c r="U103" s="193"/>
      <c r="V103" s="192">
        <v>0</v>
      </c>
      <c r="W103" s="192">
        <f t="shared" si="26"/>
        <v>-197</v>
      </c>
      <c r="X103" s="193"/>
      <c r="Y103" s="193"/>
      <c r="Z103" s="194">
        <f t="shared" si="20"/>
        <v>1</v>
      </c>
      <c r="AA103" s="55" t="s">
        <v>39</v>
      </c>
      <c r="AB103" s="162"/>
    </row>
    <row r="104" spans="1:28" s="16" customFormat="1" ht="51.75" customHeight="1">
      <c r="A104" s="161"/>
      <c r="B104" s="20">
        <v>46296</v>
      </c>
      <c r="C104" s="18">
        <v>46305</v>
      </c>
      <c r="D104" s="53">
        <v>46308</v>
      </c>
      <c r="E104" s="20">
        <v>46314</v>
      </c>
      <c r="F104" s="55" t="s">
        <v>23</v>
      </c>
      <c r="G104" s="25" t="s">
        <v>62</v>
      </c>
      <c r="H104" s="161"/>
      <c r="I104" s="161"/>
      <c r="J104" s="56" t="s">
        <v>18</v>
      </c>
      <c r="K104" s="140" t="s">
        <v>1271</v>
      </c>
      <c r="L104" s="17">
        <v>240</v>
      </c>
      <c r="M104" s="17" t="s">
        <v>56</v>
      </c>
      <c r="N104" s="52" t="s">
        <v>165</v>
      </c>
      <c r="O104" s="52" t="s">
        <v>41</v>
      </c>
      <c r="P104" s="17">
        <v>170</v>
      </c>
      <c r="Q104" s="25">
        <f t="shared" si="24"/>
        <v>170</v>
      </c>
      <c r="R104" s="191">
        <v>0</v>
      </c>
      <c r="S104" s="192">
        <f t="shared" si="25"/>
        <v>170</v>
      </c>
      <c r="T104" s="193"/>
      <c r="U104" s="193"/>
      <c r="V104" s="192">
        <v>0</v>
      </c>
      <c r="W104" s="192">
        <f t="shared" si="26"/>
        <v>-170</v>
      </c>
      <c r="X104" s="193"/>
      <c r="Y104" s="193"/>
      <c r="Z104" s="194">
        <f t="shared" si="20"/>
        <v>1</v>
      </c>
      <c r="AA104" s="55" t="s">
        <v>39</v>
      </c>
      <c r="AB104" s="162"/>
    </row>
    <row r="105" spans="1:28" s="16" customFormat="1" ht="51.75" customHeight="1">
      <c r="A105" s="161"/>
      <c r="B105" s="20">
        <v>46296</v>
      </c>
      <c r="C105" s="18">
        <v>46305</v>
      </c>
      <c r="D105" s="53">
        <v>46309</v>
      </c>
      <c r="E105" s="20">
        <v>46315</v>
      </c>
      <c r="F105" s="55" t="s">
        <v>23</v>
      </c>
      <c r="G105" s="25" t="s">
        <v>99</v>
      </c>
      <c r="H105" s="161"/>
      <c r="I105" s="161"/>
      <c r="J105" s="56" t="s">
        <v>162</v>
      </c>
      <c r="K105" s="141">
        <v>48678</v>
      </c>
      <c r="L105" s="17">
        <v>180</v>
      </c>
      <c r="M105" s="17" t="s">
        <v>35</v>
      </c>
      <c r="N105" s="52" t="s">
        <v>1279</v>
      </c>
      <c r="O105" s="52" t="s">
        <v>52</v>
      </c>
      <c r="P105" s="17">
        <v>95</v>
      </c>
      <c r="Q105" s="25">
        <f t="shared" si="24"/>
        <v>95</v>
      </c>
      <c r="R105" s="191">
        <v>0</v>
      </c>
      <c r="S105" s="192">
        <f t="shared" si="25"/>
        <v>95</v>
      </c>
      <c r="T105" s="193"/>
      <c r="U105" s="193"/>
      <c r="V105" s="192">
        <v>0</v>
      </c>
      <c r="W105" s="192">
        <f t="shared" si="26"/>
        <v>-95</v>
      </c>
      <c r="X105" s="193"/>
      <c r="Y105" s="193"/>
      <c r="Z105" s="194">
        <f t="shared" si="20"/>
        <v>1</v>
      </c>
      <c r="AA105" s="55" t="s">
        <v>69</v>
      </c>
      <c r="AB105" s="162" t="s">
        <v>1370</v>
      </c>
    </row>
    <row r="106" spans="1:28" s="16" customFormat="1" ht="51.75" customHeight="1">
      <c r="A106" s="161"/>
      <c r="B106" s="144">
        <v>46296</v>
      </c>
      <c r="C106" s="118">
        <v>46309</v>
      </c>
      <c r="D106" s="224">
        <v>46305</v>
      </c>
      <c r="E106" s="144">
        <v>46312</v>
      </c>
      <c r="F106" s="55" t="s">
        <v>23</v>
      </c>
      <c r="G106" s="25" t="s">
        <v>99</v>
      </c>
      <c r="H106" s="161"/>
      <c r="I106" s="161"/>
      <c r="J106" s="56" t="s">
        <v>1262</v>
      </c>
      <c r="K106" s="244">
        <v>48733</v>
      </c>
      <c r="L106" s="17">
        <v>160</v>
      </c>
      <c r="M106" s="17" t="s">
        <v>35</v>
      </c>
      <c r="N106" s="52" t="s">
        <v>46</v>
      </c>
      <c r="O106" s="52" t="s">
        <v>1280</v>
      </c>
      <c r="P106" s="17">
        <v>525</v>
      </c>
      <c r="Q106" s="25">
        <f t="shared" si="24"/>
        <v>525</v>
      </c>
      <c r="R106" s="191">
        <v>0</v>
      </c>
      <c r="S106" s="192">
        <f t="shared" si="25"/>
        <v>525</v>
      </c>
      <c r="T106" s="193"/>
      <c r="U106" s="193"/>
      <c r="V106" s="192">
        <v>0</v>
      </c>
      <c r="W106" s="192">
        <f t="shared" si="26"/>
        <v>-525</v>
      </c>
      <c r="X106" s="193"/>
      <c r="Y106" s="193"/>
      <c r="Z106" s="194">
        <f t="shared" si="20"/>
        <v>1</v>
      </c>
      <c r="AA106" s="55" t="s">
        <v>1264</v>
      </c>
      <c r="AB106" s="162"/>
    </row>
    <row r="107" spans="1:28" s="16" customFormat="1" ht="51.75" customHeight="1">
      <c r="A107" s="161"/>
      <c r="B107" s="20">
        <v>46287</v>
      </c>
      <c r="C107" s="53">
        <v>46300</v>
      </c>
      <c r="D107" s="53">
        <v>46301</v>
      </c>
      <c r="E107" s="53">
        <v>46307</v>
      </c>
      <c r="F107" s="17" t="s">
        <v>25</v>
      </c>
      <c r="G107" s="25" t="s">
        <v>105</v>
      </c>
      <c r="H107" s="161" t="s">
        <v>1349</v>
      </c>
      <c r="I107" s="161"/>
      <c r="J107" s="52" t="s">
        <v>18</v>
      </c>
      <c r="K107" s="260">
        <v>48757</v>
      </c>
      <c r="L107" s="17">
        <v>150</v>
      </c>
      <c r="M107" s="17" t="s">
        <v>19</v>
      </c>
      <c r="N107" s="52" t="s">
        <v>1145</v>
      </c>
      <c r="O107" s="52" t="s">
        <v>20</v>
      </c>
      <c r="P107" s="17">
        <v>421</v>
      </c>
      <c r="Q107" s="25">
        <f t="shared" si="24"/>
        <v>6</v>
      </c>
      <c r="R107" s="191">
        <f>415</f>
        <v>415</v>
      </c>
      <c r="S107" s="192">
        <f t="shared" si="25"/>
        <v>6</v>
      </c>
      <c r="T107" s="193">
        <v>3751</v>
      </c>
      <c r="U107" s="193" t="s">
        <v>1363</v>
      </c>
      <c r="V107" s="192">
        <v>0</v>
      </c>
      <c r="W107" s="192">
        <f t="shared" si="26"/>
        <v>-421</v>
      </c>
      <c r="X107" s="193"/>
      <c r="Y107" s="193"/>
      <c r="Z107" s="194">
        <f t="shared" si="20"/>
        <v>1</v>
      </c>
      <c r="AA107" s="52" t="s">
        <v>24</v>
      </c>
      <c r="AB107" s="162" t="s">
        <v>1362</v>
      </c>
    </row>
    <row r="108" spans="1:28" s="16" customFormat="1" ht="51.75" customHeight="1">
      <c r="A108" s="161"/>
      <c r="B108" s="20">
        <v>46287</v>
      </c>
      <c r="C108" s="53">
        <v>46300</v>
      </c>
      <c r="D108" s="53">
        <v>46301</v>
      </c>
      <c r="E108" s="53">
        <v>46307</v>
      </c>
      <c r="F108" s="17" t="s">
        <v>25</v>
      </c>
      <c r="G108" s="25" t="s">
        <v>105</v>
      </c>
      <c r="H108" s="161" t="s">
        <v>1349</v>
      </c>
      <c r="I108" s="161"/>
      <c r="J108" s="52" t="s">
        <v>18</v>
      </c>
      <c r="K108" s="260">
        <v>48757</v>
      </c>
      <c r="L108" s="17">
        <v>150</v>
      </c>
      <c r="M108" s="17" t="s">
        <v>19</v>
      </c>
      <c r="N108" s="52" t="s">
        <v>129</v>
      </c>
      <c r="O108" s="52" t="s">
        <v>20</v>
      </c>
      <c r="P108" s="17">
        <v>421</v>
      </c>
      <c r="Q108" s="25">
        <f t="shared" si="24"/>
        <v>421</v>
      </c>
      <c r="R108" s="191">
        <v>0</v>
      </c>
      <c r="S108" s="192">
        <f t="shared" si="25"/>
        <v>421</v>
      </c>
      <c r="T108" s="193"/>
      <c r="U108" s="193"/>
      <c r="V108" s="192">
        <v>0</v>
      </c>
      <c r="W108" s="192">
        <f t="shared" si="26"/>
        <v>-421</v>
      </c>
      <c r="X108" s="193"/>
      <c r="Y108" s="193"/>
      <c r="Z108" s="194">
        <f t="shared" si="20"/>
        <v>1</v>
      </c>
      <c r="AA108" s="52" t="s">
        <v>24</v>
      </c>
      <c r="AB108" s="162" t="s">
        <v>1362</v>
      </c>
    </row>
    <row r="109" spans="1:28" s="16" customFormat="1" ht="51.75" customHeight="1">
      <c r="A109" s="161"/>
      <c r="B109" s="21"/>
      <c r="C109" s="21"/>
      <c r="D109" s="21"/>
      <c r="E109" s="21"/>
      <c r="F109" s="43"/>
      <c r="G109" s="25"/>
      <c r="H109" s="161"/>
      <c r="I109" s="161"/>
      <c r="J109" s="56"/>
      <c r="K109" s="57"/>
      <c r="L109" s="45"/>
      <c r="M109" s="45"/>
      <c r="N109" s="45"/>
      <c r="O109" s="45"/>
      <c r="P109" s="45">
        <v>0</v>
      </c>
      <c r="Q109" s="25">
        <f t="shared" si="24"/>
        <v>0</v>
      </c>
      <c r="R109" s="191">
        <v>0</v>
      </c>
      <c r="S109" s="192">
        <f t="shared" si="25"/>
        <v>0</v>
      </c>
      <c r="T109" s="193"/>
      <c r="U109" s="193"/>
      <c r="V109" s="192">
        <v>0</v>
      </c>
      <c r="W109" s="192">
        <f t="shared" si="26"/>
        <v>0</v>
      </c>
      <c r="X109" s="193"/>
      <c r="Y109" s="193"/>
      <c r="Z109" s="194" t="e">
        <f t="shared" si="20"/>
        <v>#DIV/0!</v>
      </c>
      <c r="AA109" s="44"/>
      <c r="AB109" s="162"/>
    </row>
    <row r="110" spans="1:28" s="16" customFormat="1" ht="51.75" customHeight="1">
      <c r="A110" s="161"/>
      <c r="B110" s="21"/>
      <c r="C110" s="21"/>
      <c r="D110" s="21"/>
      <c r="E110" s="21"/>
      <c r="F110" s="43"/>
      <c r="G110" s="25"/>
      <c r="H110" s="161"/>
      <c r="I110" s="161"/>
      <c r="J110" s="56"/>
      <c r="K110" s="57"/>
      <c r="L110" s="45"/>
      <c r="M110" s="45"/>
      <c r="N110" s="45"/>
      <c r="O110" s="45"/>
      <c r="P110" s="45">
        <v>0</v>
      </c>
      <c r="Q110" s="25">
        <f t="shared" si="24"/>
        <v>0</v>
      </c>
      <c r="R110" s="191">
        <v>0</v>
      </c>
      <c r="S110" s="192">
        <f t="shared" si="25"/>
        <v>0</v>
      </c>
      <c r="T110" s="193"/>
      <c r="U110" s="193"/>
      <c r="V110" s="192">
        <v>0</v>
      </c>
      <c r="W110" s="192">
        <f t="shared" si="26"/>
        <v>0</v>
      </c>
      <c r="X110" s="193"/>
      <c r="Y110" s="193"/>
      <c r="Z110" s="194" t="e">
        <f t="shared" si="20"/>
        <v>#DIV/0!</v>
      </c>
      <c r="AA110" s="44"/>
      <c r="AB110" s="162"/>
    </row>
    <row r="111" spans="1:28" s="16" customFormat="1" ht="51.75" customHeight="1">
      <c r="A111" s="161"/>
      <c r="B111" s="21"/>
      <c r="C111" s="21"/>
      <c r="D111" s="21"/>
      <c r="E111" s="21"/>
      <c r="F111" s="43"/>
      <c r="G111" s="25"/>
      <c r="H111" s="161"/>
      <c r="I111" s="161"/>
      <c r="J111" s="56"/>
      <c r="K111" s="57"/>
      <c r="L111" s="45"/>
      <c r="M111" s="45"/>
      <c r="N111" s="45"/>
      <c r="O111" s="45"/>
      <c r="P111" s="45">
        <v>0</v>
      </c>
      <c r="Q111" s="25">
        <f t="shared" si="24"/>
        <v>0</v>
      </c>
      <c r="R111" s="191">
        <v>0</v>
      </c>
      <c r="S111" s="192">
        <f t="shared" si="25"/>
        <v>0</v>
      </c>
      <c r="T111" s="193"/>
      <c r="U111" s="193"/>
      <c r="V111" s="192">
        <v>0</v>
      </c>
      <c r="W111" s="192">
        <f t="shared" si="26"/>
        <v>0</v>
      </c>
      <c r="X111" s="193"/>
      <c r="Y111" s="193"/>
      <c r="Z111" s="194" t="e">
        <f t="shared" si="20"/>
        <v>#DIV/0!</v>
      </c>
      <c r="AA111" s="44"/>
      <c r="AB111" s="162"/>
    </row>
    <row r="112" spans="1:28" s="16" customFormat="1" ht="51.75" customHeight="1">
      <c r="A112" s="161"/>
      <c r="B112" s="21"/>
      <c r="C112" s="21"/>
      <c r="D112" s="21"/>
      <c r="E112" s="21"/>
      <c r="F112" s="43"/>
      <c r="G112" s="25"/>
      <c r="H112" s="161"/>
      <c r="I112" s="161"/>
      <c r="J112" s="56"/>
      <c r="K112" s="57"/>
      <c r="L112" s="45"/>
      <c r="M112" s="45"/>
      <c r="N112" s="45"/>
      <c r="O112" s="45"/>
      <c r="P112" s="45">
        <v>0</v>
      </c>
      <c r="Q112" s="25">
        <f t="shared" si="24"/>
        <v>0</v>
      </c>
      <c r="R112" s="191">
        <v>0</v>
      </c>
      <c r="S112" s="192">
        <f t="shared" si="25"/>
        <v>0</v>
      </c>
      <c r="T112" s="193"/>
      <c r="U112" s="193"/>
      <c r="V112" s="192">
        <v>0</v>
      </c>
      <c r="W112" s="192">
        <f t="shared" si="26"/>
        <v>0</v>
      </c>
      <c r="X112" s="193"/>
      <c r="Y112" s="193"/>
      <c r="Z112" s="194" t="e">
        <f t="shared" si="20"/>
        <v>#DIV/0!</v>
      </c>
      <c r="AA112" s="44"/>
      <c r="AB112" s="162"/>
    </row>
    <row r="113" spans="1:28" s="16" customFormat="1" ht="51.75" customHeight="1">
      <c r="A113" s="161"/>
      <c r="B113" s="21"/>
      <c r="C113" s="21"/>
      <c r="D113" s="21"/>
      <c r="E113" s="21"/>
      <c r="F113" s="43"/>
      <c r="G113" s="25"/>
      <c r="H113" s="161"/>
      <c r="I113" s="161"/>
      <c r="J113" s="56"/>
      <c r="K113" s="57"/>
      <c r="L113" s="45"/>
      <c r="M113" s="45"/>
      <c r="N113" s="45"/>
      <c r="O113" s="45"/>
      <c r="P113" s="45">
        <v>0</v>
      </c>
      <c r="Q113" s="25">
        <f t="shared" si="24"/>
        <v>0</v>
      </c>
      <c r="R113" s="191">
        <v>0</v>
      </c>
      <c r="S113" s="192">
        <f t="shared" si="25"/>
        <v>0</v>
      </c>
      <c r="T113" s="193"/>
      <c r="U113" s="193"/>
      <c r="V113" s="192">
        <v>0</v>
      </c>
      <c r="W113" s="192">
        <f t="shared" si="26"/>
        <v>0</v>
      </c>
      <c r="X113" s="193"/>
      <c r="Y113" s="193"/>
      <c r="Z113" s="194" t="e">
        <f t="shared" si="20"/>
        <v>#DIV/0!</v>
      </c>
      <c r="AA113" s="44"/>
      <c r="AB113" s="162"/>
    </row>
    <row r="114" spans="1:28" s="16" customFormat="1" ht="51.75" customHeight="1">
      <c r="A114" s="161"/>
      <c r="B114" s="21"/>
      <c r="C114" s="21"/>
      <c r="D114" s="21"/>
      <c r="E114" s="21"/>
      <c r="F114" s="43"/>
      <c r="G114" s="25"/>
      <c r="H114" s="161"/>
      <c r="I114" s="161"/>
      <c r="J114" s="56"/>
      <c r="K114" s="57"/>
      <c r="L114" s="45"/>
      <c r="M114" s="45"/>
      <c r="N114" s="45"/>
      <c r="O114" s="45"/>
      <c r="P114" s="45">
        <v>0</v>
      </c>
      <c r="Q114" s="25">
        <f t="shared" si="24"/>
        <v>0</v>
      </c>
      <c r="R114" s="191">
        <v>0</v>
      </c>
      <c r="S114" s="192">
        <f t="shared" si="25"/>
        <v>0</v>
      </c>
      <c r="T114" s="193"/>
      <c r="U114" s="193"/>
      <c r="V114" s="192">
        <v>0</v>
      </c>
      <c r="W114" s="192">
        <f t="shared" si="26"/>
        <v>0</v>
      </c>
      <c r="X114" s="193"/>
      <c r="Y114" s="193"/>
      <c r="Z114" s="194" t="e">
        <f t="shared" si="20"/>
        <v>#DIV/0!</v>
      </c>
      <c r="AA114" s="44"/>
      <c r="AB114" s="162"/>
    </row>
    <row r="115" spans="1:28" s="16" customFormat="1" ht="51.75" customHeight="1">
      <c r="A115" s="161"/>
      <c r="B115" s="21"/>
      <c r="C115" s="21"/>
      <c r="D115" s="21"/>
      <c r="E115" s="21"/>
      <c r="F115" s="43"/>
      <c r="G115" s="25"/>
      <c r="H115" s="161"/>
      <c r="I115" s="161"/>
      <c r="J115" s="56"/>
      <c r="K115" s="57"/>
      <c r="L115" s="45"/>
      <c r="M115" s="45"/>
      <c r="N115" s="45"/>
      <c r="O115" s="45"/>
      <c r="P115" s="45">
        <v>0</v>
      </c>
      <c r="Q115" s="25">
        <f t="shared" si="21"/>
        <v>0</v>
      </c>
      <c r="R115" s="191">
        <v>0</v>
      </c>
      <c r="S115" s="192">
        <f t="shared" si="22"/>
        <v>0</v>
      </c>
      <c r="T115" s="193"/>
      <c r="U115" s="193"/>
      <c r="V115" s="192">
        <v>0</v>
      </c>
      <c r="W115" s="192">
        <f t="shared" si="23"/>
        <v>0</v>
      </c>
      <c r="X115" s="193"/>
      <c r="Y115" s="193"/>
      <c r="Z115" s="194" t="e">
        <f t="shared" si="20"/>
        <v>#DIV/0!</v>
      </c>
      <c r="AA115" s="44"/>
      <c r="AB115" s="162"/>
    </row>
    <row r="116" spans="1:28" s="16" customFormat="1" ht="51.75" customHeight="1">
      <c r="A116" s="161"/>
      <c r="B116" s="21"/>
      <c r="C116" s="21"/>
      <c r="D116" s="21"/>
      <c r="E116" s="21"/>
      <c r="F116" s="43"/>
      <c r="G116" s="25"/>
      <c r="H116" s="161"/>
      <c r="I116" s="161"/>
      <c r="J116" s="56"/>
      <c r="K116" s="57"/>
      <c r="L116" s="45"/>
      <c r="M116" s="45"/>
      <c r="N116" s="45"/>
      <c r="O116" s="45"/>
      <c r="P116" s="45">
        <v>0</v>
      </c>
      <c r="Q116" s="25">
        <f t="shared" si="21"/>
        <v>0</v>
      </c>
      <c r="R116" s="191">
        <v>0</v>
      </c>
      <c r="S116" s="192">
        <f t="shared" si="22"/>
        <v>0</v>
      </c>
      <c r="T116" s="193"/>
      <c r="U116" s="193"/>
      <c r="V116" s="192">
        <v>0</v>
      </c>
      <c r="W116" s="192">
        <f t="shared" si="23"/>
        <v>0</v>
      </c>
      <c r="X116" s="193"/>
      <c r="Y116" s="193"/>
      <c r="Z116" s="194" t="e">
        <f t="shared" si="20"/>
        <v>#DIV/0!</v>
      </c>
      <c r="AA116" s="44"/>
      <c r="AB116" s="162"/>
    </row>
    <row r="117" spans="1:28" ht="35.25" customHeight="1">
      <c r="A117" s="161"/>
      <c r="B117" s="21"/>
      <c r="C117" s="21"/>
      <c r="D117" s="21"/>
      <c r="E117" s="21"/>
      <c r="F117" s="43"/>
      <c r="G117" s="25"/>
      <c r="H117" s="161"/>
      <c r="I117" s="161"/>
      <c r="J117" s="162"/>
      <c r="K117" s="162"/>
      <c r="L117" s="45"/>
      <c r="M117" s="45"/>
      <c r="N117" s="45"/>
      <c r="O117" s="45"/>
      <c r="P117" s="45">
        <f>SUM(P38:P116)</f>
        <v>23799</v>
      </c>
      <c r="Q117" s="45">
        <f t="shared" ref="Q117:S117" si="27">SUM(Q38:Q116)</f>
        <v>15631</v>
      </c>
      <c r="R117" s="45">
        <f t="shared" si="27"/>
        <v>8168</v>
      </c>
      <c r="S117" s="45">
        <f t="shared" si="27"/>
        <v>15631</v>
      </c>
      <c r="T117" s="142"/>
      <c r="U117" s="142"/>
      <c r="V117" s="45">
        <f>SUM(V38:V116)</f>
        <v>2895</v>
      </c>
      <c r="W117" s="45">
        <f>SUM(W38:W116)</f>
        <v>-20904</v>
      </c>
      <c r="X117" s="142">
        <f>SUM(X78:X116)</f>
        <v>2185</v>
      </c>
      <c r="Y117" s="142">
        <f>SUM(Y78:Y116)</f>
        <v>0</v>
      </c>
      <c r="Z117" s="142" t="e">
        <f>SUM(Z75:Z116)</f>
        <v>#DIV/0!</v>
      </c>
      <c r="AA117" s="44"/>
      <c r="AB117" s="162"/>
    </row>
    <row r="118" spans="1:28" ht="20.25">
      <c r="A118" s="345" t="s">
        <v>1119</v>
      </c>
      <c r="B118" s="346"/>
      <c r="C118" s="346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  <c r="Y118" s="346"/>
      <c r="Z118" s="346"/>
      <c r="AA118" s="346"/>
      <c r="AB118" s="346"/>
    </row>
    <row r="119" spans="1:28" ht="83.25">
      <c r="A119" s="196" t="s">
        <v>1</v>
      </c>
      <c r="B119" s="25" t="s">
        <v>140</v>
      </c>
      <c r="C119" s="25" t="s">
        <v>141</v>
      </c>
      <c r="D119" s="25" t="s">
        <v>142</v>
      </c>
      <c r="E119" s="25" t="s">
        <v>143</v>
      </c>
      <c r="F119" s="199" t="s">
        <v>115</v>
      </c>
      <c r="G119" s="196" t="s">
        <v>117</v>
      </c>
      <c r="H119" s="196"/>
      <c r="I119" s="196" t="s">
        <v>2</v>
      </c>
      <c r="J119" s="196" t="s">
        <v>3</v>
      </c>
      <c r="K119" s="196" t="s">
        <v>4</v>
      </c>
      <c r="L119" s="197" t="s">
        <v>5</v>
      </c>
      <c r="M119" s="198" t="s">
        <v>6</v>
      </c>
      <c r="N119" s="196" t="s">
        <v>7</v>
      </c>
      <c r="O119" s="198" t="s">
        <v>8</v>
      </c>
      <c r="P119" s="198" t="s">
        <v>9</v>
      </c>
      <c r="Q119" s="198" t="s">
        <v>10</v>
      </c>
      <c r="R119" s="198" t="s">
        <v>11</v>
      </c>
      <c r="S119" s="198" t="s">
        <v>12</v>
      </c>
      <c r="T119" s="198" t="s">
        <v>119</v>
      </c>
      <c r="U119" s="198" t="s">
        <v>13</v>
      </c>
      <c r="V119" s="198" t="s">
        <v>14</v>
      </c>
      <c r="W119" s="198" t="s">
        <v>15</v>
      </c>
      <c r="X119" s="196" t="s">
        <v>119</v>
      </c>
      <c r="Y119" s="198" t="s">
        <v>118</v>
      </c>
      <c r="Z119" s="201" t="s">
        <v>16</v>
      </c>
      <c r="AA119" s="200" t="s">
        <v>48</v>
      </c>
      <c r="AB119" s="161" t="s">
        <v>17</v>
      </c>
    </row>
    <row r="120" spans="1:28" s="16" customFormat="1" ht="51.75" customHeight="1">
      <c r="A120" s="161"/>
      <c r="B120" s="20">
        <v>46290</v>
      </c>
      <c r="C120" s="20">
        <v>46307</v>
      </c>
      <c r="D120" s="20">
        <v>46312</v>
      </c>
      <c r="E120" s="20">
        <v>46322</v>
      </c>
      <c r="F120" s="55" t="s">
        <v>38</v>
      </c>
      <c r="G120" s="25" t="s">
        <v>105</v>
      </c>
      <c r="H120" s="161"/>
      <c r="I120" s="161"/>
      <c r="J120" s="56" t="s">
        <v>18</v>
      </c>
      <c r="K120" s="140">
        <v>48106</v>
      </c>
      <c r="L120" s="55">
        <v>160</v>
      </c>
      <c r="M120" s="55" t="s">
        <v>47</v>
      </c>
      <c r="N120" s="56" t="s">
        <v>1139</v>
      </c>
      <c r="O120" s="56" t="s">
        <v>20</v>
      </c>
      <c r="P120" s="55">
        <v>174</v>
      </c>
      <c r="Q120" s="25">
        <f t="shared" ref="Q120:Q182" si="28">P120-R120</f>
        <v>-5</v>
      </c>
      <c r="R120" s="191">
        <f>179</f>
        <v>179</v>
      </c>
      <c r="S120" s="192">
        <f t="shared" ref="S120:S182" si="29">P120-R120</f>
        <v>-5</v>
      </c>
      <c r="T120" s="193">
        <v>2196</v>
      </c>
      <c r="U120" s="193" t="s">
        <v>1310</v>
      </c>
      <c r="V120" s="192">
        <v>0</v>
      </c>
      <c r="W120" s="192">
        <f t="shared" ref="W120:W182" si="30">+V120-P120</f>
        <v>-174</v>
      </c>
      <c r="X120" s="193"/>
      <c r="Y120" s="193"/>
      <c r="Z120" s="194">
        <f t="shared" ref="Z120:Z182" si="31">(P120-V120)*100/P120/100</f>
        <v>1</v>
      </c>
      <c r="AA120" s="55" t="s">
        <v>128</v>
      </c>
      <c r="AB120" s="162" t="s">
        <v>1301</v>
      </c>
    </row>
    <row r="121" spans="1:28" s="16" customFormat="1" ht="51.75" customHeight="1">
      <c r="A121" s="161"/>
      <c r="B121" s="20">
        <v>46290</v>
      </c>
      <c r="C121" s="20">
        <v>46307</v>
      </c>
      <c r="D121" s="20">
        <v>46312</v>
      </c>
      <c r="E121" s="20">
        <v>46322</v>
      </c>
      <c r="F121" s="55" t="s">
        <v>121</v>
      </c>
      <c r="G121" s="25" t="s">
        <v>105</v>
      </c>
      <c r="H121" s="161"/>
      <c r="I121" s="161"/>
      <c r="J121" s="56" t="s">
        <v>18</v>
      </c>
      <c r="K121" s="140">
        <v>48106</v>
      </c>
      <c r="L121" s="55">
        <v>160</v>
      </c>
      <c r="M121" s="55" t="s">
        <v>47</v>
      </c>
      <c r="N121" s="56" t="s">
        <v>1140</v>
      </c>
      <c r="O121" s="56" t="s">
        <v>20</v>
      </c>
      <c r="P121" s="55">
        <v>196</v>
      </c>
      <c r="Q121" s="25">
        <f t="shared" si="28"/>
        <v>196</v>
      </c>
      <c r="R121" s="191">
        <v>0</v>
      </c>
      <c r="S121" s="192">
        <f t="shared" si="29"/>
        <v>196</v>
      </c>
      <c r="T121" s="193"/>
      <c r="U121" s="193"/>
      <c r="V121" s="192">
        <v>0</v>
      </c>
      <c r="W121" s="192">
        <f t="shared" si="30"/>
        <v>-196</v>
      </c>
      <c r="X121" s="193"/>
      <c r="Y121" s="193"/>
      <c r="Z121" s="194">
        <f t="shared" si="31"/>
        <v>1</v>
      </c>
      <c r="AA121" s="55" t="s">
        <v>128</v>
      </c>
      <c r="AB121" s="162" t="s">
        <v>1301</v>
      </c>
    </row>
    <row r="122" spans="1:28" s="16" customFormat="1" ht="51.75" customHeight="1">
      <c r="A122" s="161"/>
      <c r="B122" s="20">
        <v>46290</v>
      </c>
      <c r="C122" s="20">
        <v>46307</v>
      </c>
      <c r="D122" s="20">
        <v>46312</v>
      </c>
      <c r="E122" s="20">
        <v>46322</v>
      </c>
      <c r="F122" s="55" t="s">
        <v>121</v>
      </c>
      <c r="G122" s="25" t="s">
        <v>105</v>
      </c>
      <c r="H122" s="161"/>
      <c r="I122" s="161"/>
      <c r="J122" s="56" t="s">
        <v>18</v>
      </c>
      <c r="K122" s="140">
        <v>48106</v>
      </c>
      <c r="L122" s="55">
        <v>160</v>
      </c>
      <c r="M122" s="55" t="s">
        <v>47</v>
      </c>
      <c r="N122" s="56" t="s">
        <v>883</v>
      </c>
      <c r="O122" s="56" t="s">
        <v>20</v>
      </c>
      <c r="P122" s="55">
        <v>126</v>
      </c>
      <c r="Q122" s="25">
        <f t="shared" si="28"/>
        <v>126</v>
      </c>
      <c r="R122" s="191">
        <v>0</v>
      </c>
      <c r="S122" s="192">
        <f t="shared" si="29"/>
        <v>126</v>
      </c>
      <c r="T122" s="193"/>
      <c r="U122" s="193"/>
      <c r="V122" s="192">
        <v>0</v>
      </c>
      <c r="W122" s="192">
        <f t="shared" si="30"/>
        <v>-126</v>
      </c>
      <c r="X122" s="193"/>
      <c r="Y122" s="193"/>
      <c r="Z122" s="194">
        <f t="shared" si="31"/>
        <v>1</v>
      </c>
      <c r="AA122" s="55" t="s">
        <v>128</v>
      </c>
      <c r="AB122" s="162" t="s">
        <v>1301</v>
      </c>
    </row>
    <row r="123" spans="1:28" s="16" customFormat="1" ht="51.75" customHeight="1">
      <c r="A123" s="161"/>
      <c r="B123" s="20">
        <v>46292</v>
      </c>
      <c r="C123" s="20">
        <v>46313</v>
      </c>
      <c r="D123" s="20">
        <v>46310</v>
      </c>
      <c r="E123" s="20">
        <v>46325</v>
      </c>
      <c r="F123" s="55" t="s">
        <v>25</v>
      </c>
      <c r="G123" s="25" t="s">
        <v>105</v>
      </c>
      <c r="H123" s="161" t="s">
        <v>1350</v>
      </c>
      <c r="I123" s="161"/>
      <c r="J123" s="56" t="s">
        <v>18</v>
      </c>
      <c r="K123" s="140" t="s">
        <v>1142</v>
      </c>
      <c r="L123" s="55">
        <v>150</v>
      </c>
      <c r="M123" s="55" t="s">
        <v>19</v>
      </c>
      <c r="N123" s="56" t="s">
        <v>1143</v>
      </c>
      <c r="O123" s="56" t="s">
        <v>1144</v>
      </c>
      <c r="P123" s="55">
        <v>775</v>
      </c>
      <c r="Q123" s="25">
        <f t="shared" si="28"/>
        <v>109</v>
      </c>
      <c r="R123" s="191">
        <f>666</f>
        <v>666</v>
      </c>
      <c r="S123" s="192">
        <f t="shared" si="29"/>
        <v>109</v>
      </c>
      <c r="T123" s="193">
        <v>3757</v>
      </c>
      <c r="U123" s="193" t="s">
        <v>1398</v>
      </c>
      <c r="V123" s="192">
        <v>0</v>
      </c>
      <c r="W123" s="192">
        <f t="shared" si="30"/>
        <v>-775</v>
      </c>
      <c r="X123" s="193"/>
      <c r="Y123" s="193"/>
      <c r="Z123" s="194">
        <f t="shared" si="31"/>
        <v>1</v>
      </c>
      <c r="AA123" s="55" t="s">
        <v>39</v>
      </c>
      <c r="AB123" s="162" t="s">
        <v>1362</v>
      </c>
    </row>
    <row r="124" spans="1:28" s="16" customFormat="1" ht="51.75" customHeight="1">
      <c r="A124" s="161"/>
      <c r="B124" s="20">
        <v>46292</v>
      </c>
      <c r="C124" s="20">
        <v>46313</v>
      </c>
      <c r="D124" s="20">
        <v>46310</v>
      </c>
      <c r="E124" s="20">
        <v>46325</v>
      </c>
      <c r="F124" s="55" t="s">
        <v>25</v>
      </c>
      <c r="G124" s="25" t="s">
        <v>105</v>
      </c>
      <c r="H124" s="161" t="s">
        <v>1350</v>
      </c>
      <c r="I124" s="161"/>
      <c r="J124" s="56" t="s">
        <v>18</v>
      </c>
      <c r="K124" s="140" t="s">
        <v>1142</v>
      </c>
      <c r="L124" s="55">
        <v>150</v>
      </c>
      <c r="M124" s="55" t="s">
        <v>19</v>
      </c>
      <c r="N124" s="56" t="s">
        <v>59</v>
      </c>
      <c r="O124" s="56" t="s">
        <v>1144</v>
      </c>
      <c r="P124" s="55">
        <v>478</v>
      </c>
      <c r="Q124" s="25">
        <f t="shared" si="28"/>
        <v>478</v>
      </c>
      <c r="R124" s="191">
        <v>0</v>
      </c>
      <c r="S124" s="192">
        <f t="shared" si="29"/>
        <v>478</v>
      </c>
      <c r="T124" s="193"/>
      <c r="U124" s="193"/>
      <c r="V124" s="192">
        <v>0</v>
      </c>
      <c r="W124" s="192">
        <f t="shared" si="30"/>
        <v>-478</v>
      </c>
      <c r="X124" s="193"/>
      <c r="Y124" s="193"/>
      <c r="Z124" s="194">
        <f t="shared" si="31"/>
        <v>1</v>
      </c>
      <c r="AA124" s="55" t="s">
        <v>39</v>
      </c>
      <c r="AB124" s="162" t="s">
        <v>1362</v>
      </c>
    </row>
    <row r="125" spans="1:28" s="16" customFormat="1" ht="51.75" customHeight="1">
      <c r="A125" s="161"/>
      <c r="B125" s="20">
        <v>46292</v>
      </c>
      <c r="C125" s="20">
        <v>46313</v>
      </c>
      <c r="D125" s="20">
        <v>46310</v>
      </c>
      <c r="E125" s="20">
        <v>46325</v>
      </c>
      <c r="F125" s="55" t="s">
        <v>25</v>
      </c>
      <c r="G125" s="25" t="s">
        <v>105</v>
      </c>
      <c r="H125" s="161" t="s">
        <v>1349</v>
      </c>
      <c r="I125" s="161"/>
      <c r="J125" s="56" t="s">
        <v>18</v>
      </c>
      <c r="K125" s="140" t="s">
        <v>1142</v>
      </c>
      <c r="L125" s="55">
        <v>150</v>
      </c>
      <c r="M125" s="55" t="s">
        <v>19</v>
      </c>
      <c r="N125" s="56" t="s">
        <v>1145</v>
      </c>
      <c r="O125" s="56" t="s">
        <v>1144</v>
      </c>
      <c r="P125" s="55">
        <v>1072</v>
      </c>
      <c r="Q125" s="25">
        <f t="shared" si="28"/>
        <v>1072</v>
      </c>
      <c r="R125" s="191">
        <v>0</v>
      </c>
      <c r="S125" s="192">
        <f t="shared" si="29"/>
        <v>1072</v>
      </c>
      <c r="T125" s="193"/>
      <c r="U125" s="193"/>
      <c r="V125" s="192">
        <v>0</v>
      </c>
      <c r="W125" s="192">
        <f t="shared" si="30"/>
        <v>-1072</v>
      </c>
      <c r="X125" s="193"/>
      <c r="Y125" s="193"/>
      <c r="Z125" s="194">
        <f t="shared" si="31"/>
        <v>1</v>
      </c>
      <c r="AA125" s="55" t="s">
        <v>39</v>
      </c>
      <c r="AB125" s="162" t="s">
        <v>1362</v>
      </c>
    </row>
    <row r="126" spans="1:28" s="16" customFormat="1" ht="51.75" customHeight="1">
      <c r="A126" s="161"/>
      <c r="B126" s="20">
        <v>46292</v>
      </c>
      <c r="C126" s="20">
        <v>46313</v>
      </c>
      <c r="D126" s="20">
        <v>46310</v>
      </c>
      <c r="E126" s="20">
        <v>46325</v>
      </c>
      <c r="F126" s="55" t="s">
        <v>25</v>
      </c>
      <c r="G126" s="25" t="s">
        <v>105</v>
      </c>
      <c r="H126" s="161" t="s">
        <v>1349</v>
      </c>
      <c r="I126" s="161"/>
      <c r="J126" s="56" t="s">
        <v>18</v>
      </c>
      <c r="K126" s="140" t="s">
        <v>1142</v>
      </c>
      <c r="L126" s="55">
        <v>150</v>
      </c>
      <c r="M126" s="55" t="s">
        <v>19</v>
      </c>
      <c r="N126" s="56" t="s">
        <v>1146</v>
      </c>
      <c r="O126" s="56" t="s">
        <v>1144</v>
      </c>
      <c r="P126" s="55">
        <v>1323</v>
      </c>
      <c r="Q126" s="25">
        <f t="shared" si="28"/>
        <v>1323</v>
      </c>
      <c r="R126" s="191">
        <v>0</v>
      </c>
      <c r="S126" s="192">
        <f t="shared" si="29"/>
        <v>1323</v>
      </c>
      <c r="T126" s="193"/>
      <c r="U126" s="193"/>
      <c r="V126" s="192">
        <v>0</v>
      </c>
      <c r="W126" s="192">
        <f t="shared" si="30"/>
        <v>-1323</v>
      </c>
      <c r="X126" s="193"/>
      <c r="Y126" s="193"/>
      <c r="Z126" s="194">
        <f t="shared" si="31"/>
        <v>1</v>
      </c>
      <c r="AA126" s="55" t="s">
        <v>39</v>
      </c>
      <c r="AB126" s="162" t="s">
        <v>1362</v>
      </c>
    </row>
    <row r="127" spans="1:28" s="16" customFormat="1" ht="51.75" customHeight="1">
      <c r="A127" s="161"/>
      <c r="B127" s="20">
        <v>46289</v>
      </c>
      <c r="C127" s="20">
        <v>46304</v>
      </c>
      <c r="D127" s="20">
        <v>46305</v>
      </c>
      <c r="E127" s="20">
        <v>46316</v>
      </c>
      <c r="F127" s="55" t="s">
        <v>23</v>
      </c>
      <c r="G127" s="161" t="s">
        <v>62</v>
      </c>
      <c r="H127" s="161" t="s">
        <v>1349</v>
      </c>
      <c r="I127" s="161"/>
      <c r="J127" s="56" t="s">
        <v>34</v>
      </c>
      <c r="K127" s="57">
        <v>48313</v>
      </c>
      <c r="L127" s="55">
        <v>140</v>
      </c>
      <c r="M127" s="55" t="s">
        <v>35</v>
      </c>
      <c r="N127" s="56" t="s">
        <v>1154</v>
      </c>
      <c r="O127" s="56" t="s">
        <v>20</v>
      </c>
      <c r="P127" s="55">
        <v>742</v>
      </c>
      <c r="Q127" s="25">
        <f t="shared" si="28"/>
        <v>742</v>
      </c>
      <c r="R127" s="191">
        <v>0</v>
      </c>
      <c r="S127" s="192">
        <f t="shared" si="29"/>
        <v>742</v>
      </c>
      <c r="T127" s="193"/>
      <c r="U127" s="193"/>
      <c r="V127" s="192">
        <v>0</v>
      </c>
      <c r="W127" s="192">
        <f t="shared" si="30"/>
        <v>-742</v>
      </c>
      <c r="X127" s="193"/>
      <c r="Y127" s="193"/>
      <c r="Z127" s="194">
        <f t="shared" si="31"/>
        <v>1</v>
      </c>
      <c r="AA127" s="55" t="s">
        <v>31</v>
      </c>
      <c r="AB127" s="162" t="s">
        <v>1382</v>
      </c>
    </row>
    <row r="128" spans="1:28" s="16" customFormat="1" ht="51.75" customHeight="1">
      <c r="A128" s="161"/>
      <c r="B128" s="20">
        <v>46289</v>
      </c>
      <c r="C128" s="20">
        <v>46304</v>
      </c>
      <c r="D128" s="20">
        <v>46305</v>
      </c>
      <c r="E128" s="20">
        <v>46316</v>
      </c>
      <c r="F128" s="55" t="s">
        <v>23</v>
      </c>
      <c r="G128" s="161" t="s">
        <v>62</v>
      </c>
      <c r="H128" s="161" t="s">
        <v>1349</v>
      </c>
      <c r="I128" s="161"/>
      <c r="J128" s="56" t="s">
        <v>34</v>
      </c>
      <c r="K128" s="57">
        <v>48313</v>
      </c>
      <c r="L128" s="55">
        <v>140</v>
      </c>
      <c r="M128" s="55" t="s">
        <v>35</v>
      </c>
      <c r="N128" s="56" t="s">
        <v>1155</v>
      </c>
      <c r="O128" s="56" t="s">
        <v>20</v>
      </c>
      <c r="P128" s="55">
        <v>623</v>
      </c>
      <c r="Q128" s="25">
        <f t="shared" si="28"/>
        <v>623</v>
      </c>
      <c r="R128" s="191">
        <v>0</v>
      </c>
      <c r="S128" s="192">
        <f t="shared" si="29"/>
        <v>623</v>
      </c>
      <c r="T128" s="193"/>
      <c r="U128" s="193"/>
      <c r="V128" s="192">
        <v>0</v>
      </c>
      <c r="W128" s="192">
        <f t="shared" si="30"/>
        <v>-623</v>
      </c>
      <c r="X128" s="193"/>
      <c r="Y128" s="193"/>
      <c r="Z128" s="194">
        <f t="shared" si="31"/>
        <v>1</v>
      </c>
      <c r="AA128" s="55" t="s">
        <v>31</v>
      </c>
      <c r="AB128" s="162" t="s">
        <v>1382</v>
      </c>
    </row>
    <row r="129" spans="1:28" s="16" customFormat="1" ht="51.75" customHeight="1">
      <c r="A129" s="161"/>
      <c r="B129" s="20">
        <v>46289</v>
      </c>
      <c r="C129" s="20">
        <v>46304</v>
      </c>
      <c r="D129" s="20">
        <v>46305</v>
      </c>
      <c r="E129" s="20">
        <v>46316</v>
      </c>
      <c r="F129" s="55" t="s">
        <v>25</v>
      </c>
      <c r="G129" s="161" t="s">
        <v>62</v>
      </c>
      <c r="H129" s="161" t="s">
        <v>1349</v>
      </c>
      <c r="I129" s="161"/>
      <c r="J129" s="56" t="s">
        <v>34</v>
      </c>
      <c r="K129" s="57">
        <v>48313</v>
      </c>
      <c r="L129" s="55">
        <v>140</v>
      </c>
      <c r="M129" s="55" t="s">
        <v>35</v>
      </c>
      <c r="N129" s="56" t="s">
        <v>174</v>
      </c>
      <c r="O129" s="56" t="s">
        <v>20</v>
      </c>
      <c r="P129" s="55">
        <v>446</v>
      </c>
      <c r="Q129" s="25">
        <f t="shared" si="28"/>
        <v>446</v>
      </c>
      <c r="R129" s="191">
        <v>0</v>
      </c>
      <c r="S129" s="192">
        <f t="shared" si="29"/>
        <v>446</v>
      </c>
      <c r="T129" s="193"/>
      <c r="U129" s="193"/>
      <c r="V129" s="192">
        <v>0</v>
      </c>
      <c r="W129" s="192">
        <f t="shared" si="30"/>
        <v>-446</v>
      </c>
      <c r="X129" s="193"/>
      <c r="Y129" s="193"/>
      <c r="Z129" s="194">
        <f t="shared" si="31"/>
        <v>1</v>
      </c>
      <c r="AA129" s="55" t="s">
        <v>31</v>
      </c>
      <c r="AB129" s="162" t="s">
        <v>1382</v>
      </c>
    </row>
    <row r="130" spans="1:28" s="16" customFormat="1" ht="51.75" customHeight="1">
      <c r="A130" s="161"/>
      <c r="B130" s="20">
        <v>46289</v>
      </c>
      <c r="C130" s="20">
        <v>46304</v>
      </c>
      <c r="D130" s="20">
        <v>46305</v>
      </c>
      <c r="E130" s="20">
        <v>46316</v>
      </c>
      <c r="F130" s="55" t="s">
        <v>25</v>
      </c>
      <c r="G130" s="161" t="s">
        <v>62</v>
      </c>
      <c r="H130" s="161" t="s">
        <v>1349</v>
      </c>
      <c r="I130" s="161"/>
      <c r="J130" s="56" t="s">
        <v>34</v>
      </c>
      <c r="K130" s="57">
        <v>48313</v>
      </c>
      <c r="L130" s="55">
        <v>140</v>
      </c>
      <c r="M130" s="55" t="s">
        <v>35</v>
      </c>
      <c r="N130" s="56" t="s">
        <v>1156</v>
      </c>
      <c r="O130" s="56" t="s">
        <v>20</v>
      </c>
      <c r="P130" s="55">
        <v>446</v>
      </c>
      <c r="Q130" s="25">
        <f t="shared" si="28"/>
        <v>446</v>
      </c>
      <c r="R130" s="191">
        <v>0</v>
      </c>
      <c r="S130" s="192">
        <f t="shared" si="29"/>
        <v>446</v>
      </c>
      <c r="T130" s="193"/>
      <c r="U130" s="193"/>
      <c r="V130" s="192">
        <v>0</v>
      </c>
      <c r="W130" s="192">
        <f t="shared" si="30"/>
        <v>-446</v>
      </c>
      <c r="X130" s="193"/>
      <c r="Y130" s="193"/>
      <c r="Z130" s="194">
        <f t="shared" si="31"/>
        <v>1</v>
      </c>
      <c r="AA130" s="55" t="s">
        <v>31</v>
      </c>
      <c r="AB130" s="162" t="s">
        <v>1382</v>
      </c>
    </row>
    <row r="131" spans="1:28" s="16" customFormat="1" ht="51.75" customHeight="1">
      <c r="A131" s="161"/>
      <c r="B131" s="20">
        <v>46288</v>
      </c>
      <c r="C131" s="20">
        <v>46304</v>
      </c>
      <c r="D131" s="20">
        <v>46305</v>
      </c>
      <c r="E131" s="20">
        <v>46317</v>
      </c>
      <c r="F131" s="55" t="s">
        <v>25</v>
      </c>
      <c r="G131" s="25" t="s">
        <v>62</v>
      </c>
      <c r="H131" s="161" t="s">
        <v>1349</v>
      </c>
      <c r="I131" s="161"/>
      <c r="J131" s="56" t="s">
        <v>34</v>
      </c>
      <c r="K131" s="57">
        <v>48317</v>
      </c>
      <c r="L131" s="55">
        <v>140</v>
      </c>
      <c r="M131" s="55" t="s">
        <v>47</v>
      </c>
      <c r="N131" s="56" t="s">
        <v>1159</v>
      </c>
      <c r="O131" s="56" t="s">
        <v>20</v>
      </c>
      <c r="P131" s="55">
        <v>912</v>
      </c>
      <c r="Q131" s="25">
        <f t="shared" si="28"/>
        <v>912</v>
      </c>
      <c r="R131" s="191">
        <v>0</v>
      </c>
      <c r="S131" s="192">
        <f t="shared" si="29"/>
        <v>912</v>
      </c>
      <c r="T131" s="193"/>
      <c r="U131" s="193"/>
      <c r="V131" s="192">
        <v>0</v>
      </c>
      <c r="W131" s="192">
        <f t="shared" si="30"/>
        <v>-912</v>
      </c>
      <c r="X131" s="193"/>
      <c r="Y131" s="193"/>
      <c r="Z131" s="194">
        <f t="shared" si="31"/>
        <v>1</v>
      </c>
      <c r="AA131" s="55" t="s">
        <v>31</v>
      </c>
      <c r="AB131" s="162" t="s">
        <v>1382</v>
      </c>
    </row>
    <row r="132" spans="1:28" s="16" customFormat="1" ht="51.75" customHeight="1">
      <c r="A132" s="161"/>
      <c r="B132" s="20">
        <v>46288</v>
      </c>
      <c r="C132" s="20">
        <v>46304</v>
      </c>
      <c r="D132" s="20">
        <v>46305</v>
      </c>
      <c r="E132" s="20">
        <v>46317</v>
      </c>
      <c r="F132" s="55" t="s">
        <v>25</v>
      </c>
      <c r="G132" s="25" t="s">
        <v>105</v>
      </c>
      <c r="H132" s="161" t="s">
        <v>1349</v>
      </c>
      <c r="I132" s="161"/>
      <c r="J132" s="56" t="s">
        <v>34</v>
      </c>
      <c r="K132" s="57">
        <v>48317</v>
      </c>
      <c r="L132" s="55">
        <v>140</v>
      </c>
      <c r="M132" s="55" t="s">
        <v>47</v>
      </c>
      <c r="N132" s="56" t="s">
        <v>1072</v>
      </c>
      <c r="O132" s="56" t="s">
        <v>20</v>
      </c>
      <c r="P132" s="55">
        <v>598</v>
      </c>
      <c r="Q132" s="25">
        <f t="shared" si="28"/>
        <v>598</v>
      </c>
      <c r="R132" s="191">
        <v>0</v>
      </c>
      <c r="S132" s="192">
        <f t="shared" si="29"/>
        <v>598</v>
      </c>
      <c r="T132" s="193"/>
      <c r="U132" s="193"/>
      <c r="V132" s="192">
        <v>0</v>
      </c>
      <c r="W132" s="192">
        <f t="shared" si="30"/>
        <v>-598</v>
      </c>
      <c r="X132" s="193"/>
      <c r="Y132" s="193"/>
      <c r="Z132" s="194">
        <f t="shared" si="31"/>
        <v>1</v>
      </c>
      <c r="AA132" s="55" t="s">
        <v>31</v>
      </c>
      <c r="AB132" s="162" t="s">
        <v>1382</v>
      </c>
    </row>
    <row r="133" spans="1:28" s="16" customFormat="1" ht="51.75" customHeight="1">
      <c r="A133" s="161"/>
      <c r="B133" s="20">
        <v>46288</v>
      </c>
      <c r="C133" s="20">
        <v>46304</v>
      </c>
      <c r="D133" s="20">
        <v>46305</v>
      </c>
      <c r="E133" s="20">
        <v>46317</v>
      </c>
      <c r="F133" s="55" t="s">
        <v>25</v>
      </c>
      <c r="G133" s="25" t="s">
        <v>62</v>
      </c>
      <c r="H133" s="161" t="s">
        <v>1349</v>
      </c>
      <c r="I133" s="161"/>
      <c r="J133" s="56" t="s">
        <v>34</v>
      </c>
      <c r="K133" s="57">
        <v>48317</v>
      </c>
      <c r="L133" s="55">
        <v>140</v>
      </c>
      <c r="M133" s="55" t="s">
        <v>47</v>
      </c>
      <c r="N133" s="56" t="s">
        <v>174</v>
      </c>
      <c r="O133" s="56" t="s">
        <v>20</v>
      </c>
      <c r="P133" s="55">
        <v>598</v>
      </c>
      <c r="Q133" s="25">
        <f t="shared" si="28"/>
        <v>598</v>
      </c>
      <c r="R133" s="191">
        <v>0</v>
      </c>
      <c r="S133" s="192">
        <f t="shared" si="29"/>
        <v>598</v>
      </c>
      <c r="T133" s="193"/>
      <c r="U133" s="193"/>
      <c r="V133" s="192">
        <v>0</v>
      </c>
      <c r="W133" s="192">
        <f t="shared" si="30"/>
        <v>-598</v>
      </c>
      <c r="X133" s="193"/>
      <c r="Y133" s="193"/>
      <c r="Z133" s="194">
        <f t="shared" si="31"/>
        <v>1</v>
      </c>
      <c r="AA133" s="55" t="s">
        <v>31</v>
      </c>
      <c r="AB133" s="162" t="s">
        <v>1382</v>
      </c>
    </row>
    <row r="134" spans="1:28" s="16" customFormat="1" ht="51.75" customHeight="1">
      <c r="A134" s="161"/>
      <c r="B134" s="20">
        <v>46287</v>
      </c>
      <c r="C134" s="20">
        <v>46304</v>
      </c>
      <c r="D134" s="20">
        <v>46305</v>
      </c>
      <c r="E134" s="20">
        <v>46317</v>
      </c>
      <c r="F134" s="55" t="s">
        <v>25</v>
      </c>
      <c r="G134" s="25" t="s">
        <v>62</v>
      </c>
      <c r="H134" s="161" t="s">
        <v>1349</v>
      </c>
      <c r="I134" s="161"/>
      <c r="J134" s="56" t="s">
        <v>34</v>
      </c>
      <c r="K134" s="57">
        <v>48315</v>
      </c>
      <c r="L134" s="55">
        <v>140</v>
      </c>
      <c r="M134" s="55" t="s">
        <v>42</v>
      </c>
      <c r="N134" s="56" t="s">
        <v>174</v>
      </c>
      <c r="O134" s="56" t="s">
        <v>20</v>
      </c>
      <c r="P134" s="55">
        <v>571</v>
      </c>
      <c r="Q134" s="25">
        <f t="shared" si="28"/>
        <v>571</v>
      </c>
      <c r="R134" s="191">
        <v>0</v>
      </c>
      <c r="S134" s="192">
        <f t="shared" si="29"/>
        <v>571</v>
      </c>
      <c r="T134" s="193"/>
      <c r="U134" s="193"/>
      <c r="V134" s="192">
        <v>0</v>
      </c>
      <c r="W134" s="192">
        <f t="shared" si="30"/>
        <v>-571</v>
      </c>
      <c r="X134" s="193"/>
      <c r="Y134" s="193"/>
      <c r="Z134" s="194">
        <f t="shared" si="31"/>
        <v>1</v>
      </c>
      <c r="AA134" s="55" t="s">
        <v>31</v>
      </c>
      <c r="AB134" s="162" t="s">
        <v>1382</v>
      </c>
    </row>
    <row r="135" spans="1:28" s="16" customFormat="1" ht="51.75" customHeight="1">
      <c r="A135" s="161"/>
      <c r="B135" s="20">
        <v>46287</v>
      </c>
      <c r="C135" s="20">
        <v>46304</v>
      </c>
      <c r="D135" s="20">
        <v>46305</v>
      </c>
      <c r="E135" s="20">
        <v>46317</v>
      </c>
      <c r="F135" s="55" t="s">
        <v>1265</v>
      </c>
      <c r="G135" s="25" t="s">
        <v>62</v>
      </c>
      <c r="H135" s="161" t="s">
        <v>1349</v>
      </c>
      <c r="I135" s="161"/>
      <c r="J135" s="56" t="s">
        <v>34</v>
      </c>
      <c r="K135" s="57">
        <v>48315</v>
      </c>
      <c r="L135" s="55">
        <v>140</v>
      </c>
      <c r="M135" s="55" t="s">
        <v>42</v>
      </c>
      <c r="N135" s="56" t="s">
        <v>1156</v>
      </c>
      <c r="O135" s="56" t="s">
        <v>20</v>
      </c>
      <c r="P135" s="55">
        <v>965</v>
      </c>
      <c r="Q135" s="25">
        <f t="shared" si="28"/>
        <v>965</v>
      </c>
      <c r="R135" s="191">
        <v>0</v>
      </c>
      <c r="S135" s="192">
        <f t="shared" si="29"/>
        <v>965</v>
      </c>
      <c r="T135" s="193"/>
      <c r="U135" s="193"/>
      <c r="V135" s="192">
        <v>0</v>
      </c>
      <c r="W135" s="192">
        <f t="shared" si="30"/>
        <v>-965</v>
      </c>
      <c r="X135" s="193"/>
      <c r="Y135" s="193"/>
      <c r="Z135" s="194">
        <f t="shared" si="31"/>
        <v>1</v>
      </c>
      <c r="AA135" s="55" t="s">
        <v>31</v>
      </c>
      <c r="AB135" s="162" t="s">
        <v>1382</v>
      </c>
    </row>
    <row r="136" spans="1:28" s="16" customFormat="1" ht="51.75" customHeight="1">
      <c r="A136" s="161"/>
      <c r="B136" s="20">
        <v>46296</v>
      </c>
      <c r="C136" s="18">
        <v>46310</v>
      </c>
      <c r="D136" s="53">
        <v>46312</v>
      </c>
      <c r="E136" s="20">
        <v>46325</v>
      </c>
      <c r="F136" s="55" t="s">
        <v>38</v>
      </c>
      <c r="G136" s="25" t="s">
        <v>105</v>
      </c>
      <c r="H136" s="161" t="s">
        <v>1349</v>
      </c>
      <c r="I136" s="161"/>
      <c r="J136" s="56" t="s">
        <v>18</v>
      </c>
      <c r="K136" s="140">
        <v>48108</v>
      </c>
      <c r="L136" s="17">
        <v>160</v>
      </c>
      <c r="M136" s="17" t="s">
        <v>42</v>
      </c>
      <c r="N136" s="52" t="s">
        <v>1141</v>
      </c>
      <c r="O136" s="52" t="s">
        <v>52</v>
      </c>
      <c r="P136" s="17">
        <v>421</v>
      </c>
      <c r="Q136" s="25">
        <f t="shared" si="28"/>
        <v>290</v>
      </c>
      <c r="R136" s="191">
        <f>131</f>
        <v>131</v>
      </c>
      <c r="S136" s="195">
        <f t="shared" si="29"/>
        <v>290</v>
      </c>
      <c r="T136" s="193">
        <v>3751</v>
      </c>
      <c r="U136" s="193" t="s">
        <v>1363</v>
      </c>
      <c r="V136" s="192">
        <v>0</v>
      </c>
      <c r="W136" s="192">
        <f t="shared" si="30"/>
        <v>-421</v>
      </c>
      <c r="X136" s="193"/>
      <c r="Y136" s="193"/>
      <c r="Z136" s="194">
        <f t="shared" si="31"/>
        <v>1</v>
      </c>
      <c r="AA136" s="55" t="s">
        <v>128</v>
      </c>
      <c r="AB136" s="162" t="s">
        <v>1362</v>
      </c>
    </row>
    <row r="137" spans="1:28" s="16" customFormat="1" ht="51.75" customHeight="1">
      <c r="A137" s="161"/>
      <c r="B137" s="20">
        <v>46296</v>
      </c>
      <c r="C137" s="18">
        <v>46310</v>
      </c>
      <c r="D137" s="53">
        <v>46312</v>
      </c>
      <c r="E137" s="20">
        <v>46325</v>
      </c>
      <c r="F137" s="55" t="s">
        <v>25</v>
      </c>
      <c r="G137" s="25" t="s">
        <v>105</v>
      </c>
      <c r="H137" s="161" t="s">
        <v>1349</v>
      </c>
      <c r="I137" s="161"/>
      <c r="J137" s="56" t="s">
        <v>18</v>
      </c>
      <c r="K137" s="140">
        <v>48108</v>
      </c>
      <c r="L137" s="17">
        <v>160</v>
      </c>
      <c r="M137" s="17" t="s">
        <v>42</v>
      </c>
      <c r="N137" s="52" t="s">
        <v>27</v>
      </c>
      <c r="O137" s="52" t="s">
        <v>52</v>
      </c>
      <c r="P137" s="17">
        <v>281</v>
      </c>
      <c r="Q137" s="25">
        <f t="shared" si="28"/>
        <v>281</v>
      </c>
      <c r="R137" s="191">
        <v>0</v>
      </c>
      <c r="S137" s="192">
        <f t="shared" si="29"/>
        <v>281</v>
      </c>
      <c r="T137" s="193"/>
      <c r="U137" s="193"/>
      <c r="V137" s="192">
        <v>0</v>
      </c>
      <c r="W137" s="192">
        <f t="shared" si="30"/>
        <v>-281</v>
      </c>
      <c r="X137" s="193"/>
      <c r="Y137" s="193"/>
      <c r="Z137" s="194">
        <f t="shared" si="31"/>
        <v>1</v>
      </c>
      <c r="AA137" s="55" t="s">
        <v>128</v>
      </c>
      <c r="AB137" s="162" t="s">
        <v>1362</v>
      </c>
    </row>
    <row r="138" spans="1:28" s="16" customFormat="1" ht="51.75" customHeight="1">
      <c r="A138" s="161"/>
      <c r="B138" s="20">
        <v>46296</v>
      </c>
      <c r="C138" s="18">
        <v>46310</v>
      </c>
      <c r="D138" s="53">
        <v>46312</v>
      </c>
      <c r="E138" s="20">
        <v>46325</v>
      </c>
      <c r="F138" s="55" t="s">
        <v>25</v>
      </c>
      <c r="G138" s="25" t="s">
        <v>62</v>
      </c>
      <c r="H138" s="161" t="s">
        <v>1349</v>
      </c>
      <c r="I138" s="161"/>
      <c r="J138" s="56" t="s">
        <v>18</v>
      </c>
      <c r="K138" s="140">
        <v>48108</v>
      </c>
      <c r="L138" s="17">
        <v>160</v>
      </c>
      <c r="M138" s="17" t="s">
        <v>42</v>
      </c>
      <c r="N138" s="52" t="s">
        <v>663</v>
      </c>
      <c r="O138" s="52" t="s">
        <v>52</v>
      </c>
      <c r="P138" s="17">
        <v>367</v>
      </c>
      <c r="Q138" s="25">
        <f t="shared" si="28"/>
        <v>-3</v>
      </c>
      <c r="R138" s="191">
        <f>370</f>
        <v>370</v>
      </c>
      <c r="S138" s="192">
        <f t="shared" si="29"/>
        <v>-3</v>
      </c>
      <c r="T138" s="193">
        <v>3194</v>
      </c>
      <c r="U138" s="193" t="s">
        <v>1363</v>
      </c>
      <c r="V138" s="192">
        <v>0</v>
      </c>
      <c r="W138" s="192">
        <f t="shared" si="30"/>
        <v>-367</v>
      </c>
      <c r="X138" s="193"/>
      <c r="Y138" s="193"/>
      <c r="Z138" s="194">
        <f t="shared" si="31"/>
        <v>1</v>
      </c>
      <c r="AA138" s="55" t="s">
        <v>128</v>
      </c>
      <c r="AB138" s="162" t="s">
        <v>1362</v>
      </c>
    </row>
    <row r="139" spans="1:28" s="16" customFormat="1" ht="51.75" customHeight="1">
      <c r="A139" s="161"/>
      <c r="B139" s="20">
        <v>46296</v>
      </c>
      <c r="C139" s="18">
        <v>46310</v>
      </c>
      <c r="D139" s="53">
        <v>46315</v>
      </c>
      <c r="E139" s="20">
        <v>46325</v>
      </c>
      <c r="F139" s="55" t="s">
        <v>25</v>
      </c>
      <c r="G139" s="25" t="s">
        <v>62</v>
      </c>
      <c r="H139" s="161"/>
      <c r="I139" s="161"/>
      <c r="J139" s="56" t="s">
        <v>18</v>
      </c>
      <c r="K139" s="140">
        <v>48109</v>
      </c>
      <c r="L139" s="17">
        <v>160</v>
      </c>
      <c r="M139" s="17" t="s">
        <v>47</v>
      </c>
      <c r="N139" s="52" t="s">
        <v>1266</v>
      </c>
      <c r="O139" s="52" t="s">
        <v>20</v>
      </c>
      <c r="P139" s="17">
        <v>240</v>
      </c>
      <c r="Q139" s="25">
        <f t="shared" si="28"/>
        <v>240</v>
      </c>
      <c r="R139" s="191">
        <v>0</v>
      </c>
      <c r="S139" s="192">
        <f t="shared" si="29"/>
        <v>240</v>
      </c>
      <c r="T139" s="193"/>
      <c r="U139" s="193"/>
      <c r="V139" s="192">
        <v>0</v>
      </c>
      <c r="W139" s="192">
        <f t="shared" si="30"/>
        <v>-240</v>
      </c>
      <c r="X139" s="193"/>
      <c r="Y139" s="193"/>
      <c r="Z139" s="194">
        <f t="shared" si="31"/>
        <v>1</v>
      </c>
      <c r="AA139" s="55" t="s">
        <v>128</v>
      </c>
      <c r="AB139" s="162" t="s">
        <v>1301</v>
      </c>
    </row>
    <row r="140" spans="1:28" s="16" customFormat="1" ht="51.75" customHeight="1">
      <c r="A140" s="161"/>
      <c r="B140" s="20">
        <v>46296</v>
      </c>
      <c r="C140" s="18">
        <v>46310</v>
      </c>
      <c r="D140" s="53">
        <v>46315</v>
      </c>
      <c r="E140" s="20">
        <v>46325</v>
      </c>
      <c r="F140" s="55" t="s">
        <v>23</v>
      </c>
      <c r="G140" s="25" t="s">
        <v>62</v>
      </c>
      <c r="H140" s="161"/>
      <c r="I140" s="161"/>
      <c r="J140" s="56" t="s">
        <v>18</v>
      </c>
      <c r="K140" s="140">
        <v>48109</v>
      </c>
      <c r="L140" s="17">
        <v>160</v>
      </c>
      <c r="M140" s="17" t="s">
        <v>47</v>
      </c>
      <c r="N140" s="52" t="s">
        <v>37</v>
      </c>
      <c r="O140" s="52" t="s">
        <v>20</v>
      </c>
      <c r="P140" s="17">
        <v>240</v>
      </c>
      <c r="Q140" s="25">
        <f t="shared" si="28"/>
        <v>240</v>
      </c>
      <c r="R140" s="191">
        <v>0</v>
      </c>
      <c r="S140" s="192">
        <f t="shared" si="29"/>
        <v>240</v>
      </c>
      <c r="T140" s="193"/>
      <c r="U140" s="193"/>
      <c r="V140" s="192">
        <v>0</v>
      </c>
      <c r="W140" s="192">
        <f t="shared" si="30"/>
        <v>-240</v>
      </c>
      <c r="X140" s="193"/>
      <c r="Y140" s="193"/>
      <c r="Z140" s="194">
        <f t="shared" si="31"/>
        <v>1</v>
      </c>
      <c r="AA140" s="55" t="s">
        <v>128</v>
      </c>
      <c r="AB140" s="162" t="s">
        <v>1301</v>
      </c>
    </row>
    <row r="141" spans="1:28" s="16" customFormat="1" ht="51.75" customHeight="1">
      <c r="A141" s="161"/>
      <c r="B141" s="20">
        <v>46299</v>
      </c>
      <c r="C141" s="18">
        <v>46310</v>
      </c>
      <c r="D141" s="53">
        <v>46312</v>
      </c>
      <c r="E141" s="20">
        <v>46318</v>
      </c>
      <c r="F141" s="55" t="s">
        <v>25</v>
      </c>
      <c r="G141" s="25" t="s">
        <v>105</v>
      </c>
      <c r="H141" s="161" t="s">
        <v>1349</v>
      </c>
      <c r="I141" s="161"/>
      <c r="J141" s="56" t="s">
        <v>18</v>
      </c>
      <c r="K141" s="140">
        <v>48771</v>
      </c>
      <c r="L141" s="17">
        <v>150</v>
      </c>
      <c r="M141" s="17" t="s">
        <v>19</v>
      </c>
      <c r="N141" s="52" t="s">
        <v>1145</v>
      </c>
      <c r="O141" s="52" t="s">
        <v>20</v>
      </c>
      <c r="P141" s="17">
        <v>94</v>
      </c>
      <c r="Q141" s="25">
        <f t="shared" si="28"/>
        <v>94</v>
      </c>
      <c r="R141" s="191">
        <v>0</v>
      </c>
      <c r="S141" s="192">
        <f t="shared" si="29"/>
        <v>94</v>
      </c>
      <c r="T141" s="193"/>
      <c r="U141" s="193"/>
      <c r="V141" s="192">
        <v>0</v>
      </c>
      <c r="W141" s="192">
        <f t="shared" si="30"/>
        <v>-94</v>
      </c>
      <c r="X141" s="193"/>
      <c r="Y141" s="193"/>
      <c r="Z141" s="194">
        <f t="shared" si="31"/>
        <v>1</v>
      </c>
      <c r="AA141" s="56" t="s">
        <v>24</v>
      </c>
      <c r="AB141" s="162" t="s">
        <v>1362</v>
      </c>
    </row>
    <row r="142" spans="1:28" s="16" customFormat="1" ht="51.75" customHeight="1">
      <c r="A142" s="161"/>
      <c r="B142" s="20">
        <v>46303</v>
      </c>
      <c r="C142" s="18">
        <v>46315</v>
      </c>
      <c r="D142" s="53">
        <v>46320</v>
      </c>
      <c r="E142" s="20">
        <v>46325</v>
      </c>
      <c r="F142" s="55" t="s">
        <v>25</v>
      </c>
      <c r="G142" s="25" t="s">
        <v>105</v>
      </c>
      <c r="H142" s="161" t="s">
        <v>1349</v>
      </c>
      <c r="I142" s="161"/>
      <c r="J142" s="56" t="s">
        <v>18</v>
      </c>
      <c r="K142" s="140">
        <v>48774</v>
      </c>
      <c r="L142" s="17">
        <v>180</v>
      </c>
      <c r="M142" s="17" t="s">
        <v>35</v>
      </c>
      <c r="N142" s="52" t="s">
        <v>1267</v>
      </c>
      <c r="O142" s="52" t="s">
        <v>52</v>
      </c>
      <c r="P142" s="17">
        <v>87</v>
      </c>
      <c r="Q142" s="25">
        <f t="shared" si="28"/>
        <v>87</v>
      </c>
      <c r="R142" s="191">
        <v>0</v>
      </c>
      <c r="S142" s="192">
        <f t="shared" si="29"/>
        <v>87</v>
      </c>
      <c r="T142" s="193"/>
      <c r="U142" s="193"/>
      <c r="V142" s="192">
        <v>0</v>
      </c>
      <c r="W142" s="192">
        <f t="shared" si="30"/>
        <v>-87</v>
      </c>
      <c r="X142" s="193"/>
      <c r="Y142" s="193"/>
      <c r="Z142" s="194">
        <f t="shared" si="31"/>
        <v>1</v>
      </c>
      <c r="AA142" s="56" t="s">
        <v>24</v>
      </c>
      <c r="AB142" s="162" t="s">
        <v>1362</v>
      </c>
    </row>
    <row r="143" spans="1:28" s="16" customFormat="1" ht="51.75" customHeight="1">
      <c r="A143" s="161"/>
      <c r="B143" s="20">
        <v>46303</v>
      </c>
      <c r="C143" s="18">
        <v>46315</v>
      </c>
      <c r="D143" s="53">
        <v>46320</v>
      </c>
      <c r="E143" s="20">
        <v>46325</v>
      </c>
      <c r="F143" s="55" t="s">
        <v>25</v>
      </c>
      <c r="G143" s="25" t="s">
        <v>105</v>
      </c>
      <c r="H143" s="161" t="s">
        <v>1349</v>
      </c>
      <c r="I143" s="161"/>
      <c r="J143" s="56" t="s">
        <v>18</v>
      </c>
      <c r="K143" s="140">
        <v>48774</v>
      </c>
      <c r="L143" s="17">
        <v>180</v>
      </c>
      <c r="M143" s="17" t="s">
        <v>35</v>
      </c>
      <c r="N143" s="52" t="s">
        <v>1147</v>
      </c>
      <c r="O143" s="52" t="s">
        <v>52</v>
      </c>
      <c r="P143" s="17">
        <v>79</v>
      </c>
      <c r="Q143" s="25">
        <f t="shared" si="28"/>
        <v>79</v>
      </c>
      <c r="R143" s="191">
        <v>0</v>
      </c>
      <c r="S143" s="192">
        <f t="shared" si="29"/>
        <v>79</v>
      </c>
      <c r="T143" s="193"/>
      <c r="U143" s="193"/>
      <c r="V143" s="192">
        <v>0</v>
      </c>
      <c r="W143" s="192">
        <f t="shared" si="30"/>
        <v>-79</v>
      </c>
      <c r="X143" s="193"/>
      <c r="Y143" s="193"/>
      <c r="Z143" s="194">
        <f t="shared" si="31"/>
        <v>1</v>
      </c>
      <c r="AA143" s="56" t="s">
        <v>24</v>
      </c>
      <c r="AB143" s="162" t="s">
        <v>1362</v>
      </c>
    </row>
    <row r="144" spans="1:28" s="16" customFormat="1" ht="51.75" customHeight="1">
      <c r="A144" s="161"/>
      <c r="B144" s="20">
        <v>46298</v>
      </c>
      <c r="C144" s="18">
        <v>46313</v>
      </c>
      <c r="D144" s="53">
        <v>46315</v>
      </c>
      <c r="E144" s="20">
        <v>46322</v>
      </c>
      <c r="F144" s="55" t="s">
        <v>25</v>
      </c>
      <c r="G144" s="25" t="s">
        <v>105</v>
      </c>
      <c r="H144" s="161" t="s">
        <v>1349</v>
      </c>
      <c r="I144" s="161"/>
      <c r="J144" s="56" t="s">
        <v>18</v>
      </c>
      <c r="K144" s="140">
        <v>48779</v>
      </c>
      <c r="L144" s="17">
        <v>150</v>
      </c>
      <c r="M144" s="17" t="s">
        <v>19</v>
      </c>
      <c r="N144" s="52" t="s">
        <v>1145</v>
      </c>
      <c r="O144" s="52" t="s">
        <v>20</v>
      </c>
      <c r="P144" s="17">
        <v>139</v>
      </c>
      <c r="Q144" s="25">
        <f t="shared" si="28"/>
        <v>0</v>
      </c>
      <c r="R144" s="191">
        <f>139</f>
        <v>139</v>
      </c>
      <c r="S144" s="192">
        <f t="shared" si="29"/>
        <v>0</v>
      </c>
      <c r="T144" s="193">
        <v>2196</v>
      </c>
      <c r="U144" s="193" t="s">
        <v>1310</v>
      </c>
      <c r="V144" s="192">
        <v>0</v>
      </c>
      <c r="W144" s="192">
        <f t="shared" si="30"/>
        <v>-139</v>
      </c>
      <c r="X144" s="193"/>
      <c r="Y144" s="193"/>
      <c r="Z144" s="194">
        <f t="shared" si="31"/>
        <v>1</v>
      </c>
      <c r="AA144" s="56" t="s">
        <v>24</v>
      </c>
      <c r="AB144" s="162" t="s">
        <v>1362</v>
      </c>
    </row>
    <row r="145" spans="1:28" s="16" customFormat="1" ht="51.75" customHeight="1">
      <c r="A145" s="161"/>
      <c r="B145" s="20">
        <v>46298</v>
      </c>
      <c r="C145" s="18">
        <v>46313</v>
      </c>
      <c r="D145" s="53">
        <v>46315</v>
      </c>
      <c r="E145" s="20">
        <v>46322</v>
      </c>
      <c r="F145" s="55" t="s">
        <v>121</v>
      </c>
      <c r="G145" s="25" t="s">
        <v>105</v>
      </c>
      <c r="H145" s="161" t="s">
        <v>1350</v>
      </c>
      <c r="I145" s="161"/>
      <c r="J145" s="56" t="s">
        <v>18</v>
      </c>
      <c r="K145" s="140">
        <v>48779</v>
      </c>
      <c r="L145" s="17">
        <v>150</v>
      </c>
      <c r="M145" s="17" t="s">
        <v>19</v>
      </c>
      <c r="N145" s="52" t="s">
        <v>59</v>
      </c>
      <c r="O145" s="52" t="s">
        <v>20</v>
      </c>
      <c r="P145" s="17">
        <v>150</v>
      </c>
      <c r="Q145" s="25">
        <f t="shared" si="28"/>
        <v>-5</v>
      </c>
      <c r="R145" s="191">
        <f>155</f>
        <v>155</v>
      </c>
      <c r="S145" s="192">
        <f t="shared" si="29"/>
        <v>-5</v>
      </c>
      <c r="T145" s="193">
        <v>3753</v>
      </c>
      <c r="U145" s="193" t="s">
        <v>1374</v>
      </c>
      <c r="V145" s="192">
        <v>0</v>
      </c>
      <c r="W145" s="192">
        <f t="shared" si="30"/>
        <v>-150</v>
      </c>
      <c r="X145" s="193"/>
      <c r="Y145" s="193"/>
      <c r="Z145" s="194">
        <f t="shared" si="31"/>
        <v>1</v>
      </c>
      <c r="AA145" s="56" t="s">
        <v>24</v>
      </c>
      <c r="AB145" s="162" t="s">
        <v>1362</v>
      </c>
    </row>
    <row r="146" spans="1:28" s="16" customFormat="1" ht="51.75" customHeight="1">
      <c r="A146" s="161"/>
      <c r="B146" s="20">
        <v>46298</v>
      </c>
      <c r="C146" s="18">
        <v>46313</v>
      </c>
      <c r="D146" s="53">
        <v>46315</v>
      </c>
      <c r="E146" s="20">
        <v>46322</v>
      </c>
      <c r="F146" s="55" t="s">
        <v>25</v>
      </c>
      <c r="G146" s="25" t="s">
        <v>105</v>
      </c>
      <c r="H146" s="161" t="s">
        <v>1350</v>
      </c>
      <c r="I146" s="161"/>
      <c r="J146" s="56" t="s">
        <v>18</v>
      </c>
      <c r="K146" s="140">
        <v>48779</v>
      </c>
      <c r="L146" s="17">
        <v>150</v>
      </c>
      <c r="M146" s="17" t="s">
        <v>19</v>
      </c>
      <c r="N146" s="52" t="s">
        <v>1143</v>
      </c>
      <c r="O146" s="52" t="s">
        <v>20</v>
      </c>
      <c r="P146" s="17">
        <v>154</v>
      </c>
      <c r="Q146" s="25">
        <f t="shared" si="28"/>
        <v>154</v>
      </c>
      <c r="R146" s="191">
        <v>0</v>
      </c>
      <c r="S146" s="192">
        <f t="shared" si="29"/>
        <v>154</v>
      </c>
      <c r="T146" s="193"/>
      <c r="U146" s="193"/>
      <c r="V146" s="192">
        <v>0</v>
      </c>
      <c r="W146" s="192">
        <f t="shared" si="30"/>
        <v>-154</v>
      </c>
      <c r="X146" s="193"/>
      <c r="Y146" s="193"/>
      <c r="Z146" s="194">
        <f t="shared" si="31"/>
        <v>1</v>
      </c>
      <c r="AA146" s="56" t="s">
        <v>24</v>
      </c>
      <c r="AB146" s="162" t="s">
        <v>1362</v>
      </c>
    </row>
    <row r="147" spans="1:28" s="16" customFormat="1" ht="51.75" customHeight="1">
      <c r="A147" s="161"/>
      <c r="B147" s="20">
        <v>46298</v>
      </c>
      <c r="C147" s="18">
        <v>46313</v>
      </c>
      <c r="D147" s="53">
        <v>46315</v>
      </c>
      <c r="E147" s="20">
        <v>46322</v>
      </c>
      <c r="F147" s="55" t="s">
        <v>25</v>
      </c>
      <c r="G147" s="25" t="s">
        <v>105</v>
      </c>
      <c r="H147" s="161" t="s">
        <v>1349</v>
      </c>
      <c r="I147" s="161"/>
      <c r="J147" s="56" t="s">
        <v>18</v>
      </c>
      <c r="K147" s="140">
        <v>48779</v>
      </c>
      <c r="L147" s="17">
        <v>150</v>
      </c>
      <c r="M147" s="17" t="s">
        <v>19</v>
      </c>
      <c r="N147" s="52" t="s">
        <v>1146</v>
      </c>
      <c r="O147" s="52" t="s">
        <v>20</v>
      </c>
      <c r="P147" s="17">
        <v>198</v>
      </c>
      <c r="Q147" s="25">
        <f t="shared" ref="Q147:Q169" si="32">P147-R147</f>
        <v>-12</v>
      </c>
      <c r="R147" s="191">
        <f>210</f>
        <v>210</v>
      </c>
      <c r="S147" s="192">
        <f t="shared" ref="S147:S169" si="33">P147-R147</f>
        <v>-12</v>
      </c>
      <c r="T147" s="193">
        <v>3757</v>
      </c>
      <c r="U147" s="193" t="s">
        <v>1398</v>
      </c>
      <c r="V147" s="192">
        <v>0</v>
      </c>
      <c r="W147" s="192">
        <f t="shared" ref="W147:W169" si="34">+V147-P147</f>
        <v>-198</v>
      </c>
      <c r="X147" s="193"/>
      <c r="Y147" s="193"/>
      <c r="Z147" s="194">
        <f t="shared" si="31"/>
        <v>1</v>
      </c>
      <c r="AA147" s="56" t="s">
        <v>24</v>
      </c>
      <c r="AB147" s="162" t="s">
        <v>1362</v>
      </c>
    </row>
    <row r="148" spans="1:28" s="16" customFormat="1" ht="51.75" customHeight="1">
      <c r="A148" s="161"/>
      <c r="B148" s="20">
        <v>46300</v>
      </c>
      <c r="C148" s="18">
        <v>46315</v>
      </c>
      <c r="D148" s="53">
        <v>46318</v>
      </c>
      <c r="E148" s="20">
        <v>46325</v>
      </c>
      <c r="F148" s="55" t="s">
        <v>25</v>
      </c>
      <c r="G148" s="25" t="s">
        <v>105</v>
      </c>
      <c r="H148" s="161" t="s">
        <v>1349</v>
      </c>
      <c r="I148" s="161"/>
      <c r="J148" s="56" t="s">
        <v>18</v>
      </c>
      <c r="K148" s="140">
        <v>48780</v>
      </c>
      <c r="L148" s="17">
        <v>150</v>
      </c>
      <c r="M148" s="17" t="s">
        <v>19</v>
      </c>
      <c r="N148" s="52" t="s">
        <v>1146</v>
      </c>
      <c r="O148" s="52" t="s">
        <v>20</v>
      </c>
      <c r="P148" s="17">
        <v>110</v>
      </c>
      <c r="Q148" s="25">
        <f t="shared" si="32"/>
        <v>110</v>
      </c>
      <c r="R148" s="191">
        <v>0</v>
      </c>
      <c r="S148" s="192">
        <f t="shared" si="33"/>
        <v>110</v>
      </c>
      <c r="T148" s="193"/>
      <c r="U148" s="193"/>
      <c r="V148" s="192">
        <v>0</v>
      </c>
      <c r="W148" s="192">
        <f t="shared" si="34"/>
        <v>-110</v>
      </c>
      <c r="X148" s="193"/>
      <c r="Y148" s="193"/>
      <c r="Z148" s="194">
        <f t="shared" si="31"/>
        <v>1</v>
      </c>
      <c r="AA148" s="56" t="s">
        <v>24</v>
      </c>
      <c r="AB148" s="162" t="s">
        <v>1362</v>
      </c>
    </row>
    <row r="149" spans="1:28" s="16" customFormat="1" ht="51.75" customHeight="1">
      <c r="A149" s="161"/>
      <c r="B149" s="20">
        <v>46300</v>
      </c>
      <c r="C149" s="18">
        <v>46315</v>
      </c>
      <c r="D149" s="53">
        <v>46318</v>
      </c>
      <c r="E149" s="20">
        <v>46325</v>
      </c>
      <c r="F149" s="55" t="s">
        <v>25</v>
      </c>
      <c r="G149" s="25" t="s">
        <v>105</v>
      </c>
      <c r="H149" s="161" t="s">
        <v>1349</v>
      </c>
      <c r="I149" s="161"/>
      <c r="J149" s="56" t="s">
        <v>18</v>
      </c>
      <c r="K149" s="140">
        <v>48780</v>
      </c>
      <c r="L149" s="17">
        <v>150</v>
      </c>
      <c r="M149" s="17" t="s">
        <v>19</v>
      </c>
      <c r="N149" s="52" t="s">
        <v>1145</v>
      </c>
      <c r="O149" s="52" t="s">
        <v>20</v>
      </c>
      <c r="P149" s="17">
        <v>53</v>
      </c>
      <c r="Q149" s="25">
        <f t="shared" si="32"/>
        <v>-5</v>
      </c>
      <c r="R149" s="191">
        <f>58</f>
        <v>58</v>
      </c>
      <c r="S149" s="192">
        <f t="shared" si="33"/>
        <v>-5</v>
      </c>
      <c r="T149" s="193">
        <v>2196</v>
      </c>
      <c r="U149" s="193" t="s">
        <v>1310</v>
      </c>
      <c r="V149" s="192">
        <v>0</v>
      </c>
      <c r="W149" s="192">
        <f t="shared" si="34"/>
        <v>-53</v>
      </c>
      <c r="X149" s="193"/>
      <c r="Y149" s="193"/>
      <c r="Z149" s="194">
        <f t="shared" si="31"/>
        <v>1</v>
      </c>
      <c r="AA149" s="56" t="s">
        <v>24</v>
      </c>
      <c r="AB149" s="162" t="s">
        <v>1362</v>
      </c>
    </row>
    <row r="150" spans="1:28" s="16" customFormat="1" ht="51.75" customHeight="1">
      <c r="A150" s="161"/>
      <c r="B150" s="20">
        <v>46300</v>
      </c>
      <c r="C150" s="18">
        <v>46315</v>
      </c>
      <c r="D150" s="53">
        <v>46318</v>
      </c>
      <c r="E150" s="20">
        <v>46325</v>
      </c>
      <c r="F150" s="55" t="s">
        <v>121</v>
      </c>
      <c r="G150" s="25" t="s">
        <v>105</v>
      </c>
      <c r="H150" s="161" t="s">
        <v>1350</v>
      </c>
      <c r="I150" s="161"/>
      <c r="J150" s="56" t="s">
        <v>18</v>
      </c>
      <c r="K150" s="140">
        <v>48780</v>
      </c>
      <c r="L150" s="17">
        <v>150</v>
      </c>
      <c r="M150" s="17" t="s">
        <v>19</v>
      </c>
      <c r="N150" s="52" t="s">
        <v>59</v>
      </c>
      <c r="O150" s="52" t="s">
        <v>20</v>
      </c>
      <c r="P150" s="17">
        <v>35</v>
      </c>
      <c r="Q150" s="25">
        <f t="shared" si="32"/>
        <v>0</v>
      </c>
      <c r="R150" s="191">
        <f>35</f>
        <v>35</v>
      </c>
      <c r="S150" s="192">
        <f t="shared" si="33"/>
        <v>0</v>
      </c>
      <c r="T150" s="193">
        <v>3751</v>
      </c>
      <c r="U150" s="193" t="s">
        <v>1363</v>
      </c>
      <c r="V150" s="192">
        <v>0</v>
      </c>
      <c r="W150" s="192">
        <f t="shared" si="34"/>
        <v>-35</v>
      </c>
      <c r="X150" s="193"/>
      <c r="Y150" s="193"/>
      <c r="Z150" s="194">
        <f t="shared" si="31"/>
        <v>1</v>
      </c>
      <c r="AA150" s="56" t="s">
        <v>24</v>
      </c>
      <c r="AB150" s="162" t="s">
        <v>1362</v>
      </c>
    </row>
    <row r="151" spans="1:28" s="16" customFormat="1" ht="51.75" customHeight="1">
      <c r="A151" s="161"/>
      <c r="B151" s="20">
        <v>46300</v>
      </c>
      <c r="C151" s="18">
        <v>46315</v>
      </c>
      <c r="D151" s="53">
        <v>46318</v>
      </c>
      <c r="E151" s="20">
        <v>46325</v>
      </c>
      <c r="F151" s="55" t="s">
        <v>25</v>
      </c>
      <c r="G151" s="25" t="s">
        <v>105</v>
      </c>
      <c r="H151" s="161" t="s">
        <v>1350</v>
      </c>
      <c r="I151" s="161"/>
      <c r="J151" s="56" t="s">
        <v>18</v>
      </c>
      <c r="K151" s="140">
        <v>48780</v>
      </c>
      <c r="L151" s="17">
        <v>150</v>
      </c>
      <c r="M151" s="17" t="s">
        <v>19</v>
      </c>
      <c r="N151" s="52" t="s">
        <v>1143</v>
      </c>
      <c r="O151" s="52" t="s">
        <v>20</v>
      </c>
      <c r="P151" s="17">
        <v>90</v>
      </c>
      <c r="Q151" s="25">
        <f t="shared" si="32"/>
        <v>90</v>
      </c>
      <c r="R151" s="191">
        <v>0</v>
      </c>
      <c r="S151" s="192">
        <f t="shared" si="33"/>
        <v>90</v>
      </c>
      <c r="T151" s="193"/>
      <c r="U151" s="193"/>
      <c r="V151" s="192">
        <v>0</v>
      </c>
      <c r="W151" s="192">
        <f t="shared" si="34"/>
        <v>-90</v>
      </c>
      <c r="X151" s="193"/>
      <c r="Y151" s="193"/>
      <c r="Z151" s="194">
        <f t="shared" si="31"/>
        <v>1</v>
      </c>
      <c r="AA151" s="56" t="s">
        <v>24</v>
      </c>
      <c r="AB151" s="162" t="s">
        <v>1362</v>
      </c>
    </row>
    <row r="152" spans="1:28" s="16" customFormat="1" ht="51.75" customHeight="1">
      <c r="A152" s="161"/>
      <c r="B152" s="20">
        <v>46300</v>
      </c>
      <c r="C152" s="18">
        <v>46312</v>
      </c>
      <c r="D152" s="53">
        <v>46315</v>
      </c>
      <c r="E152" s="20">
        <v>46324</v>
      </c>
      <c r="F152" s="55" t="s">
        <v>25</v>
      </c>
      <c r="G152" s="25" t="s">
        <v>105</v>
      </c>
      <c r="H152" s="161" t="s">
        <v>1349</v>
      </c>
      <c r="I152" s="161"/>
      <c r="J152" s="56" t="s">
        <v>18</v>
      </c>
      <c r="K152" s="140">
        <v>48788</v>
      </c>
      <c r="L152" s="17">
        <v>150</v>
      </c>
      <c r="M152" s="17" t="s">
        <v>19</v>
      </c>
      <c r="N152" s="52" t="s">
        <v>1267</v>
      </c>
      <c r="O152" s="52" t="s">
        <v>20</v>
      </c>
      <c r="P152" s="17">
        <v>494</v>
      </c>
      <c r="Q152" s="25">
        <f t="shared" si="32"/>
        <v>494</v>
      </c>
      <c r="R152" s="191">
        <v>0</v>
      </c>
      <c r="S152" s="192">
        <f t="shared" si="33"/>
        <v>494</v>
      </c>
      <c r="T152" s="193"/>
      <c r="U152" s="193"/>
      <c r="V152" s="192">
        <v>0</v>
      </c>
      <c r="W152" s="192">
        <f t="shared" si="34"/>
        <v>-494</v>
      </c>
      <c r="X152" s="193"/>
      <c r="Y152" s="193"/>
      <c r="Z152" s="194">
        <f t="shared" si="31"/>
        <v>1</v>
      </c>
      <c r="AA152" s="56" t="s">
        <v>24</v>
      </c>
      <c r="AB152" s="162" t="s">
        <v>1362</v>
      </c>
    </row>
    <row r="153" spans="1:28" s="16" customFormat="1" ht="51.75" customHeight="1">
      <c r="A153" s="161"/>
      <c r="B153" s="20">
        <v>46300</v>
      </c>
      <c r="C153" s="18">
        <v>46312</v>
      </c>
      <c r="D153" s="53">
        <v>46315</v>
      </c>
      <c r="E153" s="20">
        <v>46324</v>
      </c>
      <c r="F153" s="55" t="s">
        <v>25</v>
      </c>
      <c r="G153" s="25" t="s">
        <v>105</v>
      </c>
      <c r="H153" s="161" t="s">
        <v>1349</v>
      </c>
      <c r="I153" s="161"/>
      <c r="J153" s="56" t="s">
        <v>18</v>
      </c>
      <c r="K153" s="140">
        <v>48788</v>
      </c>
      <c r="L153" s="17">
        <v>150</v>
      </c>
      <c r="M153" s="17" t="s">
        <v>19</v>
      </c>
      <c r="N153" s="52" t="s">
        <v>1268</v>
      </c>
      <c r="O153" s="52" t="s">
        <v>20</v>
      </c>
      <c r="P153" s="17">
        <v>385</v>
      </c>
      <c r="Q153" s="25">
        <f t="shared" si="32"/>
        <v>385</v>
      </c>
      <c r="R153" s="191">
        <v>0</v>
      </c>
      <c r="S153" s="192">
        <f t="shared" si="33"/>
        <v>385</v>
      </c>
      <c r="T153" s="193"/>
      <c r="U153" s="193"/>
      <c r="V153" s="192">
        <v>0</v>
      </c>
      <c r="W153" s="192">
        <f t="shared" si="34"/>
        <v>-385</v>
      </c>
      <c r="X153" s="193"/>
      <c r="Y153" s="193"/>
      <c r="Z153" s="194">
        <f t="shared" si="31"/>
        <v>1</v>
      </c>
      <c r="AA153" s="56" t="s">
        <v>24</v>
      </c>
      <c r="AB153" s="162" t="s">
        <v>1362</v>
      </c>
    </row>
    <row r="154" spans="1:28" s="16" customFormat="1" ht="51.75" customHeight="1">
      <c r="A154" s="161"/>
      <c r="B154" s="20">
        <v>46300</v>
      </c>
      <c r="C154" s="18">
        <v>46312</v>
      </c>
      <c r="D154" s="53">
        <v>46315</v>
      </c>
      <c r="E154" s="20">
        <v>46324</v>
      </c>
      <c r="F154" s="55" t="s">
        <v>25</v>
      </c>
      <c r="G154" s="25" t="s">
        <v>105</v>
      </c>
      <c r="H154" s="161" t="s">
        <v>1349</v>
      </c>
      <c r="I154" s="161"/>
      <c r="J154" s="56" t="s">
        <v>18</v>
      </c>
      <c r="K154" s="140">
        <v>48788</v>
      </c>
      <c r="L154" s="17">
        <v>150</v>
      </c>
      <c r="M154" s="17" t="s">
        <v>19</v>
      </c>
      <c r="N154" s="52" t="s">
        <v>1145</v>
      </c>
      <c r="O154" s="52" t="s">
        <v>20</v>
      </c>
      <c r="P154" s="17">
        <v>629</v>
      </c>
      <c r="Q154" s="25">
        <f t="shared" si="32"/>
        <v>629</v>
      </c>
      <c r="R154" s="191">
        <v>0</v>
      </c>
      <c r="S154" s="192">
        <f t="shared" si="33"/>
        <v>629</v>
      </c>
      <c r="T154" s="193"/>
      <c r="U154" s="193"/>
      <c r="V154" s="192">
        <v>0</v>
      </c>
      <c r="W154" s="192">
        <f t="shared" si="34"/>
        <v>-629</v>
      </c>
      <c r="X154" s="193"/>
      <c r="Y154" s="193"/>
      <c r="Z154" s="194">
        <f t="shared" si="31"/>
        <v>1</v>
      </c>
      <c r="AA154" s="56" t="s">
        <v>24</v>
      </c>
      <c r="AB154" s="162" t="s">
        <v>1362</v>
      </c>
    </row>
    <row r="155" spans="1:28" s="16" customFormat="1" ht="51.75" customHeight="1">
      <c r="A155" s="161"/>
      <c r="B155" s="20">
        <v>46300</v>
      </c>
      <c r="C155" s="18">
        <v>46312</v>
      </c>
      <c r="D155" s="53">
        <v>46315</v>
      </c>
      <c r="E155" s="20">
        <v>46324</v>
      </c>
      <c r="F155" s="55" t="s">
        <v>121</v>
      </c>
      <c r="G155" s="25" t="s">
        <v>105</v>
      </c>
      <c r="H155" s="161" t="s">
        <v>1350</v>
      </c>
      <c r="I155" s="161"/>
      <c r="J155" s="56" t="s">
        <v>18</v>
      </c>
      <c r="K155" s="140">
        <v>48788</v>
      </c>
      <c r="L155" s="17">
        <v>150</v>
      </c>
      <c r="M155" s="17" t="s">
        <v>19</v>
      </c>
      <c r="N155" s="52" t="s">
        <v>59</v>
      </c>
      <c r="O155" s="52" t="s">
        <v>20</v>
      </c>
      <c r="P155" s="17">
        <v>531</v>
      </c>
      <c r="Q155" s="25">
        <f t="shared" si="32"/>
        <v>-19</v>
      </c>
      <c r="R155" s="191">
        <f>550</f>
        <v>550</v>
      </c>
      <c r="S155" s="192">
        <f t="shared" si="33"/>
        <v>-19</v>
      </c>
      <c r="T155" s="193">
        <v>3753</v>
      </c>
      <c r="U155" s="193" t="s">
        <v>1374</v>
      </c>
      <c r="V155" s="192">
        <v>0</v>
      </c>
      <c r="W155" s="192">
        <f t="shared" si="34"/>
        <v>-531</v>
      </c>
      <c r="X155" s="193"/>
      <c r="Y155" s="193"/>
      <c r="Z155" s="194">
        <f t="shared" si="31"/>
        <v>1</v>
      </c>
      <c r="AA155" s="56" t="s">
        <v>24</v>
      </c>
      <c r="AB155" s="162" t="s">
        <v>1362</v>
      </c>
    </row>
    <row r="156" spans="1:28" s="16" customFormat="1" ht="51.75" customHeight="1">
      <c r="A156" s="161"/>
      <c r="B156" s="20">
        <v>46303</v>
      </c>
      <c r="C156" s="18">
        <v>46316</v>
      </c>
      <c r="D156" s="53">
        <v>46318</v>
      </c>
      <c r="E156" s="20">
        <v>46325</v>
      </c>
      <c r="F156" s="55" t="s">
        <v>25</v>
      </c>
      <c r="G156" s="25" t="s">
        <v>105</v>
      </c>
      <c r="H156" s="161" t="s">
        <v>1349</v>
      </c>
      <c r="I156" s="161"/>
      <c r="J156" s="56" t="s">
        <v>18</v>
      </c>
      <c r="K156" s="140">
        <v>48803</v>
      </c>
      <c r="L156" s="17">
        <v>180</v>
      </c>
      <c r="M156" s="17" t="s">
        <v>35</v>
      </c>
      <c r="N156" s="52" t="s">
        <v>1269</v>
      </c>
      <c r="O156" s="52" t="s">
        <v>1270</v>
      </c>
      <c r="P156" s="17">
        <v>96</v>
      </c>
      <c r="Q156" s="25">
        <f t="shared" si="32"/>
        <v>96</v>
      </c>
      <c r="R156" s="191">
        <v>0</v>
      </c>
      <c r="S156" s="192">
        <f t="shared" si="33"/>
        <v>96</v>
      </c>
      <c r="T156" s="193"/>
      <c r="U156" s="193"/>
      <c r="V156" s="192">
        <v>0</v>
      </c>
      <c r="W156" s="192">
        <f t="shared" si="34"/>
        <v>-96</v>
      </c>
      <c r="X156" s="193"/>
      <c r="Y156" s="193"/>
      <c r="Z156" s="194">
        <f t="shared" si="31"/>
        <v>1</v>
      </c>
      <c r="AA156" s="55" t="s">
        <v>179</v>
      </c>
      <c r="AB156" s="162"/>
    </row>
    <row r="157" spans="1:28" s="16" customFormat="1" ht="51.75" customHeight="1">
      <c r="A157" s="161"/>
      <c r="B157" s="20">
        <v>46303</v>
      </c>
      <c r="C157" s="18">
        <v>46316</v>
      </c>
      <c r="D157" s="53">
        <v>46318</v>
      </c>
      <c r="E157" s="20">
        <v>46325</v>
      </c>
      <c r="F157" s="55" t="s">
        <v>23</v>
      </c>
      <c r="G157" s="25" t="s">
        <v>105</v>
      </c>
      <c r="H157" s="161" t="s">
        <v>1349</v>
      </c>
      <c r="I157" s="161"/>
      <c r="J157" s="56" t="s">
        <v>18</v>
      </c>
      <c r="K157" s="140">
        <v>48803</v>
      </c>
      <c r="L157" s="17">
        <v>180</v>
      </c>
      <c r="M157" s="17" t="s">
        <v>35</v>
      </c>
      <c r="N157" s="52" t="s">
        <v>126</v>
      </c>
      <c r="O157" s="52" t="s">
        <v>1270</v>
      </c>
      <c r="P157" s="17">
        <v>132</v>
      </c>
      <c r="Q157" s="25">
        <f t="shared" si="32"/>
        <v>132</v>
      </c>
      <c r="R157" s="191">
        <v>0</v>
      </c>
      <c r="S157" s="192">
        <f t="shared" si="33"/>
        <v>132</v>
      </c>
      <c r="T157" s="193"/>
      <c r="U157" s="193"/>
      <c r="V157" s="192">
        <v>0</v>
      </c>
      <c r="W157" s="192">
        <f t="shared" si="34"/>
        <v>-132</v>
      </c>
      <c r="X157" s="193"/>
      <c r="Y157" s="193"/>
      <c r="Z157" s="194">
        <f t="shared" si="31"/>
        <v>1</v>
      </c>
      <c r="AA157" s="55" t="s">
        <v>179</v>
      </c>
      <c r="AB157" s="162"/>
    </row>
    <row r="158" spans="1:28" s="16" customFormat="1" ht="51.75" customHeight="1">
      <c r="A158" s="161"/>
      <c r="B158" s="20">
        <v>46302</v>
      </c>
      <c r="C158" s="18">
        <v>46315</v>
      </c>
      <c r="D158" s="53">
        <v>46318</v>
      </c>
      <c r="E158" s="20">
        <v>46326</v>
      </c>
      <c r="F158" s="55" t="s">
        <v>25</v>
      </c>
      <c r="G158" s="25" t="s">
        <v>105</v>
      </c>
      <c r="H158" s="161" t="s">
        <v>1349</v>
      </c>
      <c r="I158" s="161"/>
      <c r="J158" s="56" t="s">
        <v>18</v>
      </c>
      <c r="K158" s="140">
        <v>48805</v>
      </c>
      <c r="L158" s="17">
        <v>180</v>
      </c>
      <c r="M158" s="17" t="s">
        <v>35</v>
      </c>
      <c r="N158" s="52" t="s">
        <v>1269</v>
      </c>
      <c r="O158" s="52" t="s">
        <v>1270</v>
      </c>
      <c r="P158" s="17">
        <v>159</v>
      </c>
      <c r="Q158" s="25">
        <f t="shared" si="32"/>
        <v>159</v>
      </c>
      <c r="R158" s="191">
        <v>0</v>
      </c>
      <c r="S158" s="192">
        <f t="shared" si="33"/>
        <v>159</v>
      </c>
      <c r="T158" s="193"/>
      <c r="U158" s="193"/>
      <c r="V158" s="192">
        <v>0</v>
      </c>
      <c r="W158" s="192">
        <f t="shared" si="34"/>
        <v>-159</v>
      </c>
      <c r="X158" s="193"/>
      <c r="Y158" s="193"/>
      <c r="Z158" s="194">
        <f t="shared" si="31"/>
        <v>1</v>
      </c>
      <c r="AA158" s="55" t="s">
        <v>179</v>
      </c>
      <c r="AB158" s="162"/>
    </row>
    <row r="159" spans="1:28" s="16" customFormat="1" ht="69.75" customHeight="1">
      <c r="A159" s="161"/>
      <c r="B159" s="20">
        <v>46302</v>
      </c>
      <c r="C159" s="18">
        <v>46315</v>
      </c>
      <c r="D159" s="53">
        <v>46318</v>
      </c>
      <c r="E159" s="20">
        <v>46326</v>
      </c>
      <c r="F159" s="55" t="s">
        <v>23</v>
      </c>
      <c r="G159" s="25" t="s">
        <v>105</v>
      </c>
      <c r="H159" s="161" t="s">
        <v>1349</v>
      </c>
      <c r="I159" s="161"/>
      <c r="J159" s="56" t="s">
        <v>18</v>
      </c>
      <c r="K159" s="140">
        <v>48805</v>
      </c>
      <c r="L159" s="17">
        <v>180</v>
      </c>
      <c r="M159" s="17" t="s">
        <v>35</v>
      </c>
      <c r="N159" s="52" t="s">
        <v>126</v>
      </c>
      <c r="O159" s="52" t="s">
        <v>1270</v>
      </c>
      <c r="P159" s="17">
        <v>175</v>
      </c>
      <c r="Q159" s="25">
        <f t="shared" si="32"/>
        <v>175</v>
      </c>
      <c r="R159" s="191">
        <v>0</v>
      </c>
      <c r="S159" s="192">
        <f t="shared" si="33"/>
        <v>175</v>
      </c>
      <c r="T159" s="193"/>
      <c r="U159" s="193"/>
      <c r="V159" s="192">
        <v>0</v>
      </c>
      <c r="W159" s="192">
        <f t="shared" si="34"/>
        <v>-175</v>
      </c>
      <c r="X159" s="193"/>
      <c r="Y159" s="193"/>
      <c r="Z159" s="194">
        <f t="shared" si="31"/>
        <v>1</v>
      </c>
      <c r="AA159" s="55" t="s">
        <v>179</v>
      </c>
      <c r="AB159" s="162"/>
    </row>
    <row r="160" spans="1:28" s="16" customFormat="1" ht="51.75" customHeight="1">
      <c r="A160" s="161"/>
      <c r="B160" s="20">
        <v>46298</v>
      </c>
      <c r="C160" s="18">
        <v>46312</v>
      </c>
      <c r="D160" s="53">
        <v>46315</v>
      </c>
      <c r="E160" s="20">
        <v>46324</v>
      </c>
      <c r="F160" s="55" t="s">
        <v>23</v>
      </c>
      <c r="G160" s="25" t="s">
        <v>105</v>
      </c>
      <c r="H160" s="161" t="s">
        <v>1349</v>
      </c>
      <c r="I160" s="161"/>
      <c r="J160" s="56" t="s">
        <v>18</v>
      </c>
      <c r="K160" s="140">
        <v>48810</v>
      </c>
      <c r="L160" s="17">
        <v>160</v>
      </c>
      <c r="M160" s="17" t="s">
        <v>42</v>
      </c>
      <c r="N160" s="52" t="s">
        <v>27</v>
      </c>
      <c r="O160" s="52" t="s">
        <v>306</v>
      </c>
      <c r="P160" s="17">
        <v>351</v>
      </c>
      <c r="Q160" s="25">
        <f t="shared" si="32"/>
        <v>351</v>
      </c>
      <c r="R160" s="191">
        <v>0</v>
      </c>
      <c r="S160" s="192">
        <f t="shared" si="33"/>
        <v>351</v>
      </c>
      <c r="T160" s="193"/>
      <c r="U160" s="193"/>
      <c r="V160" s="192">
        <v>0</v>
      </c>
      <c r="W160" s="192">
        <f t="shared" si="34"/>
        <v>-351</v>
      </c>
      <c r="X160" s="193"/>
      <c r="Y160" s="193"/>
      <c r="Z160" s="194">
        <f t="shared" si="31"/>
        <v>1</v>
      </c>
      <c r="AA160" s="55" t="s">
        <v>179</v>
      </c>
      <c r="AB160" s="162" t="s">
        <v>1355</v>
      </c>
    </row>
    <row r="161" spans="1:28" s="16" customFormat="1" ht="51.75" customHeight="1">
      <c r="A161" s="161"/>
      <c r="B161" s="20">
        <v>46298</v>
      </c>
      <c r="C161" s="18">
        <v>46312</v>
      </c>
      <c r="D161" s="53">
        <v>46315</v>
      </c>
      <c r="E161" s="20">
        <v>46324</v>
      </c>
      <c r="F161" s="55" t="s">
        <v>25</v>
      </c>
      <c r="G161" s="25" t="s">
        <v>105</v>
      </c>
      <c r="H161" s="161" t="s">
        <v>1349</v>
      </c>
      <c r="I161" s="161"/>
      <c r="J161" s="56" t="s">
        <v>18</v>
      </c>
      <c r="K161" s="140">
        <v>48810</v>
      </c>
      <c r="L161" s="17">
        <v>160</v>
      </c>
      <c r="M161" s="17" t="s">
        <v>42</v>
      </c>
      <c r="N161" s="52" t="s">
        <v>1267</v>
      </c>
      <c r="O161" s="52" t="s">
        <v>306</v>
      </c>
      <c r="P161" s="17">
        <v>212</v>
      </c>
      <c r="Q161" s="25">
        <f t="shared" si="32"/>
        <v>212</v>
      </c>
      <c r="R161" s="191">
        <v>0</v>
      </c>
      <c r="S161" s="192">
        <f t="shared" si="33"/>
        <v>212</v>
      </c>
      <c r="T161" s="193"/>
      <c r="U161" s="193"/>
      <c r="V161" s="192">
        <v>0</v>
      </c>
      <c r="W161" s="192">
        <f t="shared" si="34"/>
        <v>-212</v>
      </c>
      <c r="X161" s="193"/>
      <c r="Y161" s="193"/>
      <c r="Z161" s="194">
        <f t="shared" si="31"/>
        <v>1</v>
      </c>
      <c r="AA161" s="55" t="s">
        <v>179</v>
      </c>
      <c r="AB161" s="162"/>
    </row>
    <row r="162" spans="1:28" s="16" customFormat="1" ht="51.75" customHeight="1">
      <c r="A162" s="161"/>
      <c r="B162" s="20">
        <v>46296</v>
      </c>
      <c r="C162" s="18">
        <v>46309</v>
      </c>
      <c r="D162" s="53">
        <v>46312</v>
      </c>
      <c r="E162" s="20">
        <v>46319</v>
      </c>
      <c r="F162" s="55" t="s">
        <v>23</v>
      </c>
      <c r="G162" s="25" t="s">
        <v>105</v>
      </c>
      <c r="H162" s="161" t="s">
        <v>1349</v>
      </c>
      <c r="I162" s="161"/>
      <c r="J162" s="56" t="s">
        <v>18</v>
      </c>
      <c r="K162" s="140">
        <v>48811</v>
      </c>
      <c r="L162" s="17">
        <v>160</v>
      </c>
      <c r="M162" s="17" t="s">
        <v>42</v>
      </c>
      <c r="N162" s="52" t="s">
        <v>27</v>
      </c>
      <c r="O162" s="52" t="s">
        <v>306</v>
      </c>
      <c r="P162" s="17">
        <v>157</v>
      </c>
      <c r="Q162" s="25">
        <f t="shared" si="32"/>
        <v>157</v>
      </c>
      <c r="R162" s="191">
        <v>0</v>
      </c>
      <c r="S162" s="192">
        <f t="shared" si="33"/>
        <v>157</v>
      </c>
      <c r="T162" s="193"/>
      <c r="U162" s="193"/>
      <c r="V162" s="192">
        <v>0</v>
      </c>
      <c r="W162" s="192">
        <f t="shared" si="34"/>
        <v>-157</v>
      </c>
      <c r="X162" s="193"/>
      <c r="Y162" s="193"/>
      <c r="Z162" s="194">
        <f t="shared" si="31"/>
        <v>1</v>
      </c>
      <c r="AA162" s="55" t="s">
        <v>179</v>
      </c>
      <c r="AB162" s="162" t="s">
        <v>1355</v>
      </c>
    </row>
    <row r="163" spans="1:28" s="16" customFormat="1" ht="51.75" customHeight="1">
      <c r="A163" s="161"/>
      <c r="B163" s="20">
        <v>46296</v>
      </c>
      <c r="C163" s="18">
        <v>46309</v>
      </c>
      <c r="D163" s="53">
        <v>46312</v>
      </c>
      <c r="E163" s="20">
        <v>46319</v>
      </c>
      <c r="F163" s="55" t="s">
        <v>25</v>
      </c>
      <c r="G163" s="25" t="s">
        <v>105</v>
      </c>
      <c r="H163" s="161" t="s">
        <v>1349</v>
      </c>
      <c r="I163" s="161"/>
      <c r="J163" s="56" t="s">
        <v>18</v>
      </c>
      <c r="K163" s="140">
        <v>48811</v>
      </c>
      <c r="L163" s="17">
        <v>160</v>
      </c>
      <c r="M163" s="17" t="s">
        <v>42</v>
      </c>
      <c r="N163" s="52" t="s">
        <v>1267</v>
      </c>
      <c r="O163" s="52" t="s">
        <v>306</v>
      </c>
      <c r="P163" s="17">
        <v>89</v>
      </c>
      <c r="Q163" s="25">
        <f t="shared" si="32"/>
        <v>89</v>
      </c>
      <c r="R163" s="191">
        <v>0</v>
      </c>
      <c r="S163" s="192">
        <f t="shared" si="33"/>
        <v>89</v>
      </c>
      <c r="T163" s="193"/>
      <c r="U163" s="193"/>
      <c r="V163" s="192">
        <v>0</v>
      </c>
      <c r="W163" s="192">
        <f t="shared" si="34"/>
        <v>-89</v>
      </c>
      <c r="X163" s="193"/>
      <c r="Y163" s="193"/>
      <c r="Z163" s="194">
        <f t="shared" si="31"/>
        <v>1</v>
      </c>
      <c r="AA163" s="55" t="s">
        <v>179</v>
      </c>
      <c r="AB163" s="162"/>
    </row>
    <row r="164" spans="1:28" s="16" customFormat="1" ht="51.75" customHeight="1">
      <c r="A164" s="161"/>
      <c r="B164" s="20">
        <v>46300</v>
      </c>
      <c r="C164" s="18">
        <v>46313</v>
      </c>
      <c r="D164" s="53">
        <v>46317</v>
      </c>
      <c r="E164" s="20">
        <v>46322</v>
      </c>
      <c r="F164" s="55" t="s">
        <v>23</v>
      </c>
      <c r="G164" s="25" t="s">
        <v>105</v>
      </c>
      <c r="H164" s="161" t="s">
        <v>1349</v>
      </c>
      <c r="I164" s="161"/>
      <c r="J164" s="56" t="s">
        <v>18</v>
      </c>
      <c r="K164" s="140">
        <v>48812</v>
      </c>
      <c r="L164" s="17">
        <v>160</v>
      </c>
      <c r="M164" s="17" t="s">
        <v>42</v>
      </c>
      <c r="N164" s="52" t="s">
        <v>27</v>
      </c>
      <c r="O164" s="52" t="s">
        <v>306</v>
      </c>
      <c r="P164" s="17">
        <v>43</v>
      </c>
      <c r="Q164" s="25">
        <f t="shared" si="32"/>
        <v>43</v>
      </c>
      <c r="R164" s="191">
        <v>0</v>
      </c>
      <c r="S164" s="192">
        <f t="shared" si="33"/>
        <v>43</v>
      </c>
      <c r="T164" s="193"/>
      <c r="U164" s="193"/>
      <c r="V164" s="192">
        <v>0</v>
      </c>
      <c r="W164" s="192">
        <f t="shared" si="34"/>
        <v>-43</v>
      </c>
      <c r="X164" s="193"/>
      <c r="Y164" s="193"/>
      <c r="Z164" s="194">
        <f t="shared" si="31"/>
        <v>1</v>
      </c>
      <c r="AA164" s="55" t="s">
        <v>179</v>
      </c>
      <c r="AB164" s="162" t="s">
        <v>1355</v>
      </c>
    </row>
    <row r="165" spans="1:28" s="16" customFormat="1" ht="51.75" customHeight="1">
      <c r="A165" s="161"/>
      <c r="B165" s="20">
        <v>46300</v>
      </c>
      <c r="C165" s="18">
        <v>46313</v>
      </c>
      <c r="D165" s="53">
        <v>46317</v>
      </c>
      <c r="E165" s="20">
        <v>46322</v>
      </c>
      <c r="F165" s="55" t="s">
        <v>25</v>
      </c>
      <c r="G165" s="25" t="s">
        <v>105</v>
      </c>
      <c r="H165" s="161" t="s">
        <v>1349</v>
      </c>
      <c r="I165" s="161"/>
      <c r="J165" s="56" t="s">
        <v>18</v>
      </c>
      <c r="K165" s="140">
        <v>48812</v>
      </c>
      <c r="L165" s="17">
        <v>160</v>
      </c>
      <c r="M165" s="17" t="s">
        <v>42</v>
      </c>
      <c r="N165" s="52" t="s">
        <v>1267</v>
      </c>
      <c r="O165" s="52" t="s">
        <v>306</v>
      </c>
      <c r="P165" s="17">
        <v>55</v>
      </c>
      <c r="Q165" s="25">
        <f t="shared" si="32"/>
        <v>55</v>
      </c>
      <c r="R165" s="191">
        <v>0</v>
      </c>
      <c r="S165" s="192">
        <f t="shared" si="33"/>
        <v>55</v>
      </c>
      <c r="T165" s="193"/>
      <c r="U165" s="193"/>
      <c r="V165" s="192">
        <v>0</v>
      </c>
      <c r="W165" s="192">
        <f t="shared" si="34"/>
        <v>-55</v>
      </c>
      <c r="X165" s="193"/>
      <c r="Y165" s="193"/>
      <c r="Z165" s="194">
        <f t="shared" si="31"/>
        <v>1</v>
      </c>
      <c r="AA165" s="55" t="s">
        <v>179</v>
      </c>
      <c r="AB165" s="162"/>
    </row>
    <row r="166" spans="1:28" s="16" customFormat="1" ht="51.75" customHeight="1">
      <c r="A166" s="161"/>
      <c r="B166" s="20">
        <v>46298</v>
      </c>
      <c r="C166" s="18">
        <v>46310</v>
      </c>
      <c r="D166" s="53">
        <v>46311</v>
      </c>
      <c r="E166" s="20">
        <v>46317</v>
      </c>
      <c r="F166" s="55" t="s">
        <v>23</v>
      </c>
      <c r="G166" s="25" t="s">
        <v>62</v>
      </c>
      <c r="H166" s="161"/>
      <c r="I166" s="161"/>
      <c r="J166" s="56" t="s">
        <v>18</v>
      </c>
      <c r="K166" s="140" t="s">
        <v>1275</v>
      </c>
      <c r="L166" s="17">
        <v>200</v>
      </c>
      <c r="M166" s="17" t="s">
        <v>45</v>
      </c>
      <c r="N166" s="52" t="s">
        <v>323</v>
      </c>
      <c r="O166" s="52" t="s">
        <v>28</v>
      </c>
      <c r="P166" s="17">
        <v>262</v>
      </c>
      <c r="Q166" s="25">
        <f t="shared" si="32"/>
        <v>262</v>
      </c>
      <c r="R166" s="191">
        <v>0</v>
      </c>
      <c r="S166" s="192">
        <f t="shared" si="33"/>
        <v>262</v>
      </c>
      <c r="T166" s="193"/>
      <c r="U166" s="193"/>
      <c r="V166" s="192">
        <v>0</v>
      </c>
      <c r="W166" s="192">
        <f t="shared" si="34"/>
        <v>-262</v>
      </c>
      <c r="X166" s="193"/>
      <c r="Y166" s="193"/>
      <c r="Z166" s="194">
        <f t="shared" si="31"/>
        <v>1</v>
      </c>
      <c r="AA166" s="56" t="s">
        <v>39</v>
      </c>
      <c r="AB166" s="162"/>
    </row>
    <row r="167" spans="1:28" s="16" customFormat="1" ht="51.75" customHeight="1">
      <c r="A167" s="161"/>
      <c r="B167" s="20">
        <v>46298</v>
      </c>
      <c r="C167" s="18">
        <v>46310</v>
      </c>
      <c r="D167" s="53">
        <v>46311</v>
      </c>
      <c r="E167" s="20">
        <v>46317</v>
      </c>
      <c r="F167" s="55" t="s">
        <v>23</v>
      </c>
      <c r="G167" s="25" t="s">
        <v>62</v>
      </c>
      <c r="H167" s="161"/>
      <c r="I167" s="161"/>
      <c r="J167" s="56" t="s">
        <v>18</v>
      </c>
      <c r="K167" s="140" t="s">
        <v>1275</v>
      </c>
      <c r="L167" s="17">
        <v>200</v>
      </c>
      <c r="M167" s="17" t="s">
        <v>45</v>
      </c>
      <c r="N167" s="52" t="s">
        <v>54</v>
      </c>
      <c r="O167" s="52" t="s">
        <v>28</v>
      </c>
      <c r="P167" s="17">
        <v>272</v>
      </c>
      <c r="Q167" s="25">
        <f t="shared" si="32"/>
        <v>272</v>
      </c>
      <c r="R167" s="191">
        <v>0</v>
      </c>
      <c r="S167" s="192">
        <f t="shared" si="33"/>
        <v>272</v>
      </c>
      <c r="T167" s="193"/>
      <c r="U167" s="193"/>
      <c r="V167" s="192">
        <v>0</v>
      </c>
      <c r="W167" s="192">
        <f t="shared" si="34"/>
        <v>-272</v>
      </c>
      <c r="X167" s="193"/>
      <c r="Y167" s="193"/>
      <c r="Z167" s="194">
        <f t="shared" si="31"/>
        <v>1</v>
      </c>
      <c r="AA167" s="56" t="s">
        <v>39</v>
      </c>
      <c r="AB167" s="162"/>
    </row>
    <row r="168" spans="1:28" s="16" customFormat="1" ht="51.75" customHeight="1">
      <c r="A168" s="161"/>
      <c r="B168" s="20">
        <v>46301</v>
      </c>
      <c r="C168" s="18">
        <v>46315</v>
      </c>
      <c r="D168" s="53">
        <v>46318</v>
      </c>
      <c r="E168" s="20">
        <v>46325</v>
      </c>
      <c r="F168" s="55" t="s">
        <v>50</v>
      </c>
      <c r="G168" s="25" t="s">
        <v>62</v>
      </c>
      <c r="H168" s="161"/>
      <c r="I168" s="161"/>
      <c r="J168" s="56" t="s">
        <v>162</v>
      </c>
      <c r="K168" s="141" t="s">
        <v>1276</v>
      </c>
      <c r="L168" s="17">
        <v>140</v>
      </c>
      <c r="M168" s="17" t="s">
        <v>67</v>
      </c>
      <c r="N168" s="52" t="s">
        <v>1277</v>
      </c>
      <c r="O168" s="52" t="s">
        <v>20</v>
      </c>
      <c r="P168" s="17">
        <v>202</v>
      </c>
      <c r="Q168" s="25">
        <f t="shared" si="32"/>
        <v>202</v>
      </c>
      <c r="R168" s="191">
        <v>0</v>
      </c>
      <c r="S168" s="192">
        <f t="shared" si="33"/>
        <v>202</v>
      </c>
      <c r="T168" s="193"/>
      <c r="U168" s="193"/>
      <c r="V168" s="192">
        <v>0</v>
      </c>
      <c r="W168" s="192">
        <f t="shared" si="34"/>
        <v>-202</v>
      </c>
      <c r="X168" s="193"/>
      <c r="Y168" s="193"/>
      <c r="Z168" s="194">
        <f t="shared" si="31"/>
        <v>1</v>
      </c>
      <c r="AA168" s="56" t="s">
        <v>400</v>
      </c>
      <c r="AB168" s="162"/>
    </row>
    <row r="169" spans="1:28" s="16" customFormat="1" ht="51.75" customHeight="1">
      <c r="A169" s="161"/>
      <c r="B169" s="20">
        <v>46301</v>
      </c>
      <c r="C169" s="18">
        <v>46315</v>
      </c>
      <c r="D169" s="53">
        <v>46318</v>
      </c>
      <c r="E169" s="20">
        <v>46325</v>
      </c>
      <c r="F169" s="55" t="s">
        <v>38</v>
      </c>
      <c r="G169" s="25" t="s">
        <v>62</v>
      </c>
      <c r="H169" s="161"/>
      <c r="I169" s="161"/>
      <c r="J169" s="56" t="s">
        <v>162</v>
      </c>
      <c r="K169" s="141" t="s">
        <v>1276</v>
      </c>
      <c r="L169" s="17">
        <v>140</v>
      </c>
      <c r="M169" s="17" t="s">
        <v>67</v>
      </c>
      <c r="N169" s="52" t="s">
        <v>1278</v>
      </c>
      <c r="O169" s="52" t="s">
        <v>20</v>
      </c>
      <c r="P169" s="17">
        <v>202</v>
      </c>
      <c r="Q169" s="25">
        <f t="shared" si="32"/>
        <v>202</v>
      </c>
      <c r="R169" s="191">
        <v>0</v>
      </c>
      <c r="S169" s="192">
        <f t="shared" si="33"/>
        <v>202</v>
      </c>
      <c r="T169" s="193"/>
      <c r="U169" s="193"/>
      <c r="V169" s="192">
        <v>0</v>
      </c>
      <c r="W169" s="192">
        <f t="shared" si="34"/>
        <v>-202</v>
      </c>
      <c r="X169" s="193"/>
      <c r="Y169" s="193"/>
      <c r="Z169" s="194">
        <f t="shared" si="31"/>
        <v>1</v>
      </c>
      <c r="AA169" s="56" t="s">
        <v>400</v>
      </c>
      <c r="AB169" s="162"/>
    </row>
    <row r="170" spans="1:28" s="16" customFormat="1" ht="51.75" customHeight="1">
      <c r="A170" s="161"/>
      <c r="B170" s="144">
        <v>46300</v>
      </c>
      <c r="C170" s="118">
        <v>46313</v>
      </c>
      <c r="D170" s="224">
        <v>46314</v>
      </c>
      <c r="E170" s="144">
        <v>46319</v>
      </c>
      <c r="F170" s="55" t="s">
        <v>23</v>
      </c>
      <c r="G170" s="25" t="s">
        <v>99</v>
      </c>
      <c r="H170" s="161"/>
      <c r="I170" s="161"/>
      <c r="J170" s="56" t="s">
        <v>65</v>
      </c>
      <c r="K170" s="244">
        <v>48983</v>
      </c>
      <c r="L170" s="17">
        <v>250</v>
      </c>
      <c r="M170" s="17" t="s">
        <v>35</v>
      </c>
      <c r="N170" s="52" t="s">
        <v>269</v>
      </c>
      <c r="O170" s="52" t="s">
        <v>205</v>
      </c>
      <c r="P170" s="17">
        <v>528</v>
      </c>
      <c r="Q170" s="25">
        <f t="shared" si="28"/>
        <v>528</v>
      </c>
      <c r="R170" s="191">
        <v>0</v>
      </c>
      <c r="S170" s="192">
        <f t="shared" si="29"/>
        <v>528</v>
      </c>
      <c r="T170" s="193"/>
      <c r="U170" s="193"/>
      <c r="V170" s="192">
        <v>0</v>
      </c>
      <c r="W170" s="192">
        <f t="shared" si="30"/>
        <v>-528</v>
      </c>
      <c r="X170" s="193"/>
      <c r="Y170" s="193"/>
      <c r="Z170" s="194">
        <f t="shared" si="31"/>
        <v>1</v>
      </c>
      <c r="AA170" s="55" t="s">
        <v>63</v>
      </c>
      <c r="AB170" s="162"/>
    </row>
    <row r="171" spans="1:28" s="16" customFormat="1" ht="51.75" customHeight="1">
      <c r="A171" s="161"/>
      <c r="B171" s="20">
        <v>46296</v>
      </c>
      <c r="C171" s="18">
        <v>46308</v>
      </c>
      <c r="D171" s="53">
        <v>46309</v>
      </c>
      <c r="E171" s="20">
        <v>46318</v>
      </c>
      <c r="F171" s="55" t="s">
        <v>38</v>
      </c>
      <c r="G171" s="25" t="s">
        <v>62</v>
      </c>
      <c r="H171" s="161" t="s">
        <v>1349</v>
      </c>
      <c r="I171" s="161"/>
      <c r="J171" s="56" t="s">
        <v>34</v>
      </c>
      <c r="K171" s="57">
        <v>48444</v>
      </c>
      <c r="L171" s="17">
        <v>160</v>
      </c>
      <c r="M171" s="17" t="s">
        <v>122</v>
      </c>
      <c r="N171" s="52" t="s">
        <v>1281</v>
      </c>
      <c r="O171" s="52" t="s">
        <v>20</v>
      </c>
      <c r="P171" s="17">
        <v>883</v>
      </c>
      <c r="Q171" s="25">
        <f t="shared" ref="Q171:Q180" si="35">P171-R171</f>
        <v>883</v>
      </c>
      <c r="R171" s="191">
        <v>0</v>
      </c>
      <c r="S171" s="192">
        <f t="shared" ref="S171:S180" si="36">P171-R171</f>
        <v>883</v>
      </c>
      <c r="T171" s="193"/>
      <c r="U171" s="193"/>
      <c r="V171" s="192">
        <v>0</v>
      </c>
      <c r="W171" s="192">
        <f t="shared" ref="W171:W180" si="37">+V171-P171</f>
        <v>-883</v>
      </c>
      <c r="X171" s="193"/>
      <c r="Y171" s="193"/>
      <c r="Z171" s="194">
        <f t="shared" si="31"/>
        <v>1</v>
      </c>
      <c r="AA171" s="55" t="s">
        <v>31</v>
      </c>
      <c r="AB171" s="162" t="s">
        <v>1382</v>
      </c>
    </row>
    <row r="172" spans="1:28" s="16" customFormat="1" ht="51.75" customHeight="1">
      <c r="A172" s="161"/>
      <c r="B172" s="20">
        <v>46296</v>
      </c>
      <c r="C172" s="18">
        <v>46308</v>
      </c>
      <c r="D172" s="53">
        <v>46309</v>
      </c>
      <c r="E172" s="20">
        <v>46318</v>
      </c>
      <c r="F172" s="55" t="s">
        <v>38</v>
      </c>
      <c r="G172" s="25" t="s">
        <v>105</v>
      </c>
      <c r="H172" s="161" t="s">
        <v>1349</v>
      </c>
      <c r="I172" s="161"/>
      <c r="J172" s="56" t="s">
        <v>34</v>
      </c>
      <c r="K172" s="57">
        <v>48444</v>
      </c>
      <c r="L172" s="17">
        <v>160</v>
      </c>
      <c r="M172" s="17" t="s">
        <v>122</v>
      </c>
      <c r="N172" s="52" t="s">
        <v>1282</v>
      </c>
      <c r="O172" s="52" t="s">
        <v>20</v>
      </c>
      <c r="P172" s="17">
        <v>632</v>
      </c>
      <c r="Q172" s="25">
        <f t="shared" si="35"/>
        <v>632</v>
      </c>
      <c r="R172" s="191">
        <v>0</v>
      </c>
      <c r="S172" s="192">
        <f t="shared" si="36"/>
        <v>632</v>
      </c>
      <c r="T172" s="193"/>
      <c r="U172" s="193"/>
      <c r="V172" s="192">
        <v>0</v>
      </c>
      <c r="W172" s="192">
        <f t="shared" si="37"/>
        <v>-632</v>
      </c>
      <c r="X172" s="193"/>
      <c r="Y172" s="193"/>
      <c r="Z172" s="194">
        <f t="shared" si="31"/>
        <v>1</v>
      </c>
      <c r="AA172" s="55" t="s">
        <v>31</v>
      </c>
      <c r="AB172" s="162" t="s">
        <v>1382</v>
      </c>
    </row>
    <row r="173" spans="1:28" s="16" customFormat="1" ht="51.75" customHeight="1">
      <c r="A173" s="161"/>
      <c r="B173" s="20">
        <v>46296</v>
      </c>
      <c r="C173" s="18">
        <v>46308</v>
      </c>
      <c r="D173" s="53">
        <v>46309</v>
      </c>
      <c r="E173" s="20">
        <v>46319</v>
      </c>
      <c r="F173" s="55" t="s">
        <v>25</v>
      </c>
      <c r="G173" s="25" t="s">
        <v>62</v>
      </c>
      <c r="H173" s="161" t="s">
        <v>1349</v>
      </c>
      <c r="I173" s="161"/>
      <c r="J173" s="56" t="s">
        <v>34</v>
      </c>
      <c r="K173" s="57">
        <v>48316</v>
      </c>
      <c r="L173" s="17">
        <v>140</v>
      </c>
      <c r="M173" s="17" t="s">
        <v>122</v>
      </c>
      <c r="N173" s="52" t="s">
        <v>1072</v>
      </c>
      <c r="O173" s="52" t="s">
        <v>20</v>
      </c>
      <c r="P173" s="17">
        <v>798</v>
      </c>
      <c r="Q173" s="25">
        <f t="shared" si="35"/>
        <v>798</v>
      </c>
      <c r="R173" s="191">
        <v>0</v>
      </c>
      <c r="S173" s="192">
        <f t="shared" si="36"/>
        <v>798</v>
      </c>
      <c r="T173" s="193"/>
      <c r="U173" s="193"/>
      <c r="V173" s="192">
        <v>0</v>
      </c>
      <c r="W173" s="192">
        <f t="shared" si="37"/>
        <v>-798</v>
      </c>
      <c r="X173" s="193"/>
      <c r="Y173" s="193"/>
      <c r="Z173" s="194">
        <f t="shared" si="31"/>
        <v>1</v>
      </c>
      <c r="AA173" s="55" t="s">
        <v>31</v>
      </c>
      <c r="AB173" s="162" t="s">
        <v>1382</v>
      </c>
    </row>
    <row r="174" spans="1:28" s="16" customFormat="1" ht="51.75" customHeight="1">
      <c r="A174" s="161"/>
      <c r="B174" s="20">
        <v>46296</v>
      </c>
      <c r="C174" s="18">
        <v>46308</v>
      </c>
      <c r="D174" s="53">
        <v>46309</v>
      </c>
      <c r="E174" s="20">
        <v>46319</v>
      </c>
      <c r="F174" s="55" t="s">
        <v>1265</v>
      </c>
      <c r="G174" s="25" t="s">
        <v>62</v>
      </c>
      <c r="H174" s="161" t="s">
        <v>1349</v>
      </c>
      <c r="I174" s="161"/>
      <c r="J174" s="56" t="s">
        <v>34</v>
      </c>
      <c r="K174" s="57">
        <v>48316</v>
      </c>
      <c r="L174" s="17">
        <v>140</v>
      </c>
      <c r="M174" s="17" t="s">
        <v>122</v>
      </c>
      <c r="N174" s="52" t="s">
        <v>129</v>
      </c>
      <c r="O174" s="52" t="s">
        <v>20</v>
      </c>
      <c r="P174" s="17">
        <v>545</v>
      </c>
      <c r="Q174" s="25">
        <f t="shared" si="35"/>
        <v>545</v>
      </c>
      <c r="R174" s="191">
        <v>0</v>
      </c>
      <c r="S174" s="192">
        <f t="shared" si="36"/>
        <v>545</v>
      </c>
      <c r="T174" s="193"/>
      <c r="U174" s="193"/>
      <c r="V174" s="192">
        <v>0</v>
      </c>
      <c r="W174" s="192">
        <f t="shared" si="37"/>
        <v>-545</v>
      </c>
      <c r="X174" s="193"/>
      <c r="Y174" s="193"/>
      <c r="Z174" s="194">
        <f t="shared" si="31"/>
        <v>1</v>
      </c>
      <c r="AA174" s="55" t="s">
        <v>31</v>
      </c>
      <c r="AB174" s="162" t="s">
        <v>1382</v>
      </c>
    </row>
    <row r="175" spans="1:28" s="16" customFormat="1" ht="51.75" customHeight="1">
      <c r="A175" s="161"/>
      <c r="B175" s="20">
        <v>46296</v>
      </c>
      <c r="C175" s="18">
        <v>46308</v>
      </c>
      <c r="D175" s="53">
        <v>46309</v>
      </c>
      <c r="E175" s="20">
        <v>46319</v>
      </c>
      <c r="F175" s="55" t="s">
        <v>50</v>
      </c>
      <c r="G175" s="25" t="s">
        <v>105</v>
      </c>
      <c r="H175" s="161"/>
      <c r="I175" s="161"/>
      <c r="J175" s="56" t="s">
        <v>34</v>
      </c>
      <c r="K175" s="57">
        <v>48441</v>
      </c>
      <c r="L175" s="17">
        <v>140</v>
      </c>
      <c r="M175" s="17" t="s">
        <v>35</v>
      </c>
      <c r="N175" s="52" t="s">
        <v>1079</v>
      </c>
      <c r="O175" s="52" t="s">
        <v>20</v>
      </c>
      <c r="P175" s="17">
        <v>703</v>
      </c>
      <c r="Q175" s="25">
        <f t="shared" si="35"/>
        <v>703</v>
      </c>
      <c r="R175" s="191">
        <v>0</v>
      </c>
      <c r="S175" s="192">
        <f t="shared" si="36"/>
        <v>703</v>
      </c>
      <c r="T175" s="193"/>
      <c r="U175" s="193"/>
      <c r="V175" s="192">
        <v>0</v>
      </c>
      <c r="W175" s="192">
        <f t="shared" si="37"/>
        <v>-703</v>
      </c>
      <c r="X175" s="193"/>
      <c r="Y175" s="193"/>
      <c r="Z175" s="194">
        <f t="shared" si="31"/>
        <v>1</v>
      </c>
      <c r="AA175" s="55" t="s">
        <v>31</v>
      </c>
      <c r="AB175" s="162" t="s">
        <v>1382</v>
      </c>
    </row>
    <row r="176" spans="1:28" s="16" customFormat="1" ht="51.75" customHeight="1">
      <c r="A176" s="161"/>
      <c r="B176" s="20">
        <v>46296</v>
      </c>
      <c r="C176" s="18">
        <v>46307</v>
      </c>
      <c r="D176" s="53">
        <v>46308</v>
      </c>
      <c r="E176" s="20">
        <v>46316</v>
      </c>
      <c r="F176" s="55" t="s">
        <v>25</v>
      </c>
      <c r="G176" s="25" t="s">
        <v>62</v>
      </c>
      <c r="H176" s="161"/>
      <c r="I176" s="161"/>
      <c r="J176" s="56" t="s">
        <v>34</v>
      </c>
      <c r="K176" s="57">
        <v>48319</v>
      </c>
      <c r="L176" s="17">
        <v>140</v>
      </c>
      <c r="M176" s="17" t="s">
        <v>21</v>
      </c>
      <c r="N176" s="52" t="s">
        <v>1283</v>
      </c>
      <c r="O176" s="52" t="s">
        <v>20</v>
      </c>
      <c r="P176" s="17">
        <v>297</v>
      </c>
      <c r="Q176" s="25">
        <f t="shared" si="35"/>
        <v>297</v>
      </c>
      <c r="R176" s="191">
        <v>0</v>
      </c>
      <c r="S176" s="192">
        <f t="shared" si="36"/>
        <v>297</v>
      </c>
      <c r="T176" s="193"/>
      <c r="U176" s="193"/>
      <c r="V176" s="192">
        <v>0</v>
      </c>
      <c r="W176" s="192">
        <f t="shared" si="37"/>
        <v>-297</v>
      </c>
      <c r="X176" s="193"/>
      <c r="Y176" s="193"/>
      <c r="Z176" s="194">
        <f t="shared" si="31"/>
        <v>1</v>
      </c>
      <c r="AA176" s="55" t="s">
        <v>31</v>
      </c>
      <c r="AB176" s="162" t="s">
        <v>1382</v>
      </c>
    </row>
    <row r="177" spans="1:28" s="16" customFormat="1" ht="51.75" customHeight="1">
      <c r="A177" s="161"/>
      <c r="B177" s="20">
        <v>46296</v>
      </c>
      <c r="C177" s="18">
        <v>46307</v>
      </c>
      <c r="D177" s="53">
        <v>46308</v>
      </c>
      <c r="E177" s="20">
        <v>46316</v>
      </c>
      <c r="F177" s="55" t="s">
        <v>23</v>
      </c>
      <c r="G177" s="25" t="s">
        <v>62</v>
      </c>
      <c r="H177" s="161"/>
      <c r="I177" s="161"/>
      <c r="J177" s="56" t="s">
        <v>34</v>
      </c>
      <c r="K177" s="57">
        <v>48319</v>
      </c>
      <c r="L177" s="17">
        <v>140</v>
      </c>
      <c r="M177" s="17" t="s">
        <v>21</v>
      </c>
      <c r="N177" s="52" t="s">
        <v>1284</v>
      </c>
      <c r="O177" s="52" t="s">
        <v>20</v>
      </c>
      <c r="P177" s="17">
        <v>297</v>
      </c>
      <c r="Q177" s="25">
        <f t="shared" si="35"/>
        <v>297</v>
      </c>
      <c r="R177" s="191">
        <v>0</v>
      </c>
      <c r="S177" s="192">
        <f t="shared" si="36"/>
        <v>297</v>
      </c>
      <c r="T177" s="193"/>
      <c r="U177" s="193"/>
      <c r="V177" s="192">
        <v>0</v>
      </c>
      <c r="W177" s="192">
        <f t="shared" si="37"/>
        <v>-297</v>
      </c>
      <c r="X177" s="193"/>
      <c r="Y177" s="193"/>
      <c r="Z177" s="194">
        <f t="shared" si="31"/>
        <v>1</v>
      </c>
      <c r="AA177" s="55" t="s">
        <v>31</v>
      </c>
      <c r="AB177" s="162" t="s">
        <v>1382</v>
      </c>
    </row>
    <row r="178" spans="1:28" s="16" customFormat="1" ht="51.75" customHeight="1">
      <c r="A178" s="161"/>
      <c r="B178" s="20">
        <v>46296</v>
      </c>
      <c r="C178" s="18">
        <v>46307</v>
      </c>
      <c r="D178" s="53">
        <v>46308</v>
      </c>
      <c r="E178" s="20">
        <v>46316</v>
      </c>
      <c r="F178" s="55" t="s">
        <v>23</v>
      </c>
      <c r="G178" s="25" t="s">
        <v>62</v>
      </c>
      <c r="H178" s="161"/>
      <c r="I178" s="161"/>
      <c r="J178" s="56" t="s">
        <v>34</v>
      </c>
      <c r="K178" s="57">
        <v>48319</v>
      </c>
      <c r="L178" s="17">
        <v>140</v>
      </c>
      <c r="M178" s="17" t="s">
        <v>21</v>
      </c>
      <c r="N178" s="52" t="s">
        <v>1158</v>
      </c>
      <c r="O178" s="52" t="s">
        <v>20</v>
      </c>
      <c r="P178" s="17">
        <v>297</v>
      </c>
      <c r="Q178" s="25">
        <f t="shared" si="35"/>
        <v>297</v>
      </c>
      <c r="R178" s="191">
        <v>0</v>
      </c>
      <c r="S178" s="192">
        <f t="shared" si="36"/>
        <v>297</v>
      </c>
      <c r="T178" s="193"/>
      <c r="U178" s="193"/>
      <c r="V178" s="192">
        <v>0</v>
      </c>
      <c r="W178" s="192">
        <f t="shared" si="37"/>
        <v>-297</v>
      </c>
      <c r="X178" s="193"/>
      <c r="Y178" s="193"/>
      <c r="Z178" s="194">
        <f t="shared" si="31"/>
        <v>1</v>
      </c>
      <c r="AA178" s="55" t="s">
        <v>31</v>
      </c>
      <c r="AB178" s="162" t="s">
        <v>1382</v>
      </c>
    </row>
    <row r="179" spans="1:28" s="16" customFormat="1" ht="51.75" customHeight="1">
      <c r="A179" s="161"/>
      <c r="B179" s="21"/>
      <c r="C179" s="21"/>
      <c r="D179" s="21"/>
      <c r="E179" s="21"/>
      <c r="F179" s="43"/>
      <c r="G179" s="25"/>
      <c r="H179" s="161"/>
      <c r="I179" s="161"/>
      <c r="J179" s="162"/>
      <c r="K179" s="162"/>
      <c r="L179" s="45"/>
      <c r="M179" s="45"/>
      <c r="N179" s="45"/>
      <c r="O179" s="45"/>
      <c r="P179" s="45">
        <v>0</v>
      </c>
      <c r="Q179" s="25">
        <f t="shared" si="35"/>
        <v>0</v>
      </c>
      <c r="R179" s="191">
        <v>0</v>
      </c>
      <c r="S179" s="192">
        <f t="shared" si="36"/>
        <v>0</v>
      </c>
      <c r="T179" s="193"/>
      <c r="U179" s="193"/>
      <c r="V179" s="192">
        <v>0</v>
      </c>
      <c r="W179" s="192">
        <f t="shared" si="37"/>
        <v>0</v>
      </c>
      <c r="X179" s="193"/>
      <c r="Y179" s="193"/>
      <c r="Z179" s="194" t="e">
        <f t="shared" si="31"/>
        <v>#DIV/0!</v>
      </c>
      <c r="AA179" s="44"/>
      <c r="AB179" s="162"/>
    </row>
    <row r="180" spans="1:28" s="16" customFormat="1" ht="51.75" customHeight="1">
      <c r="A180" s="161"/>
      <c r="B180" s="21"/>
      <c r="C180" s="21"/>
      <c r="D180" s="21"/>
      <c r="E180" s="21"/>
      <c r="F180" s="43"/>
      <c r="G180" s="25"/>
      <c r="H180" s="161"/>
      <c r="I180" s="161"/>
      <c r="J180" s="162"/>
      <c r="K180" s="162"/>
      <c r="L180" s="45"/>
      <c r="M180" s="45"/>
      <c r="N180" s="45"/>
      <c r="O180" s="45"/>
      <c r="P180" s="45">
        <v>0</v>
      </c>
      <c r="Q180" s="25">
        <f t="shared" si="35"/>
        <v>0</v>
      </c>
      <c r="R180" s="191">
        <v>0</v>
      </c>
      <c r="S180" s="192">
        <f t="shared" si="36"/>
        <v>0</v>
      </c>
      <c r="T180" s="193"/>
      <c r="U180" s="193"/>
      <c r="V180" s="192">
        <v>0</v>
      </c>
      <c r="W180" s="192">
        <f t="shared" si="37"/>
        <v>0</v>
      </c>
      <c r="X180" s="193"/>
      <c r="Y180" s="193"/>
      <c r="Z180" s="194" t="e">
        <f t="shared" si="31"/>
        <v>#DIV/0!</v>
      </c>
      <c r="AA180" s="44"/>
      <c r="AB180" s="162"/>
    </row>
    <row r="181" spans="1:28" s="16" customFormat="1" ht="51.75" customHeight="1">
      <c r="A181" s="161"/>
      <c r="B181" s="21"/>
      <c r="C181" s="21"/>
      <c r="D181" s="21"/>
      <c r="E181" s="21"/>
      <c r="F181" s="43"/>
      <c r="G181" s="25"/>
      <c r="H181" s="161"/>
      <c r="I181" s="161"/>
      <c r="J181" s="162"/>
      <c r="K181" s="162"/>
      <c r="L181" s="45"/>
      <c r="M181" s="45"/>
      <c r="N181" s="45"/>
      <c r="O181" s="45"/>
      <c r="P181" s="45">
        <v>0</v>
      </c>
      <c r="Q181" s="25">
        <f t="shared" si="28"/>
        <v>0</v>
      </c>
      <c r="R181" s="191">
        <v>0</v>
      </c>
      <c r="S181" s="192">
        <f t="shared" si="29"/>
        <v>0</v>
      </c>
      <c r="T181" s="193"/>
      <c r="U181" s="193"/>
      <c r="V181" s="192">
        <v>0</v>
      </c>
      <c r="W181" s="192">
        <f t="shared" si="30"/>
        <v>0</v>
      </c>
      <c r="X181" s="193"/>
      <c r="Y181" s="193"/>
      <c r="Z181" s="194" t="e">
        <f t="shared" si="31"/>
        <v>#DIV/0!</v>
      </c>
      <c r="AA181" s="44"/>
      <c r="AB181" s="162"/>
    </row>
    <row r="182" spans="1:28" s="16" customFormat="1" ht="51.75" customHeight="1">
      <c r="A182" s="161"/>
      <c r="B182" s="21"/>
      <c r="C182" s="21"/>
      <c r="D182" s="21"/>
      <c r="E182" s="21"/>
      <c r="F182" s="43"/>
      <c r="G182" s="25"/>
      <c r="H182" s="161"/>
      <c r="I182" s="161"/>
      <c r="J182" s="162"/>
      <c r="K182" s="162"/>
      <c r="L182" s="45"/>
      <c r="M182" s="45"/>
      <c r="N182" s="45"/>
      <c r="O182" s="45"/>
      <c r="P182" s="45">
        <v>0</v>
      </c>
      <c r="Q182" s="25">
        <f t="shared" si="28"/>
        <v>0</v>
      </c>
      <c r="R182" s="191">
        <v>0</v>
      </c>
      <c r="S182" s="192">
        <f t="shared" si="29"/>
        <v>0</v>
      </c>
      <c r="T182" s="193"/>
      <c r="U182" s="193"/>
      <c r="V182" s="192">
        <v>0</v>
      </c>
      <c r="W182" s="192">
        <f t="shared" si="30"/>
        <v>0</v>
      </c>
      <c r="X182" s="193"/>
      <c r="Y182" s="193"/>
      <c r="Z182" s="194" t="e">
        <f t="shared" si="31"/>
        <v>#DIV/0!</v>
      </c>
      <c r="AA182" s="44"/>
      <c r="AB182" s="162"/>
    </row>
    <row r="183" spans="1:28" ht="30.75" customHeight="1">
      <c r="A183" s="161"/>
      <c r="B183" s="21"/>
      <c r="C183" s="21"/>
      <c r="D183" s="21"/>
      <c r="E183" s="21"/>
      <c r="F183" s="43"/>
      <c r="G183" s="25"/>
      <c r="H183" s="161"/>
      <c r="I183" s="161"/>
      <c r="J183" s="162"/>
      <c r="K183" s="162"/>
      <c r="L183" s="45"/>
      <c r="M183" s="45"/>
      <c r="N183" s="45"/>
      <c r="O183" s="45"/>
      <c r="P183" s="142">
        <f>SUM(P120:P182)</f>
        <v>22209</v>
      </c>
      <c r="Q183" s="142">
        <f t="shared" ref="Q183:S183" si="38">SUM(Q120:Q182)</f>
        <v>19716</v>
      </c>
      <c r="R183" s="142">
        <f t="shared" si="38"/>
        <v>2493</v>
      </c>
      <c r="S183" s="142">
        <f t="shared" si="38"/>
        <v>19716</v>
      </c>
      <c r="T183" s="142"/>
      <c r="U183" s="142"/>
      <c r="V183" s="142">
        <f t="shared" ref="V183:W183" si="39">SUM(V120:V182)</f>
        <v>0</v>
      </c>
      <c r="W183" s="142">
        <f t="shared" si="39"/>
        <v>-22209</v>
      </c>
      <c r="X183" s="142">
        <f>SUM(X170:X182)</f>
        <v>0</v>
      </c>
      <c r="Y183" s="142">
        <f>SUM(Y170:Y182)</f>
        <v>0</v>
      </c>
      <c r="Z183" s="142" t="e">
        <f>SUM(Z144:Z182)</f>
        <v>#DIV/0!</v>
      </c>
      <c r="AA183" s="44"/>
      <c r="AB183" s="162"/>
    </row>
    <row r="184" spans="1:28" s="35" customFormat="1" ht="36.75" customHeight="1">
      <c r="A184" s="165"/>
      <c r="B184" s="320" t="s">
        <v>120</v>
      </c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142">
        <f>P183+P117+P35</f>
        <v>54355</v>
      </c>
      <c r="Q184" s="142">
        <f t="shared" ref="Q184:S184" si="40">Q183+Q117+Q35</f>
        <v>35614</v>
      </c>
      <c r="R184" s="142">
        <f t="shared" si="40"/>
        <v>18741</v>
      </c>
      <c r="S184" s="142">
        <f t="shared" si="40"/>
        <v>35614</v>
      </c>
      <c r="T184" s="142"/>
      <c r="U184" s="142"/>
      <c r="V184" s="142">
        <f>V183+V117+V35</f>
        <v>9873</v>
      </c>
      <c r="W184" s="142">
        <f>W183+W117+W35</f>
        <v>-44357</v>
      </c>
      <c r="X184" s="142"/>
      <c r="Y184" s="142"/>
      <c r="Z184" s="142" t="e">
        <f>Z183+Z46+Z10</f>
        <v>#DIV/0!</v>
      </c>
      <c r="AA184" s="142"/>
      <c r="AB184" s="162"/>
    </row>
    <row r="185" spans="1:28" ht="15.75">
      <c r="E185" s="366" t="s">
        <v>699</v>
      </c>
      <c r="F185" s="366"/>
      <c r="G185" s="366"/>
      <c r="AA185"/>
    </row>
    <row r="186" spans="1:28">
      <c r="E186" s="332" t="s">
        <v>701</v>
      </c>
      <c r="F186" s="332"/>
      <c r="G186" s="257" t="s">
        <v>700</v>
      </c>
      <c r="AA186"/>
    </row>
    <row r="187" spans="1:28" ht="15.75">
      <c r="E187" s="366" t="s">
        <v>105</v>
      </c>
      <c r="F187" s="366"/>
      <c r="G187" s="258">
        <v>26750</v>
      </c>
      <c r="AA187"/>
    </row>
    <row r="188" spans="1:28" ht="15.75">
      <c r="E188" s="366" t="s">
        <v>702</v>
      </c>
      <c r="F188" s="366"/>
      <c r="G188" s="258">
        <v>9530</v>
      </c>
      <c r="AA188"/>
    </row>
    <row r="189" spans="1:28" ht="15.75">
      <c r="E189" s="366" t="s">
        <v>62</v>
      </c>
      <c r="F189" s="366"/>
      <c r="G189" s="258">
        <v>17233</v>
      </c>
      <c r="AA189"/>
    </row>
    <row r="190" spans="1:28">
      <c r="E190" s="339" t="s">
        <v>70</v>
      </c>
      <c r="F190" s="339"/>
      <c r="G190" s="258">
        <f>SUM(G187:G189)</f>
        <v>53513</v>
      </c>
      <c r="AA190"/>
    </row>
  </sheetData>
  <mergeCells count="12">
    <mergeCell ref="E189:F189"/>
    <mergeCell ref="E190:F190"/>
    <mergeCell ref="E185:G185"/>
    <mergeCell ref="E186:F186"/>
    <mergeCell ref="E187:F187"/>
    <mergeCell ref="E188:F188"/>
    <mergeCell ref="B184:O184"/>
    <mergeCell ref="A1:AB1"/>
    <mergeCell ref="A2:AB2"/>
    <mergeCell ref="A3:Z3"/>
    <mergeCell ref="A36:AB36"/>
    <mergeCell ref="A118:AB118"/>
  </mergeCells>
  <dataValidations count="3">
    <dataValidation type="list" allowBlank="1" showInputMessage="1" showErrorMessage="1" sqref="F120:F126 F38:F49">
      <formula1>$C$327:$C$334</formula1>
    </dataValidation>
    <dataValidation type="list" allowBlank="1" showInputMessage="1" showErrorMessage="1" sqref="F78:F88 F127:F134 F13:F14">
      <formula1>$C$297:$C$304</formula1>
    </dataValidation>
    <dataValidation type="list" allowBlank="1" showInputMessage="1" showErrorMessage="1" sqref="AA170">
      <formula1>$O$199:$O$240</formula1>
    </dataValidation>
  </dataValidations>
  <pageMargins left="0.2" right="0.2" top="0.5" bottom="0.25" header="0.3" footer="0.05"/>
  <pageSetup paperSize="9" scale="52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'C:\Users\salman\Desktop\[New Job Posting.xlsm]Summary'!#REF!</xm:f>
          </x14:formula1>
          <xm:sqref>J38:J49 J120:J122 AA38:AA49 AA120:AA122</xm:sqref>
        </x14:dataValidation>
        <x14:dataValidation type="list" allowBlank="1" showInputMessage="1" showErrorMessage="1">
          <x14:formula1>
            <xm:f>'C:\Users\shekor\Desktop\[New Job Posting.xlsm]Summary'!#REF!</xm:f>
          </x14:formula1>
          <xm:sqref>J5:J14 J123:J178 AA171:AA178 F104 F166:F167 F170 AA5:AA14 AA123:AA169 AA50:AA106 J50:J106 J109:J116</xm:sqref>
        </x14:dataValidation>
        <x14:dataValidation type="list" allowBlank="1" showInputMessage="1" showErrorMessage="1">
          <x14:formula1>
            <xm:f>'C:\Users\rokibul\Desktop\[05.09.26 Finish Fabric Plan &amp; Execution Status.xlsm]Summary'!#REF!</xm:f>
          </x14:formula1>
          <xm:sqref>F50:F77 F5:F12</xm:sqref>
        </x14:dataValidation>
        <x14:dataValidation type="list" allowBlank="1" showInputMessage="1" showErrorMessage="1">
          <x14:formula1>
            <xm:f>'C:\Users\rokibul\Desktop\[17.09.26 Finish Fabric Plan &amp; Execution Status.xlsm]Summary'!#REF!</xm:f>
          </x14:formula1>
          <xm:sqref>F89:F103 F135:F165 F168:F169 F105:F106 F171:F178</xm:sqref>
        </x14:dataValidation>
        <x14:dataValidation type="list" allowBlank="1" showInputMessage="1" showErrorMessage="1">
          <x14:formula1>
            <xm:f>'C:\Users\shekor\Desktop\[New Job Posting.xlsx]Summary'!#REF!</xm:f>
          </x14:formula1>
          <xm:sqref>J107:J108 AA107:AA108</xm:sqref>
        </x14:dataValidation>
        <x14:dataValidation type="list" allowBlank="1" showInputMessage="1" showErrorMessage="1">
          <x14:formula1>
            <xm:f>'C:\Users\rokibul\Desktop\[24.09.26 Finish Fabric Plan &amp; Execution Status.xlsm]Summary'!#REF!</xm:f>
          </x14:formula1>
          <xm:sqref>F107:F108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topLeftCell="F26" zoomScale="90" zoomScaleNormal="90" workbookViewId="0">
      <selection activeCell="P29" sqref="P29"/>
    </sheetView>
  </sheetViews>
  <sheetFormatPr defaultRowHeight="15"/>
  <cols>
    <col min="1" max="1" width="0" hidden="1" customWidth="1"/>
    <col min="2" max="2" width="9.140625" style="9"/>
    <col min="4" max="4" width="6.7109375" customWidth="1"/>
    <col min="5" max="5" width="7.140625" customWidth="1"/>
    <col min="6" max="6" width="8.28515625" customWidth="1"/>
    <col min="9" max="9" width="13.42578125" customWidth="1"/>
    <col min="11" max="11" width="14.42578125" customWidth="1"/>
    <col min="15" max="15" width="5.7109375" customWidth="1"/>
    <col min="16" max="16" width="6.5703125" customWidth="1"/>
    <col min="17" max="17" width="7.5703125" customWidth="1"/>
    <col min="18" max="19" width="7.140625" customWidth="1"/>
    <col min="20" max="20" width="7" customWidth="1"/>
    <col min="21" max="21" width="7.140625" customWidth="1"/>
    <col min="22" max="22" width="7.28515625" customWidth="1"/>
    <col min="28" max="28" width="12" customWidth="1"/>
  </cols>
  <sheetData>
    <row r="1" spans="1:28" ht="21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</row>
    <row r="2" spans="1:28">
      <c r="A2" s="348" t="s">
        <v>1323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</row>
    <row r="3" spans="1:28" ht="30">
      <c r="A3" s="343" t="s">
        <v>1322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259"/>
      <c r="AB3" s="189" t="s">
        <v>1290</v>
      </c>
    </row>
    <row r="4" spans="1:28" ht="69.75">
      <c r="A4" s="203" t="s">
        <v>1</v>
      </c>
      <c r="B4" s="56" t="s">
        <v>140</v>
      </c>
      <c r="C4" s="56" t="s">
        <v>141</v>
      </c>
      <c r="D4" s="56" t="s">
        <v>142</v>
      </c>
      <c r="E4" s="56" t="s">
        <v>143</v>
      </c>
      <c r="F4" s="204" t="s">
        <v>115</v>
      </c>
      <c r="G4" s="203" t="s">
        <v>117</v>
      </c>
      <c r="H4" s="203" t="s">
        <v>1315</v>
      </c>
      <c r="I4" s="203" t="s">
        <v>2</v>
      </c>
      <c r="J4" s="203" t="s">
        <v>3</v>
      </c>
      <c r="K4" s="203" t="s">
        <v>4</v>
      </c>
      <c r="L4" s="206" t="s">
        <v>5</v>
      </c>
      <c r="M4" s="207" t="s">
        <v>6</v>
      </c>
      <c r="N4" s="203" t="s">
        <v>7</v>
      </c>
      <c r="O4" s="207" t="s">
        <v>8</v>
      </c>
      <c r="P4" s="207" t="s">
        <v>9</v>
      </c>
      <c r="Q4" s="207" t="s">
        <v>10</v>
      </c>
      <c r="R4" s="207" t="s">
        <v>11</v>
      </c>
      <c r="S4" s="207" t="s">
        <v>12</v>
      </c>
      <c r="T4" s="207" t="s">
        <v>119</v>
      </c>
      <c r="U4" s="207" t="s">
        <v>13</v>
      </c>
      <c r="V4" s="207" t="s">
        <v>14</v>
      </c>
      <c r="W4" s="207" t="s">
        <v>15</v>
      </c>
      <c r="X4" s="207" t="s">
        <v>119</v>
      </c>
      <c r="Y4" s="207" t="s">
        <v>118</v>
      </c>
      <c r="Z4" s="208" t="s">
        <v>16</v>
      </c>
      <c r="AA4" s="205" t="s">
        <v>48</v>
      </c>
      <c r="AB4" s="202" t="s">
        <v>17</v>
      </c>
    </row>
    <row r="5" spans="1:28" ht="65.25" customHeight="1">
      <c r="B5" s="20">
        <v>46305</v>
      </c>
      <c r="C5" s="53">
        <v>46319</v>
      </c>
      <c r="D5" s="53">
        <v>46323</v>
      </c>
      <c r="E5" s="53">
        <v>46331</v>
      </c>
      <c r="F5" s="17" t="s">
        <v>25</v>
      </c>
      <c r="G5" s="25" t="s">
        <v>105</v>
      </c>
      <c r="H5" s="161" t="s">
        <v>1349</v>
      </c>
      <c r="I5" s="161"/>
      <c r="J5" s="52" t="s">
        <v>18</v>
      </c>
      <c r="K5" s="260">
        <v>48772</v>
      </c>
      <c r="L5" s="17">
        <v>150</v>
      </c>
      <c r="M5" s="17" t="s">
        <v>19</v>
      </c>
      <c r="N5" s="52" t="s">
        <v>1145</v>
      </c>
      <c r="O5" s="52" t="s">
        <v>20</v>
      </c>
      <c r="P5" s="17">
        <v>54</v>
      </c>
      <c r="Q5" s="25">
        <f t="shared" ref="Q5:Q8" si="0">P5-R5</f>
        <v>0</v>
      </c>
      <c r="R5" s="191">
        <f>54</f>
        <v>54</v>
      </c>
      <c r="S5" s="192">
        <f t="shared" ref="S5:S8" si="1">P5-R5</f>
        <v>0</v>
      </c>
      <c r="T5" s="193">
        <v>2196</v>
      </c>
      <c r="U5" s="193" t="s">
        <v>1310</v>
      </c>
      <c r="V5" s="192">
        <v>0</v>
      </c>
      <c r="W5" s="192">
        <f t="shared" ref="W5:W8" si="2">+V5-P5</f>
        <v>-54</v>
      </c>
      <c r="X5" s="193"/>
      <c r="Y5" s="193"/>
      <c r="Z5" s="194">
        <f t="shared" ref="Z5:Z8" si="3">(P5-V5)*100/P5/100</f>
        <v>1</v>
      </c>
      <c r="AA5" s="52" t="s">
        <v>24</v>
      </c>
      <c r="AB5" s="162" t="s">
        <v>1362</v>
      </c>
    </row>
    <row r="6" spans="1:28" ht="63.75">
      <c r="B6" s="20">
        <v>46305</v>
      </c>
      <c r="C6" s="53">
        <v>46319</v>
      </c>
      <c r="D6" s="53">
        <v>46323</v>
      </c>
      <c r="E6" s="53">
        <v>46331</v>
      </c>
      <c r="F6" s="17" t="s">
        <v>121</v>
      </c>
      <c r="G6" s="25" t="s">
        <v>105</v>
      </c>
      <c r="H6" s="161" t="s">
        <v>1350</v>
      </c>
      <c r="I6" s="161"/>
      <c r="J6" s="52" t="s">
        <v>18</v>
      </c>
      <c r="K6" s="260">
        <v>48772</v>
      </c>
      <c r="L6" s="17">
        <v>150</v>
      </c>
      <c r="M6" s="17" t="s">
        <v>19</v>
      </c>
      <c r="N6" s="52" t="s">
        <v>59</v>
      </c>
      <c r="O6" s="52" t="s">
        <v>20</v>
      </c>
      <c r="P6" s="17">
        <v>15</v>
      </c>
      <c r="Q6" s="25">
        <f t="shared" si="0"/>
        <v>0</v>
      </c>
      <c r="R6" s="191">
        <f>15</f>
        <v>15</v>
      </c>
      <c r="S6" s="192">
        <f t="shared" si="1"/>
        <v>0</v>
      </c>
      <c r="T6" s="193">
        <v>2196</v>
      </c>
      <c r="U6" s="193" t="s">
        <v>1310</v>
      </c>
      <c r="V6" s="192">
        <v>0</v>
      </c>
      <c r="W6" s="192">
        <f t="shared" si="2"/>
        <v>-15</v>
      </c>
      <c r="X6" s="193"/>
      <c r="Y6" s="193"/>
      <c r="Z6" s="194">
        <f t="shared" si="3"/>
        <v>1</v>
      </c>
      <c r="AA6" s="52" t="s">
        <v>24</v>
      </c>
      <c r="AB6" s="162" t="s">
        <v>1362</v>
      </c>
    </row>
    <row r="7" spans="1:28" ht="75.75" customHeight="1">
      <c r="B7" s="20">
        <v>46305</v>
      </c>
      <c r="C7" s="53">
        <v>46319</v>
      </c>
      <c r="D7" s="53">
        <v>46323</v>
      </c>
      <c r="E7" s="53">
        <v>46331</v>
      </c>
      <c r="F7" s="17" t="s">
        <v>25</v>
      </c>
      <c r="G7" s="25" t="s">
        <v>105</v>
      </c>
      <c r="H7" s="161" t="s">
        <v>1350</v>
      </c>
      <c r="I7" s="161"/>
      <c r="J7" s="52" t="s">
        <v>18</v>
      </c>
      <c r="K7" s="260">
        <v>48772</v>
      </c>
      <c r="L7" s="17">
        <v>150</v>
      </c>
      <c r="M7" s="17" t="s">
        <v>19</v>
      </c>
      <c r="N7" s="52" t="s">
        <v>1143</v>
      </c>
      <c r="O7" s="52" t="s">
        <v>20</v>
      </c>
      <c r="P7" s="17">
        <v>37</v>
      </c>
      <c r="Q7" s="25">
        <f t="shared" si="0"/>
        <v>37</v>
      </c>
      <c r="R7" s="191">
        <v>0</v>
      </c>
      <c r="S7" s="192">
        <f t="shared" si="1"/>
        <v>37</v>
      </c>
      <c r="T7" s="193"/>
      <c r="U7" s="193"/>
      <c r="V7" s="192">
        <v>0</v>
      </c>
      <c r="W7" s="192">
        <f t="shared" si="2"/>
        <v>-37</v>
      </c>
      <c r="X7" s="193"/>
      <c r="Y7" s="193"/>
      <c r="Z7" s="194">
        <f t="shared" si="3"/>
        <v>1</v>
      </c>
      <c r="AA7" s="52" t="s">
        <v>24</v>
      </c>
      <c r="AB7" s="162" t="s">
        <v>1362</v>
      </c>
    </row>
    <row r="8" spans="1:28" ht="63" customHeight="1">
      <c r="B8" s="20">
        <v>46305</v>
      </c>
      <c r="C8" s="53">
        <v>46319</v>
      </c>
      <c r="D8" s="53">
        <v>46323</v>
      </c>
      <c r="E8" s="53">
        <v>46331</v>
      </c>
      <c r="F8" s="17" t="s">
        <v>25</v>
      </c>
      <c r="G8" s="25" t="s">
        <v>105</v>
      </c>
      <c r="H8" s="161" t="s">
        <v>1349</v>
      </c>
      <c r="I8" s="161"/>
      <c r="J8" s="52" t="s">
        <v>18</v>
      </c>
      <c r="K8" s="260">
        <v>48772</v>
      </c>
      <c r="L8" s="17">
        <v>150</v>
      </c>
      <c r="M8" s="17" t="s">
        <v>19</v>
      </c>
      <c r="N8" s="52" t="s">
        <v>1146</v>
      </c>
      <c r="O8" s="52" t="s">
        <v>20</v>
      </c>
      <c r="P8" s="17">
        <v>54</v>
      </c>
      <c r="Q8" s="25">
        <f t="shared" si="0"/>
        <v>54</v>
      </c>
      <c r="R8" s="191">
        <v>0</v>
      </c>
      <c r="S8" s="192">
        <f t="shared" si="1"/>
        <v>54</v>
      </c>
      <c r="T8" s="193"/>
      <c r="U8" s="193"/>
      <c r="V8" s="192">
        <v>0</v>
      </c>
      <c r="W8" s="192">
        <f t="shared" si="2"/>
        <v>-54</v>
      </c>
      <c r="X8" s="193"/>
      <c r="Y8" s="193"/>
      <c r="Z8" s="194">
        <f t="shared" si="3"/>
        <v>1</v>
      </c>
      <c r="AA8" s="52" t="s">
        <v>24</v>
      </c>
      <c r="AB8" s="162" t="s">
        <v>1362</v>
      </c>
    </row>
    <row r="9" spans="1:28" ht="59.25" customHeight="1">
      <c r="B9" s="20">
        <v>46305</v>
      </c>
      <c r="C9" s="53">
        <v>46318</v>
      </c>
      <c r="D9" s="53">
        <v>46328</v>
      </c>
      <c r="E9" s="53">
        <v>46336</v>
      </c>
      <c r="F9" s="17" t="s">
        <v>25</v>
      </c>
      <c r="G9" s="25" t="s">
        <v>105</v>
      </c>
      <c r="H9" s="161" t="s">
        <v>1349</v>
      </c>
      <c r="I9" s="161"/>
      <c r="J9" s="52" t="s">
        <v>18</v>
      </c>
      <c r="K9" s="260">
        <v>48776</v>
      </c>
      <c r="L9" s="17">
        <v>150</v>
      </c>
      <c r="M9" s="17" t="s">
        <v>19</v>
      </c>
      <c r="N9" s="52" t="s">
        <v>1145</v>
      </c>
      <c r="O9" s="52" t="s">
        <v>20</v>
      </c>
      <c r="P9" s="17">
        <v>140</v>
      </c>
      <c r="Q9" s="25">
        <f t="shared" ref="Q9:Q76" si="4">P9-R9</f>
        <v>-4</v>
      </c>
      <c r="R9" s="191">
        <f>144</f>
        <v>144</v>
      </c>
      <c r="S9" s="192">
        <f t="shared" ref="S9:S76" si="5">P9-R9</f>
        <v>-4</v>
      </c>
      <c r="T9" s="193">
        <v>2196</v>
      </c>
      <c r="U9" s="193" t="s">
        <v>1310</v>
      </c>
      <c r="V9" s="192">
        <v>0</v>
      </c>
      <c r="W9" s="192">
        <f t="shared" ref="W9:W76" si="6">+V9-P9</f>
        <v>-140</v>
      </c>
      <c r="X9" s="193"/>
      <c r="Y9" s="193"/>
      <c r="Z9" s="194">
        <f t="shared" ref="Z9:Z76" si="7">(P9-V9)*100/P9/100</f>
        <v>1</v>
      </c>
      <c r="AA9" s="52" t="s">
        <v>24</v>
      </c>
      <c r="AB9" s="162" t="s">
        <v>1362</v>
      </c>
    </row>
    <row r="10" spans="1:28" ht="63.75">
      <c r="B10" s="20">
        <v>46305</v>
      </c>
      <c r="C10" s="53">
        <v>46318</v>
      </c>
      <c r="D10" s="53">
        <v>46328</v>
      </c>
      <c r="E10" s="53">
        <v>46336</v>
      </c>
      <c r="F10" s="17" t="s">
        <v>121</v>
      </c>
      <c r="G10" s="25" t="s">
        <v>105</v>
      </c>
      <c r="H10" s="161" t="s">
        <v>1350</v>
      </c>
      <c r="I10" s="161"/>
      <c r="J10" s="52" t="s">
        <v>18</v>
      </c>
      <c r="K10" s="260">
        <v>48776</v>
      </c>
      <c r="L10" s="17">
        <v>150</v>
      </c>
      <c r="M10" s="17" t="s">
        <v>19</v>
      </c>
      <c r="N10" s="52" t="s">
        <v>59</v>
      </c>
      <c r="O10" s="52" t="s">
        <v>20</v>
      </c>
      <c r="P10" s="17">
        <v>70</v>
      </c>
      <c r="Q10" s="25">
        <f t="shared" si="4"/>
        <v>-2</v>
      </c>
      <c r="R10" s="191">
        <f>72</f>
        <v>72</v>
      </c>
      <c r="S10" s="192">
        <f t="shared" si="5"/>
        <v>-2</v>
      </c>
      <c r="T10" s="193">
        <v>2196</v>
      </c>
      <c r="U10" s="193" t="s">
        <v>1310</v>
      </c>
      <c r="V10" s="192">
        <v>0</v>
      </c>
      <c r="W10" s="192">
        <f t="shared" si="6"/>
        <v>-70</v>
      </c>
      <c r="X10" s="193"/>
      <c r="Y10" s="193"/>
      <c r="Z10" s="194">
        <f t="shared" si="7"/>
        <v>1</v>
      </c>
      <c r="AA10" s="52" t="s">
        <v>24</v>
      </c>
      <c r="AB10" s="162" t="s">
        <v>1362</v>
      </c>
    </row>
    <row r="11" spans="1:28" ht="60.75" customHeight="1">
      <c r="B11" s="20">
        <v>46305</v>
      </c>
      <c r="C11" s="53">
        <v>46318</v>
      </c>
      <c r="D11" s="53">
        <v>46328</v>
      </c>
      <c r="E11" s="53">
        <v>46336</v>
      </c>
      <c r="F11" s="17" t="s">
        <v>25</v>
      </c>
      <c r="G11" s="25" t="s">
        <v>105</v>
      </c>
      <c r="H11" s="161" t="s">
        <v>1350</v>
      </c>
      <c r="I11" s="161"/>
      <c r="J11" s="52" t="s">
        <v>18</v>
      </c>
      <c r="K11" s="260">
        <v>48776</v>
      </c>
      <c r="L11" s="17">
        <v>150</v>
      </c>
      <c r="M11" s="17" t="s">
        <v>19</v>
      </c>
      <c r="N11" s="52" t="s">
        <v>1143</v>
      </c>
      <c r="O11" s="52" t="s">
        <v>20</v>
      </c>
      <c r="P11" s="17">
        <v>72</v>
      </c>
      <c r="Q11" s="25">
        <f t="shared" si="4"/>
        <v>72</v>
      </c>
      <c r="R11" s="191">
        <v>0</v>
      </c>
      <c r="S11" s="192">
        <f t="shared" si="5"/>
        <v>72</v>
      </c>
      <c r="T11" s="193"/>
      <c r="U11" s="193"/>
      <c r="V11" s="192">
        <v>0</v>
      </c>
      <c r="W11" s="192">
        <f t="shared" si="6"/>
        <v>-72</v>
      </c>
      <c r="X11" s="193"/>
      <c r="Y11" s="193"/>
      <c r="Z11" s="194">
        <f t="shared" si="7"/>
        <v>1</v>
      </c>
      <c r="AA11" s="52" t="s">
        <v>24</v>
      </c>
      <c r="AB11" s="162" t="s">
        <v>1362</v>
      </c>
    </row>
    <row r="12" spans="1:28" ht="63.75" customHeight="1">
      <c r="B12" s="20">
        <v>46300</v>
      </c>
      <c r="C12" s="53">
        <v>46319</v>
      </c>
      <c r="D12" s="53">
        <v>46322</v>
      </c>
      <c r="E12" s="53">
        <v>46334</v>
      </c>
      <c r="F12" s="17" t="s">
        <v>25</v>
      </c>
      <c r="G12" s="25" t="s">
        <v>105</v>
      </c>
      <c r="H12" s="161" t="s">
        <v>1349</v>
      </c>
      <c r="I12" s="161"/>
      <c r="J12" s="52" t="s">
        <v>18</v>
      </c>
      <c r="K12" s="260">
        <v>48777</v>
      </c>
      <c r="L12" s="17">
        <v>150</v>
      </c>
      <c r="M12" s="17" t="s">
        <v>19</v>
      </c>
      <c r="N12" s="52" t="s">
        <v>1145</v>
      </c>
      <c r="O12" s="52" t="s">
        <v>20</v>
      </c>
      <c r="P12" s="17">
        <v>669</v>
      </c>
      <c r="Q12" s="25">
        <f t="shared" si="4"/>
        <v>669</v>
      </c>
      <c r="R12" s="191">
        <v>0</v>
      </c>
      <c r="S12" s="192">
        <f t="shared" si="5"/>
        <v>669</v>
      </c>
      <c r="T12" s="193"/>
      <c r="U12" s="193"/>
      <c r="V12" s="192">
        <v>0</v>
      </c>
      <c r="W12" s="192">
        <f t="shared" si="6"/>
        <v>-669</v>
      </c>
      <c r="X12" s="193"/>
      <c r="Y12" s="193"/>
      <c r="Z12" s="194">
        <f t="shared" si="7"/>
        <v>1</v>
      </c>
      <c r="AA12" s="52" t="s">
        <v>24</v>
      </c>
      <c r="AB12" s="162" t="s">
        <v>1362</v>
      </c>
    </row>
    <row r="13" spans="1:28" ht="63.75">
      <c r="B13" s="20">
        <v>46300</v>
      </c>
      <c r="C13" s="53">
        <v>46319</v>
      </c>
      <c r="D13" s="53">
        <v>46322</v>
      </c>
      <c r="E13" s="53">
        <v>46334</v>
      </c>
      <c r="F13" s="17" t="s">
        <v>121</v>
      </c>
      <c r="G13" s="25" t="s">
        <v>105</v>
      </c>
      <c r="H13" s="161" t="s">
        <v>1350</v>
      </c>
      <c r="I13" s="161"/>
      <c r="J13" s="52" t="s">
        <v>18</v>
      </c>
      <c r="K13" s="260">
        <v>48777</v>
      </c>
      <c r="L13" s="17">
        <v>150</v>
      </c>
      <c r="M13" s="17" t="s">
        <v>19</v>
      </c>
      <c r="N13" s="52" t="s">
        <v>59</v>
      </c>
      <c r="O13" s="52" t="s">
        <v>20</v>
      </c>
      <c r="P13" s="17">
        <v>364</v>
      </c>
      <c r="Q13" s="25">
        <f t="shared" si="4"/>
        <v>364</v>
      </c>
      <c r="R13" s="191">
        <v>0</v>
      </c>
      <c r="S13" s="192">
        <f t="shared" si="5"/>
        <v>364</v>
      </c>
      <c r="T13" s="193"/>
      <c r="U13" s="193"/>
      <c r="V13" s="192">
        <v>0</v>
      </c>
      <c r="W13" s="192">
        <f t="shared" si="6"/>
        <v>-364</v>
      </c>
      <c r="X13" s="193"/>
      <c r="Y13" s="193"/>
      <c r="Z13" s="194">
        <f t="shared" si="7"/>
        <v>1</v>
      </c>
      <c r="AA13" s="52" t="s">
        <v>24</v>
      </c>
      <c r="AB13" s="162" t="s">
        <v>1362</v>
      </c>
    </row>
    <row r="14" spans="1:28" ht="51">
      <c r="B14" s="20">
        <v>46300</v>
      </c>
      <c r="C14" s="53">
        <v>46319</v>
      </c>
      <c r="D14" s="53">
        <v>46322</v>
      </c>
      <c r="E14" s="53">
        <v>46334</v>
      </c>
      <c r="F14" s="17" t="s">
        <v>25</v>
      </c>
      <c r="G14" s="25" t="s">
        <v>105</v>
      </c>
      <c r="H14" s="161" t="s">
        <v>1350</v>
      </c>
      <c r="I14" s="161"/>
      <c r="J14" s="52" t="s">
        <v>18</v>
      </c>
      <c r="K14" s="260">
        <v>48777</v>
      </c>
      <c r="L14" s="17">
        <v>150</v>
      </c>
      <c r="M14" s="17" t="s">
        <v>19</v>
      </c>
      <c r="N14" s="52" t="s">
        <v>1143</v>
      </c>
      <c r="O14" s="52" t="s">
        <v>20</v>
      </c>
      <c r="P14" s="17">
        <v>424</v>
      </c>
      <c r="Q14" s="25">
        <f t="shared" si="4"/>
        <v>424</v>
      </c>
      <c r="R14" s="191">
        <v>0</v>
      </c>
      <c r="S14" s="192">
        <f t="shared" si="5"/>
        <v>424</v>
      </c>
      <c r="T14" s="193"/>
      <c r="U14" s="193"/>
      <c r="V14" s="192">
        <v>0</v>
      </c>
      <c r="W14" s="192">
        <f t="shared" si="6"/>
        <v>-424</v>
      </c>
      <c r="X14" s="193"/>
      <c r="Y14" s="193"/>
      <c r="Z14" s="194">
        <f t="shared" si="7"/>
        <v>1</v>
      </c>
      <c r="AA14" s="52" t="s">
        <v>24</v>
      </c>
      <c r="AB14" s="162" t="s">
        <v>1362</v>
      </c>
    </row>
    <row r="15" spans="1:28" ht="56.25" customHeight="1">
      <c r="B15" s="20">
        <v>46300</v>
      </c>
      <c r="C15" s="53">
        <v>46319</v>
      </c>
      <c r="D15" s="53">
        <v>46322</v>
      </c>
      <c r="E15" s="53">
        <v>46334</v>
      </c>
      <c r="F15" s="17" t="s">
        <v>25</v>
      </c>
      <c r="G15" s="25" t="s">
        <v>105</v>
      </c>
      <c r="H15" s="161" t="s">
        <v>1349</v>
      </c>
      <c r="I15" s="161"/>
      <c r="J15" s="52" t="s">
        <v>18</v>
      </c>
      <c r="K15" s="260">
        <v>48777</v>
      </c>
      <c r="L15" s="17">
        <v>150</v>
      </c>
      <c r="M15" s="17" t="s">
        <v>19</v>
      </c>
      <c r="N15" s="52" t="s">
        <v>1146</v>
      </c>
      <c r="O15" s="52" t="s">
        <v>20</v>
      </c>
      <c r="P15" s="17">
        <v>677</v>
      </c>
      <c r="Q15" s="25">
        <f t="shared" si="4"/>
        <v>677</v>
      </c>
      <c r="R15" s="191">
        <v>0</v>
      </c>
      <c r="S15" s="192">
        <f t="shared" si="5"/>
        <v>677</v>
      </c>
      <c r="T15" s="193"/>
      <c r="U15" s="193"/>
      <c r="V15" s="192">
        <v>0</v>
      </c>
      <c r="W15" s="192">
        <f t="shared" si="6"/>
        <v>-677</v>
      </c>
      <c r="X15" s="193"/>
      <c r="Y15" s="193"/>
      <c r="Z15" s="194">
        <f t="shared" si="7"/>
        <v>1</v>
      </c>
      <c r="AA15" s="52" t="s">
        <v>24</v>
      </c>
      <c r="AB15" s="162" t="s">
        <v>1362</v>
      </c>
    </row>
    <row r="16" spans="1:28" ht="68.25" customHeight="1">
      <c r="B16" s="20">
        <v>46300</v>
      </c>
      <c r="C16" s="53">
        <v>46318</v>
      </c>
      <c r="D16" s="53">
        <v>46323</v>
      </c>
      <c r="E16" s="53">
        <v>46334</v>
      </c>
      <c r="F16" s="17" t="s">
        <v>25</v>
      </c>
      <c r="G16" s="25" t="s">
        <v>105</v>
      </c>
      <c r="H16" s="161" t="s">
        <v>1349</v>
      </c>
      <c r="I16" s="161"/>
      <c r="J16" s="52" t="s">
        <v>18</v>
      </c>
      <c r="K16" s="260">
        <v>48778</v>
      </c>
      <c r="L16" s="17">
        <v>150</v>
      </c>
      <c r="M16" s="17" t="s">
        <v>19</v>
      </c>
      <c r="N16" s="52" t="s">
        <v>1145</v>
      </c>
      <c r="O16" s="52" t="s">
        <v>20</v>
      </c>
      <c r="P16" s="17">
        <v>151</v>
      </c>
      <c r="Q16" s="25">
        <f t="shared" si="4"/>
        <v>151</v>
      </c>
      <c r="R16" s="191">
        <v>0</v>
      </c>
      <c r="S16" s="192">
        <f t="shared" si="5"/>
        <v>151</v>
      </c>
      <c r="T16" s="193"/>
      <c r="U16" s="193"/>
      <c r="V16" s="192">
        <v>0</v>
      </c>
      <c r="W16" s="192">
        <f t="shared" si="6"/>
        <v>-151</v>
      </c>
      <c r="X16" s="193"/>
      <c r="Y16" s="193"/>
      <c r="Z16" s="194">
        <f t="shared" si="7"/>
        <v>1</v>
      </c>
      <c r="AA16" s="52" t="s">
        <v>24</v>
      </c>
      <c r="AB16" s="162" t="s">
        <v>1362</v>
      </c>
    </row>
    <row r="17" spans="2:28" ht="63.75">
      <c r="B17" s="20">
        <v>46300</v>
      </c>
      <c r="C17" s="53">
        <v>46318</v>
      </c>
      <c r="D17" s="53">
        <v>46323</v>
      </c>
      <c r="E17" s="53">
        <v>46334</v>
      </c>
      <c r="F17" s="17" t="s">
        <v>121</v>
      </c>
      <c r="G17" s="25" t="s">
        <v>105</v>
      </c>
      <c r="H17" s="161" t="s">
        <v>1350</v>
      </c>
      <c r="I17" s="161"/>
      <c r="J17" s="52" t="s">
        <v>18</v>
      </c>
      <c r="K17" s="260">
        <v>48778</v>
      </c>
      <c r="L17" s="17">
        <v>150</v>
      </c>
      <c r="M17" s="17" t="s">
        <v>19</v>
      </c>
      <c r="N17" s="52" t="s">
        <v>59</v>
      </c>
      <c r="O17" s="52" t="s">
        <v>20</v>
      </c>
      <c r="P17" s="17">
        <v>120</v>
      </c>
      <c r="Q17" s="25">
        <f t="shared" si="4"/>
        <v>0</v>
      </c>
      <c r="R17" s="191">
        <f>120</f>
        <v>120</v>
      </c>
      <c r="S17" s="192">
        <f t="shared" si="5"/>
        <v>0</v>
      </c>
      <c r="T17" s="193">
        <v>3753</v>
      </c>
      <c r="U17" s="193" t="s">
        <v>1374</v>
      </c>
      <c r="V17" s="192">
        <v>0</v>
      </c>
      <c r="W17" s="192">
        <f t="shared" si="6"/>
        <v>-120</v>
      </c>
      <c r="X17" s="193"/>
      <c r="Y17" s="193"/>
      <c r="Z17" s="194">
        <f t="shared" si="7"/>
        <v>1</v>
      </c>
      <c r="AA17" s="52" t="s">
        <v>24</v>
      </c>
      <c r="AB17" s="162" t="s">
        <v>1362</v>
      </c>
    </row>
    <row r="18" spans="2:28" ht="51">
      <c r="B18" s="20">
        <v>46300</v>
      </c>
      <c r="C18" s="53">
        <v>46318</v>
      </c>
      <c r="D18" s="53">
        <v>46323</v>
      </c>
      <c r="E18" s="53">
        <v>46334</v>
      </c>
      <c r="F18" s="17" t="s">
        <v>25</v>
      </c>
      <c r="G18" s="25" t="s">
        <v>105</v>
      </c>
      <c r="H18" s="161" t="s">
        <v>1350</v>
      </c>
      <c r="I18" s="161"/>
      <c r="J18" s="52" t="s">
        <v>18</v>
      </c>
      <c r="K18" s="260">
        <v>48778</v>
      </c>
      <c r="L18" s="17">
        <v>150</v>
      </c>
      <c r="M18" s="17" t="s">
        <v>19</v>
      </c>
      <c r="N18" s="52" t="s">
        <v>1143</v>
      </c>
      <c r="O18" s="52" t="s">
        <v>20</v>
      </c>
      <c r="P18" s="17">
        <v>131</v>
      </c>
      <c r="Q18" s="25">
        <f t="shared" si="4"/>
        <v>131</v>
      </c>
      <c r="R18" s="191">
        <v>0</v>
      </c>
      <c r="S18" s="192">
        <f t="shared" si="5"/>
        <v>131</v>
      </c>
      <c r="T18" s="193"/>
      <c r="U18" s="193"/>
      <c r="V18" s="192">
        <v>0</v>
      </c>
      <c r="W18" s="192">
        <f t="shared" si="6"/>
        <v>-131</v>
      </c>
      <c r="X18" s="193"/>
      <c r="Y18" s="193"/>
      <c r="Z18" s="194">
        <f t="shared" si="7"/>
        <v>1</v>
      </c>
      <c r="AA18" s="52" t="s">
        <v>24</v>
      </c>
      <c r="AB18" s="162" t="s">
        <v>1362</v>
      </c>
    </row>
    <row r="19" spans="2:28" ht="43.5" customHeight="1">
      <c r="B19" s="20">
        <v>46300</v>
      </c>
      <c r="C19" s="53">
        <v>46318</v>
      </c>
      <c r="D19" s="53">
        <v>46323</v>
      </c>
      <c r="E19" s="53">
        <v>46334</v>
      </c>
      <c r="F19" s="17" t="s">
        <v>25</v>
      </c>
      <c r="G19" s="25" t="s">
        <v>105</v>
      </c>
      <c r="H19" s="161" t="s">
        <v>1349</v>
      </c>
      <c r="I19" s="161"/>
      <c r="J19" s="52" t="s">
        <v>18</v>
      </c>
      <c r="K19" s="260">
        <v>48778</v>
      </c>
      <c r="L19" s="17">
        <v>150</v>
      </c>
      <c r="M19" s="17" t="s">
        <v>19</v>
      </c>
      <c r="N19" s="52" t="s">
        <v>1146</v>
      </c>
      <c r="O19" s="52" t="s">
        <v>20</v>
      </c>
      <c r="P19" s="17">
        <v>177</v>
      </c>
      <c r="Q19" s="25">
        <f t="shared" si="4"/>
        <v>177</v>
      </c>
      <c r="R19" s="191">
        <v>0</v>
      </c>
      <c r="S19" s="192">
        <f t="shared" si="5"/>
        <v>177</v>
      </c>
      <c r="T19" s="193"/>
      <c r="U19" s="193"/>
      <c r="V19" s="192">
        <v>0</v>
      </c>
      <c r="W19" s="192">
        <f t="shared" si="6"/>
        <v>-177</v>
      </c>
      <c r="X19" s="193"/>
      <c r="Y19" s="193"/>
      <c r="Z19" s="194">
        <f t="shared" si="7"/>
        <v>1</v>
      </c>
      <c r="AA19" s="52" t="s">
        <v>24</v>
      </c>
      <c r="AB19" s="162" t="s">
        <v>1362</v>
      </c>
    </row>
    <row r="20" spans="2:28" ht="48.75" customHeight="1">
      <c r="B20" s="20">
        <v>46303</v>
      </c>
      <c r="C20" s="53">
        <v>46319</v>
      </c>
      <c r="D20" s="53">
        <v>46323</v>
      </c>
      <c r="E20" s="53">
        <v>46334</v>
      </c>
      <c r="F20" s="17" t="s">
        <v>25</v>
      </c>
      <c r="G20" s="25" t="s">
        <v>105</v>
      </c>
      <c r="H20" s="161" t="s">
        <v>1349</v>
      </c>
      <c r="I20" s="161"/>
      <c r="J20" s="52" t="s">
        <v>18</v>
      </c>
      <c r="K20" s="260">
        <v>48786</v>
      </c>
      <c r="L20" s="17">
        <v>150</v>
      </c>
      <c r="M20" s="17" t="s">
        <v>19</v>
      </c>
      <c r="N20" s="52" t="s">
        <v>1267</v>
      </c>
      <c r="O20" s="52" t="s">
        <v>20</v>
      </c>
      <c r="P20" s="17">
        <v>530</v>
      </c>
      <c r="Q20" s="25">
        <f t="shared" si="4"/>
        <v>530</v>
      </c>
      <c r="R20" s="191">
        <v>0</v>
      </c>
      <c r="S20" s="192">
        <f t="shared" si="5"/>
        <v>530</v>
      </c>
      <c r="T20" s="193"/>
      <c r="U20" s="193"/>
      <c r="V20" s="192">
        <v>0</v>
      </c>
      <c r="W20" s="192">
        <f t="shared" si="6"/>
        <v>-530</v>
      </c>
      <c r="X20" s="193"/>
      <c r="Y20" s="193"/>
      <c r="Z20" s="194">
        <f t="shared" si="7"/>
        <v>1</v>
      </c>
      <c r="AA20" s="52" t="s">
        <v>24</v>
      </c>
      <c r="AB20" s="162" t="s">
        <v>1362</v>
      </c>
    </row>
    <row r="21" spans="2:28" ht="58.5" customHeight="1">
      <c r="B21" s="20">
        <v>46303</v>
      </c>
      <c r="C21" s="53">
        <v>46319</v>
      </c>
      <c r="D21" s="53">
        <v>46323</v>
      </c>
      <c r="E21" s="53">
        <v>46334</v>
      </c>
      <c r="F21" s="17" t="s">
        <v>25</v>
      </c>
      <c r="G21" s="25" t="s">
        <v>105</v>
      </c>
      <c r="H21" s="161" t="s">
        <v>1349</v>
      </c>
      <c r="I21" s="161"/>
      <c r="J21" s="52" t="s">
        <v>18</v>
      </c>
      <c r="K21" s="260">
        <v>48786</v>
      </c>
      <c r="L21" s="17">
        <v>150</v>
      </c>
      <c r="M21" s="17" t="s">
        <v>19</v>
      </c>
      <c r="N21" s="52" t="s">
        <v>1268</v>
      </c>
      <c r="O21" s="52" t="s">
        <v>20</v>
      </c>
      <c r="P21" s="17">
        <v>201</v>
      </c>
      <c r="Q21" s="25">
        <f t="shared" si="4"/>
        <v>-3</v>
      </c>
      <c r="R21" s="191">
        <f>204</f>
        <v>204</v>
      </c>
      <c r="S21" s="192">
        <f t="shared" si="5"/>
        <v>-3</v>
      </c>
      <c r="T21" s="193">
        <v>3753</v>
      </c>
      <c r="U21" s="193" t="s">
        <v>1374</v>
      </c>
      <c r="V21" s="192">
        <v>0</v>
      </c>
      <c r="W21" s="192">
        <f t="shared" si="6"/>
        <v>-201</v>
      </c>
      <c r="X21" s="193"/>
      <c r="Y21" s="193"/>
      <c r="Z21" s="194">
        <f t="shared" si="7"/>
        <v>1</v>
      </c>
      <c r="AA21" s="52" t="s">
        <v>24</v>
      </c>
      <c r="AB21" s="162" t="s">
        <v>1362</v>
      </c>
    </row>
    <row r="22" spans="2:28" ht="52.5" customHeight="1">
      <c r="B22" s="20">
        <v>46303</v>
      </c>
      <c r="C22" s="53">
        <v>46319</v>
      </c>
      <c r="D22" s="53">
        <v>46323</v>
      </c>
      <c r="E22" s="53">
        <v>46334</v>
      </c>
      <c r="F22" s="17" t="s">
        <v>25</v>
      </c>
      <c r="G22" s="25" t="s">
        <v>105</v>
      </c>
      <c r="H22" s="161" t="s">
        <v>1349</v>
      </c>
      <c r="I22" s="161"/>
      <c r="J22" s="52" t="s">
        <v>18</v>
      </c>
      <c r="K22" s="260">
        <v>48786</v>
      </c>
      <c r="L22" s="17">
        <v>150</v>
      </c>
      <c r="M22" s="17" t="s">
        <v>19</v>
      </c>
      <c r="N22" s="52" t="s">
        <v>1145</v>
      </c>
      <c r="O22" s="52" t="s">
        <v>20</v>
      </c>
      <c r="P22" s="17">
        <v>282</v>
      </c>
      <c r="Q22" s="25">
        <f t="shared" si="4"/>
        <v>282</v>
      </c>
      <c r="R22" s="191">
        <v>0</v>
      </c>
      <c r="S22" s="192">
        <f t="shared" si="5"/>
        <v>282</v>
      </c>
      <c r="T22" s="193"/>
      <c r="U22" s="193"/>
      <c r="V22" s="192">
        <v>0</v>
      </c>
      <c r="W22" s="192">
        <f t="shared" si="6"/>
        <v>-282</v>
      </c>
      <c r="X22" s="193"/>
      <c r="Y22" s="193"/>
      <c r="Z22" s="194">
        <f t="shared" si="7"/>
        <v>1</v>
      </c>
      <c r="AA22" s="52" t="s">
        <v>24</v>
      </c>
      <c r="AB22" s="162" t="s">
        <v>1362</v>
      </c>
    </row>
    <row r="23" spans="2:28" ht="63.75">
      <c r="B23" s="20">
        <v>46303</v>
      </c>
      <c r="C23" s="53">
        <v>46319</v>
      </c>
      <c r="D23" s="53">
        <v>46323</v>
      </c>
      <c r="E23" s="53">
        <v>46334</v>
      </c>
      <c r="F23" s="17" t="s">
        <v>121</v>
      </c>
      <c r="G23" s="25" t="s">
        <v>105</v>
      </c>
      <c r="H23" s="161" t="s">
        <v>1350</v>
      </c>
      <c r="I23" s="161"/>
      <c r="J23" s="52" t="s">
        <v>18</v>
      </c>
      <c r="K23" s="260">
        <v>48786</v>
      </c>
      <c r="L23" s="17">
        <v>150</v>
      </c>
      <c r="M23" s="17" t="s">
        <v>19</v>
      </c>
      <c r="N23" s="52" t="s">
        <v>59</v>
      </c>
      <c r="O23" s="52" t="s">
        <v>20</v>
      </c>
      <c r="P23" s="17">
        <v>502</v>
      </c>
      <c r="Q23" s="25">
        <f t="shared" si="4"/>
        <v>2</v>
      </c>
      <c r="R23" s="191">
        <f>484+16</f>
        <v>500</v>
      </c>
      <c r="S23" s="195">
        <f t="shared" si="5"/>
        <v>2</v>
      </c>
      <c r="T23" s="193" t="s">
        <v>1406</v>
      </c>
      <c r="U23" s="193" t="s">
        <v>1407</v>
      </c>
      <c r="V23" s="192">
        <v>0</v>
      </c>
      <c r="W23" s="192">
        <f t="shared" si="6"/>
        <v>-502</v>
      </c>
      <c r="X23" s="193"/>
      <c r="Y23" s="193"/>
      <c r="Z23" s="194">
        <f t="shared" si="7"/>
        <v>1</v>
      </c>
      <c r="AA23" s="52" t="s">
        <v>24</v>
      </c>
      <c r="AB23" s="162" t="s">
        <v>1362</v>
      </c>
    </row>
    <row r="24" spans="2:28" ht="59.25" customHeight="1">
      <c r="B24" s="20">
        <v>46300</v>
      </c>
      <c r="C24" s="53">
        <v>46315</v>
      </c>
      <c r="D24" s="53">
        <v>46320</v>
      </c>
      <c r="E24" s="53">
        <v>46333</v>
      </c>
      <c r="F24" s="17" t="s">
        <v>25</v>
      </c>
      <c r="G24" s="25" t="s">
        <v>105</v>
      </c>
      <c r="H24" s="161" t="s">
        <v>1349</v>
      </c>
      <c r="I24" s="161"/>
      <c r="J24" s="52" t="s">
        <v>18</v>
      </c>
      <c r="K24" s="260">
        <v>48787</v>
      </c>
      <c r="L24" s="17">
        <v>150</v>
      </c>
      <c r="M24" s="17" t="s">
        <v>19</v>
      </c>
      <c r="N24" s="52" t="s">
        <v>1267</v>
      </c>
      <c r="O24" s="52" t="s">
        <v>20</v>
      </c>
      <c r="P24" s="17">
        <v>245</v>
      </c>
      <c r="Q24" s="25">
        <f t="shared" si="4"/>
        <v>245</v>
      </c>
      <c r="R24" s="191">
        <v>0</v>
      </c>
      <c r="S24" s="192">
        <f t="shared" si="5"/>
        <v>245</v>
      </c>
      <c r="T24" s="193"/>
      <c r="U24" s="193"/>
      <c r="V24" s="192">
        <v>0</v>
      </c>
      <c r="W24" s="192">
        <f t="shared" si="6"/>
        <v>-245</v>
      </c>
      <c r="X24" s="193"/>
      <c r="Y24" s="193"/>
      <c r="Z24" s="194">
        <f t="shared" si="7"/>
        <v>1</v>
      </c>
      <c r="AA24" s="52" t="s">
        <v>24</v>
      </c>
      <c r="AB24" s="162" t="s">
        <v>1362</v>
      </c>
    </row>
    <row r="25" spans="2:28" ht="83.25" customHeight="1">
      <c r="B25" s="20">
        <v>46300</v>
      </c>
      <c r="C25" s="53">
        <v>46315</v>
      </c>
      <c r="D25" s="53">
        <v>46320</v>
      </c>
      <c r="E25" s="53">
        <v>46333</v>
      </c>
      <c r="F25" s="17" t="s">
        <v>25</v>
      </c>
      <c r="G25" s="25" t="s">
        <v>105</v>
      </c>
      <c r="H25" s="161" t="s">
        <v>1349</v>
      </c>
      <c r="I25" s="161"/>
      <c r="J25" s="52" t="s">
        <v>18</v>
      </c>
      <c r="K25" s="260">
        <v>48787</v>
      </c>
      <c r="L25" s="17">
        <v>150</v>
      </c>
      <c r="M25" s="17" t="s">
        <v>19</v>
      </c>
      <c r="N25" s="52" t="s">
        <v>1268</v>
      </c>
      <c r="O25" s="52" t="s">
        <v>20</v>
      </c>
      <c r="P25" s="17">
        <v>180</v>
      </c>
      <c r="Q25" s="25">
        <f t="shared" si="4"/>
        <v>-2</v>
      </c>
      <c r="R25" s="191">
        <f>182</f>
        <v>182</v>
      </c>
      <c r="S25" s="192">
        <f t="shared" si="5"/>
        <v>-2</v>
      </c>
      <c r="T25" s="193">
        <v>3753</v>
      </c>
      <c r="U25" s="193" t="s">
        <v>1374</v>
      </c>
      <c r="V25" s="192">
        <v>0</v>
      </c>
      <c r="W25" s="192">
        <f t="shared" si="6"/>
        <v>-180</v>
      </c>
      <c r="X25" s="193"/>
      <c r="Y25" s="193"/>
      <c r="Z25" s="194">
        <f t="shared" si="7"/>
        <v>1</v>
      </c>
      <c r="AA25" s="52" t="s">
        <v>24</v>
      </c>
      <c r="AB25" s="162" t="s">
        <v>1362</v>
      </c>
    </row>
    <row r="26" spans="2:28" ht="66" customHeight="1">
      <c r="B26" s="20">
        <v>46300</v>
      </c>
      <c r="C26" s="53">
        <v>46315</v>
      </c>
      <c r="D26" s="53">
        <v>46320</v>
      </c>
      <c r="E26" s="53">
        <v>46333</v>
      </c>
      <c r="F26" s="17" t="s">
        <v>25</v>
      </c>
      <c r="G26" s="25" t="s">
        <v>105</v>
      </c>
      <c r="H26" s="161" t="s">
        <v>1349</v>
      </c>
      <c r="I26" s="161"/>
      <c r="J26" s="52" t="s">
        <v>18</v>
      </c>
      <c r="K26" s="260">
        <v>48787</v>
      </c>
      <c r="L26" s="17">
        <v>150</v>
      </c>
      <c r="M26" s="17" t="s">
        <v>19</v>
      </c>
      <c r="N26" s="52" t="s">
        <v>1145</v>
      </c>
      <c r="O26" s="52" t="s">
        <v>20</v>
      </c>
      <c r="P26" s="17">
        <v>249</v>
      </c>
      <c r="Q26" s="25">
        <f t="shared" si="4"/>
        <v>249</v>
      </c>
      <c r="R26" s="191">
        <v>0</v>
      </c>
      <c r="S26" s="192">
        <f t="shared" si="5"/>
        <v>249</v>
      </c>
      <c r="T26" s="193"/>
      <c r="U26" s="193"/>
      <c r="V26" s="192">
        <v>0</v>
      </c>
      <c r="W26" s="192">
        <f t="shared" si="6"/>
        <v>-249</v>
      </c>
      <c r="X26" s="193"/>
      <c r="Y26" s="193"/>
      <c r="Z26" s="194">
        <f t="shared" si="7"/>
        <v>1</v>
      </c>
      <c r="AA26" s="52" t="s">
        <v>24</v>
      </c>
      <c r="AB26" s="162" t="s">
        <v>1362</v>
      </c>
    </row>
    <row r="27" spans="2:28" ht="63.75">
      <c r="B27" s="20">
        <v>46300</v>
      </c>
      <c r="C27" s="53">
        <v>46315</v>
      </c>
      <c r="D27" s="53">
        <v>46320</v>
      </c>
      <c r="E27" s="53">
        <v>46333</v>
      </c>
      <c r="F27" s="17" t="s">
        <v>121</v>
      </c>
      <c r="G27" s="25" t="s">
        <v>105</v>
      </c>
      <c r="H27" s="161" t="s">
        <v>1350</v>
      </c>
      <c r="I27" s="161"/>
      <c r="J27" s="52" t="s">
        <v>18</v>
      </c>
      <c r="K27" s="260">
        <v>48787</v>
      </c>
      <c r="L27" s="17">
        <v>150</v>
      </c>
      <c r="M27" s="17" t="s">
        <v>19</v>
      </c>
      <c r="N27" s="52" t="s">
        <v>59</v>
      </c>
      <c r="O27" s="52" t="s">
        <v>20</v>
      </c>
      <c r="P27" s="17">
        <v>306</v>
      </c>
      <c r="Q27" s="25">
        <f t="shared" si="4"/>
        <v>-4</v>
      </c>
      <c r="R27" s="191">
        <f>310</f>
        <v>310</v>
      </c>
      <c r="S27" s="192">
        <f t="shared" si="5"/>
        <v>-4</v>
      </c>
      <c r="T27" s="193">
        <v>3753</v>
      </c>
      <c r="U27" s="193" t="s">
        <v>1374</v>
      </c>
      <c r="V27" s="192">
        <v>0</v>
      </c>
      <c r="W27" s="192">
        <f t="shared" si="6"/>
        <v>-306</v>
      </c>
      <c r="X27" s="193"/>
      <c r="Y27" s="193"/>
      <c r="Z27" s="194">
        <f t="shared" si="7"/>
        <v>1</v>
      </c>
      <c r="AA27" s="52" t="s">
        <v>24</v>
      </c>
      <c r="AB27" s="162" t="s">
        <v>1362</v>
      </c>
    </row>
    <row r="28" spans="2:28" ht="65.25" customHeight="1">
      <c r="B28" s="20">
        <v>46305</v>
      </c>
      <c r="C28" s="53">
        <v>46319</v>
      </c>
      <c r="D28" s="53">
        <v>46324</v>
      </c>
      <c r="E28" s="53">
        <v>46331</v>
      </c>
      <c r="F28" s="17" t="s">
        <v>25</v>
      </c>
      <c r="G28" s="25" t="s">
        <v>105</v>
      </c>
      <c r="H28" s="161" t="s">
        <v>1349</v>
      </c>
      <c r="I28" s="161"/>
      <c r="J28" s="52" t="s">
        <v>18</v>
      </c>
      <c r="K28" s="260">
        <v>48789</v>
      </c>
      <c r="L28" s="17">
        <v>150</v>
      </c>
      <c r="M28" s="17" t="s">
        <v>19</v>
      </c>
      <c r="N28" s="52" t="s">
        <v>1145</v>
      </c>
      <c r="O28" s="52" t="s">
        <v>20</v>
      </c>
      <c r="P28" s="17">
        <v>97</v>
      </c>
      <c r="Q28" s="25">
        <f t="shared" si="4"/>
        <v>97</v>
      </c>
      <c r="R28" s="191">
        <v>0</v>
      </c>
      <c r="S28" s="192">
        <f t="shared" si="5"/>
        <v>97</v>
      </c>
      <c r="T28" s="193"/>
      <c r="U28" s="193"/>
      <c r="V28" s="192">
        <v>0</v>
      </c>
      <c r="W28" s="192">
        <f t="shared" si="6"/>
        <v>-97</v>
      </c>
      <c r="X28" s="193"/>
      <c r="Y28" s="193"/>
      <c r="Z28" s="194">
        <f t="shared" si="7"/>
        <v>1</v>
      </c>
      <c r="AA28" s="52" t="s">
        <v>24</v>
      </c>
      <c r="AB28" s="162" t="s">
        <v>1362</v>
      </c>
    </row>
    <row r="29" spans="2:28" ht="63.75">
      <c r="B29" s="20">
        <v>46305</v>
      </c>
      <c r="C29" s="53">
        <v>46319</v>
      </c>
      <c r="D29" s="53">
        <v>46324</v>
      </c>
      <c r="E29" s="53">
        <v>46331</v>
      </c>
      <c r="F29" s="17" t="s">
        <v>121</v>
      </c>
      <c r="G29" s="25" t="s">
        <v>105</v>
      </c>
      <c r="H29" s="161" t="s">
        <v>1350</v>
      </c>
      <c r="I29" s="161"/>
      <c r="J29" s="52" t="s">
        <v>18</v>
      </c>
      <c r="K29" s="260">
        <v>48789</v>
      </c>
      <c r="L29" s="17">
        <v>150</v>
      </c>
      <c r="M29" s="17" t="s">
        <v>19</v>
      </c>
      <c r="N29" s="52" t="s">
        <v>59</v>
      </c>
      <c r="O29" s="52" t="s">
        <v>20</v>
      </c>
      <c r="P29" s="17">
        <v>97</v>
      </c>
      <c r="Q29" s="25">
        <f t="shared" si="4"/>
        <v>97</v>
      </c>
      <c r="R29" s="191">
        <v>0</v>
      </c>
      <c r="S29" s="192">
        <f t="shared" si="5"/>
        <v>97</v>
      </c>
      <c r="T29" s="193"/>
      <c r="U29" s="193"/>
      <c r="V29" s="192">
        <v>0</v>
      </c>
      <c r="W29" s="192">
        <f t="shared" si="6"/>
        <v>-97</v>
      </c>
      <c r="X29" s="193"/>
      <c r="Y29" s="193"/>
      <c r="Z29" s="194">
        <f t="shared" si="7"/>
        <v>1</v>
      </c>
      <c r="AA29" s="52" t="s">
        <v>24</v>
      </c>
      <c r="AB29" s="162" t="s">
        <v>1362</v>
      </c>
    </row>
    <row r="30" spans="2:28" ht="54.75" customHeight="1">
      <c r="B30" s="20">
        <v>46303</v>
      </c>
      <c r="C30" s="53">
        <v>46319</v>
      </c>
      <c r="D30" s="53">
        <v>46322</v>
      </c>
      <c r="E30" s="53">
        <v>46331</v>
      </c>
      <c r="F30" s="17" t="s">
        <v>25</v>
      </c>
      <c r="G30" s="25"/>
      <c r="H30" s="161"/>
      <c r="I30" s="161"/>
      <c r="J30" s="52" t="s">
        <v>18</v>
      </c>
      <c r="K30" s="260">
        <v>48888</v>
      </c>
      <c r="L30" s="17">
        <v>160</v>
      </c>
      <c r="M30" s="17" t="s">
        <v>42</v>
      </c>
      <c r="N30" s="52" t="s">
        <v>1267</v>
      </c>
      <c r="O30" s="52" t="s">
        <v>1326</v>
      </c>
      <c r="P30" s="17">
        <v>140</v>
      </c>
      <c r="Q30" s="25">
        <f t="shared" si="4"/>
        <v>140</v>
      </c>
      <c r="R30" s="191">
        <v>0</v>
      </c>
      <c r="S30" s="192">
        <f t="shared" si="5"/>
        <v>140</v>
      </c>
      <c r="T30" s="193"/>
      <c r="U30" s="193"/>
      <c r="V30" s="192">
        <v>0</v>
      </c>
      <c r="W30" s="192">
        <f t="shared" si="6"/>
        <v>-140</v>
      </c>
      <c r="X30" s="193"/>
      <c r="Y30" s="193"/>
      <c r="Z30" s="194">
        <f t="shared" si="7"/>
        <v>1</v>
      </c>
      <c r="AA30" s="52" t="s">
        <v>29</v>
      </c>
      <c r="AB30" s="162"/>
    </row>
    <row r="31" spans="2:28" ht="54.75" customHeight="1">
      <c r="B31" s="20">
        <v>46303</v>
      </c>
      <c r="C31" s="53">
        <v>46319</v>
      </c>
      <c r="D31" s="53">
        <v>46322</v>
      </c>
      <c r="E31" s="53">
        <v>46331</v>
      </c>
      <c r="F31" s="17" t="s">
        <v>121</v>
      </c>
      <c r="G31" s="25"/>
      <c r="H31" s="161"/>
      <c r="I31" s="161"/>
      <c r="J31" s="52" t="s">
        <v>18</v>
      </c>
      <c r="K31" s="260">
        <v>48888</v>
      </c>
      <c r="L31" s="17">
        <v>160</v>
      </c>
      <c r="M31" s="17" t="s">
        <v>42</v>
      </c>
      <c r="N31" s="52" t="s">
        <v>37</v>
      </c>
      <c r="O31" s="52" t="s">
        <v>1326</v>
      </c>
      <c r="P31" s="17">
        <v>92</v>
      </c>
      <c r="Q31" s="25">
        <f t="shared" si="4"/>
        <v>92</v>
      </c>
      <c r="R31" s="191">
        <v>0</v>
      </c>
      <c r="S31" s="192">
        <f t="shared" si="5"/>
        <v>92</v>
      </c>
      <c r="T31" s="193"/>
      <c r="U31" s="193"/>
      <c r="V31" s="192">
        <v>0</v>
      </c>
      <c r="W31" s="192">
        <f t="shared" si="6"/>
        <v>-92</v>
      </c>
      <c r="X31" s="193"/>
      <c r="Y31" s="193"/>
      <c r="Z31" s="194">
        <f t="shared" si="7"/>
        <v>1</v>
      </c>
      <c r="AA31" s="52" t="s">
        <v>29</v>
      </c>
      <c r="AB31" s="162"/>
    </row>
    <row r="32" spans="2:28" ht="69.75" customHeight="1">
      <c r="B32" s="20">
        <v>46305</v>
      </c>
      <c r="C32" s="53">
        <v>46319</v>
      </c>
      <c r="D32" s="53">
        <v>46322</v>
      </c>
      <c r="E32" s="53">
        <v>46332</v>
      </c>
      <c r="F32" s="17" t="s">
        <v>25</v>
      </c>
      <c r="G32" s="25"/>
      <c r="H32" s="161"/>
      <c r="I32" s="161"/>
      <c r="J32" s="52" t="s">
        <v>18</v>
      </c>
      <c r="K32" s="260">
        <v>48889</v>
      </c>
      <c r="L32" s="17">
        <v>160</v>
      </c>
      <c r="M32" s="17" t="s">
        <v>42</v>
      </c>
      <c r="N32" s="52" t="s">
        <v>1267</v>
      </c>
      <c r="O32" s="52" t="s">
        <v>1326</v>
      </c>
      <c r="P32" s="17">
        <v>629</v>
      </c>
      <c r="Q32" s="25">
        <f t="shared" si="4"/>
        <v>629</v>
      </c>
      <c r="R32" s="191">
        <v>0</v>
      </c>
      <c r="S32" s="192">
        <f t="shared" si="5"/>
        <v>629</v>
      </c>
      <c r="T32" s="193"/>
      <c r="U32" s="193"/>
      <c r="V32" s="192">
        <v>0</v>
      </c>
      <c r="W32" s="192">
        <f t="shared" si="6"/>
        <v>-629</v>
      </c>
      <c r="X32" s="193"/>
      <c r="Y32" s="193"/>
      <c r="Z32" s="194">
        <f t="shared" si="7"/>
        <v>1</v>
      </c>
      <c r="AA32" s="52" t="s">
        <v>29</v>
      </c>
      <c r="AB32" s="162"/>
    </row>
    <row r="33" spans="2:28" ht="59.25" customHeight="1">
      <c r="B33" s="20">
        <v>46305</v>
      </c>
      <c r="C33" s="53">
        <v>46319</v>
      </c>
      <c r="D33" s="53">
        <v>46322</v>
      </c>
      <c r="E33" s="53">
        <v>46332</v>
      </c>
      <c r="F33" s="17" t="s">
        <v>121</v>
      </c>
      <c r="G33" s="25"/>
      <c r="H33" s="161"/>
      <c r="I33" s="161"/>
      <c r="J33" s="52" t="s">
        <v>18</v>
      </c>
      <c r="K33" s="260">
        <v>48889</v>
      </c>
      <c r="L33" s="17">
        <v>160</v>
      </c>
      <c r="M33" s="17" t="s">
        <v>42</v>
      </c>
      <c r="N33" s="52" t="s">
        <v>37</v>
      </c>
      <c r="O33" s="52" t="s">
        <v>1326</v>
      </c>
      <c r="P33" s="17">
        <v>551</v>
      </c>
      <c r="Q33" s="25">
        <f t="shared" si="4"/>
        <v>551</v>
      </c>
      <c r="R33" s="191">
        <v>0</v>
      </c>
      <c r="S33" s="192">
        <f t="shared" si="5"/>
        <v>551</v>
      </c>
      <c r="T33" s="193"/>
      <c r="U33" s="193"/>
      <c r="V33" s="192">
        <v>0</v>
      </c>
      <c r="W33" s="192">
        <f t="shared" si="6"/>
        <v>-551</v>
      </c>
      <c r="X33" s="193"/>
      <c r="Y33" s="193"/>
      <c r="Z33" s="194">
        <f t="shared" si="7"/>
        <v>1</v>
      </c>
      <c r="AA33" s="52" t="s">
        <v>29</v>
      </c>
      <c r="AB33" s="162"/>
    </row>
    <row r="34" spans="2:28" ht="57.75" customHeight="1">
      <c r="B34" s="144">
        <v>46307</v>
      </c>
      <c r="C34" s="53">
        <v>46321</v>
      </c>
      <c r="D34" s="53">
        <v>46328</v>
      </c>
      <c r="E34" s="53">
        <v>46333</v>
      </c>
      <c r="F34" s="17" t="s">
        <v>25</v>
      </c>
      <c r="G34" s="25"/>
      <c r="H34" s="161" t="s">
        <v>1349</v>
      </c>
      <c r="I34" s="161"/>
      <c r="J34" s="52" t="s">
        <v>18</v>
      </c>
      <c r="K34" s="260">
        <v>48804</v>
      </c>
      <c r="L34" s="17">
        <v>180</v>
      </c>
      <c r="M34" s="17" t="s">
        <v>35</v>
      </c>
      <c r="N34" s="52" t="s">
        <v>1269</v>
      </c>
      <c r="O34" s="52" t="s">
        <v>1270</v>
      </c>
      <c r="P34" s="17">
        <v>57</v>
      </c>
      <c r="Q34" s="25">
        <f t="shared" si="4"/>
        <v>57</v>
      </c>
      <c r="R34" s="191">
        <v>0</v>
      </c>
      <c r="S34" s="192">
        <f t="shared" si="5"/>
        <v>57</v>
      </c>
      <c r="T34" s="193"/>
      <c r="U34" s="193"/>
      <c r="V34" s="192">
        <v>0</v>
      </c>
      <c r="W34" s="192">
        <f t="shared" si="6"/>
        <v>-57</v>
      </c>
      <c r="X34" s="193"/>
      <c r="Y34" s="193"/>
      <c r="Z34" s="194">
        <f t="shared" si="7"/>
        <v>1</v>
      </c>
      <c r="AA34" s="52" t="s">
        <v>179</v>
      </c>
      <c r="AB34" s="162"/>
    </row>
    <row r="35" spans="2:28" ht="60" customHeight="1">
      <c r="B35" s="144">
        <v>46307</v>
      </c>
      <c r="C35" s="53">
        <v>46321</v>
      </c>
      <c r="D35" s="53">
        <v>46328</v>
      </c>
      <c r="E35" s="53">
        <v>46333</v>
      </c>
      <c r="F35" s="17" t="s">
        <v>23</v>
      </c>
      <c r="G35" s="161"/>
      <c r="H35" s="161" t="s">
        <v>1349</v>
      </c>
      <c r="I35" s="161"/>
      <c r="J35" s="52" t="s">
        <v>18</v>
      </c>
      <c r="K35" s="260">
        <v>48804</v>
      </c>
      <c r="L35" s="17">
        <v>180</v>
      </c>
      <c r="M35" s="17" t="s">
        <v>35</v>
      </c>
      <c r="N35" s="52" t="s">
        <v>126</v>
      </c>
      <c r="O35" s="52" t="s">
        <v>1270</v>
      </c>
      <c r="P35" s="17">
        <v>91</v>
      </c>
      <c r="Q35" s="25">
        <f t="shared" si="4"/>
        <v>91</v>
      </c>
      <c r="R35" s="191">
        <v>0</v>
      </c>
      <c r="S35" s="192">
        <f t="shared" si="5"/>
        <v>91</v>
      </c>
      <c r="T35" s="193"/>
      <c r="U35" s="193"/>
      <c r="V35" s="192">
        <v>0</v>
      </c>
      <c r="W35" s="192">
        <f t="shared" si="6"/>
        <v>-91</v>
      </c>
      <c r="X35" s="193"/>
      <c r="Y35" s="193"/>
      <c r="Z35" s="194">
        <f t="shared" si="7"/>
        <v>1</v>
      </c>
      <c r="AA35" s="52" t="s">
        <v>179</v>
      </c>
      <c r="AB35" s="162"/>
    </row>
    <row r="36" spans="2:28" ht="58.5" customHeight="1">
      <c r="B36" s="144">
        <v>46308</v>
      </c>
      <c r="C36" s="53">
        <v>46320</v>
      </c>
      <c r="D36" s="53">
        <v>46328</v>
      </c>
      <c r="E36" s="53">
        <v>46333</v>
      </c>
      <c r="F36" s="17" t="s">
        <v>25</v>
      </c>
      <c r="G36" s="25"/>
      <c r="H36" s="161"/>
      <c r="I36" s="161"/>
      <c r="J36" s="52" t="s">
        <v>18</v>
      </c>
      <c r="K36" s="260">
        <v>48890</v>
      </c>
      <c r="L36" s="17">
        <v>160</v>
      </c>
      <c r="M36" s="17" t="s">
        <v>42</v>
      </c>
      <c r="N36" s="52" t="s">
        <v>1267</v>
      </c>
      <c r="O36" s="52" t="s">
        <v>1326</v>
      </c>
      <c r="P36" s="17">
        <v>105</v>
      </c>
      <c r="Q36" s="25">
        <f t="shared" si="4"/>
        <v>105</v>
      </c>
      <c r="R36" s="191">
        <v>0</v>
      </c>
      <c r="S36" s="192">
        <f t="shared" si="5"/>
        <v>105</v>
      </c>
      <c r="T36" s="193"/>
      <c r="U36" s="193"/>
      <c r="V36" s="192">
        <v>0</v>
      </c>
      <c r="W36" s="192">
        <f t="shared" si="6"/>
        <v>-105</v>
      </c>
      <c r="X36" s="193"/>
      <c r="Y36" s="193"/>
      <c r="Z36" s="194">
        <f t="shared" si="7"/>
        <v>1</v>
      </c>
      <c r="AA36" s="52" t="s">
        <v>29</v>
      </c>
      <c r="AB36" s="162"/>
    </row>
    <row r="37" spans="2:28" ht="54" customHeight="1">
      <c r="B37" s="20">
        <v>46305</v>
      </c>
      <c r="C37" s="53">
        <v>46320</v>
      </c>
      <c r="D37" s="53">
        <v>46328</v>
      </c>
      <c r="E37" s="53">
        <v>46333</v>
      </c>
      <c r="F37" s="17" t="s">
        <v>25</v>
      </c>
      <c r="G37" s="25" t="s">
        <v>62</v>
      </c>
      <c r="H37" s="161" t="s">
        <v>1349</v>
      </c>
      <c r="I37" s="161"/>
      <c r="J37" s="52" t="s">
        <v>162</v>
      </c>
      <c r="K37" s="261">
        <v>48687</v>
      </c>
      <c r="L37" s="17">
        <v>240</v>
      </c>
      <c r="M37" s="17" t="s">
        <v>26</v>
      </c>
      <c r="N37" s="52" t="s">
        <v>1327</v>
      </c>
      <c r="O37" s="52" t="s">
        <v>28</v>
      </c>
      <c r="P37" s="17">
        <v>92</v>
      </c>
      <c r="Q37" s="25">
        <f t="shared" si="4"/>
        <v>92</v>
      </c>
      <c r="R37" s="191">
        <v>0</v>
      </c>
      <c r="S37" s="192">
        <f t="shared" si="5"/>
        <v>92</v>
      </c>
      <c r="T37" s="193"/>
      <c r="U37" s="193"/>
      <c r="V37" s="192">
        <v>0</v>
      </c>
      <c r="W37" s="192">
        <f t="shared" si="6"/>
        <v>-92</v>
      </c>
      <c r="X37" s="193"/>
      <c r="Y37" s="193"/>
      <c r="Z37" s="194">
        <f t="shared" si="7"/>
        <v>1</v>
      </c>
      <c r="AA37" s="52" t="s">
        <v>69</v>
      </c>
      <c r="AB37" s="162" t="s">
        <v>1370</v>
      </c>
    </row>
    <row r="38" spans="2:28" ht="65.25" customHeight="1">
      <c r="B38" s="20">
        <v>46305</v>
      </c>
      <c r="C38" s="53">
        <v>46320</v>
      </c>
      <c r="D38" s="53">
        <v>46328</v>
      </c>
      <c r="E38" s="53">
        <v>46333</v>
      </c>
      <c r="F38" s="17" t="s">
        <v>23</v>
      </c>
      <c r="G38" s="25" t="s">
        <v>62</v>
      </c>
      <c r="H38" s="161" t="s">
        <v>1349</v>
      </c>
      <c r="I38" s="161"/>
      <c r="J38" s="52" t="s">
        <v>162</v>
      </c>
      <c r="K38" s="261">
        <v>48687</v>
      </c>
      <c r="L38" s="17">
        <v>240</v>
      </c>
      <c r="M38" s="17" t="s">
        <v>26</v>
      </c>
      <c r="N38" s="52" t="s">
        <v>27</v>
      </c>
      <c r="O38" s="52" t="s">
        <v>28</v>
      </c>
      <c r="P38" s="17">
        <v>92</v>
      </c>
      <c r="Q38" s="25">
        <f t="shared" si="4"/>
        <v>92</v>
      </c>
      <c r="R38" s="191">
        <v>0</v>
      </c>
      <c r="S38" s="192">
        <f t="shared" si="5"/>
        <v>92</v>
      </c>
      <c r="T38" s="193"/>
      <c r="U38" s="193"/>
      <c r="V38" s="192">
        <v>0</v>
      </c>
      <c r="W38" s="192">
        <f t="shared" si="6"/>
        <v>-92</v>
      </c>
      <c r="X38" s="193"/>
      <c r="Y38" s="193"/>
      <c r="Z38" s="194">
        <f t="shared" si="7"/>
        <v>1</v>
      </c>
      <c r="AA38" s="52" t="s">
        <v>69</v>
      </c>
      <c r="AB38" s="162" t="s">
        <v>1370</v>
      </c>
    </row>
    <row r="39" spans="2:28" ht="60.75" customHeight="1">
      <c r="B39" s="20">
        <v>46305</v>
      </c>
      <c r="C39" s="53">
        <v>46319</v>
      </c>
      <c r="D39" s="53">
        <v>46328</v>
      </c>
      <c r="E39" s="53">
        <v>46333</v>
      </c>
      <c r="F39" s="17" t="s">
        <v>121</v>
      </c>
      <c r="G39" s="25"/>
      <c r="H39" s="161"/>
      <c r="I39" s="161"/>
      <c r="J39" s="52" t="s">
        <v>162</v>
      </c>
      <c r="K39" s="261">
        <v>48852</v>
      </c>
      <c r="L39" s="17">
        <v>160</v>
      </c>
      <c r="M39" s="17" t="s">
        <v>122</v>
      </c>
      <c r="N39" s="52" t="s">
        <v>869</v>
      </c>
      <c r="O39" s="52" t="s">
        <v>20</v>
      </c>
      <c r="P39" s="17">
        <v>60</v>
      </c>
      <c r="Q39" s="25">
        <f t="shared" si="4"/>
        <v>60</v>
      </c>
      <c r="R39" s="191">
        <v>0</v>
      </c>
      <c r="S39" s="192">
        <f t="shared" si="5"/>
        <v>60</v>
      </c>
      <c r="T39" s="193"/>
      <c r="U39" s="193"/>
      <c r="V39" s="192">
        <v>0</v>
      </c>
      <c r="W39" s="192">
        <f t="shared" si="6"/>
        <v>-60</v>
      </c>
      <c r="X39" s="193"/>
      <c r="Y39" s="193"/>
      <c r="Z39" s="194">
        <f t="shared" si="7"/>
        <v>1</v>
      </c>
      <c r="AA39" s="52" t="s">
        <v>743</v>
      </c>
      <c r="AB39" s="162"/>
    </row>
    <row r="40" spans="2:28" ht="63.75">
      <c r="B40" s="20">
        <v>46300</v>
      </c>
      <c r="C40" s="53">
        <v>46315</v>
      </c>
      <c r="D40" s="53">
        <v>46322</v>
      </c>
      <c r="E40" s="53">
        <v>46331</v>
      </c>
      <c r="F40" s="17" t="s">
        <v>23</v>
      </c>
      <c r="G40" s="25"/>
      <c r="H40" s="161"/>
      <c r="I40" s="161"/>
      <c r="J40" s="52" t="s">
        <v>162</v>
      </c>
      <c r="K40" s="261" t="s">
        <v>1324</v>
      </c>
      <c r="L40" s="17">
        <v>190</v>
      </c>
      <c r="M40" s="17" t="s">
        <v>26</v>
      </c>
      <c r="N40" s="52" t="s">
        <v>875</v>
      </c>
      <c r="O40" s="52" t="s">
        <v>71</v>
      </c>
      <c r="P40" s="17">
        <v>188</v>
      </c>
      <c r="Q40" s="25">
        <f t="shared" si="4"/>
        <v>188</v>
      </c>
      <c r="R40" s="191">
        <v>0</v>
      </c>
      <c r="S40" s="192">
        <f t="shared" si="5"/>
        <v>188</v>
      </c>
      <c r="T40" s="193"/>
      <c r="U40" s="193"/>
      <c r="V40" s="192">
        <v>0</v>
      </c>
      <c r="W40" s="192">
        <f t="shared" si="6"/>
        <v>-188</v>
      </c>
      <c r="X40" s="193"/>
      <c r="Y40" s="193"/>
      <c r="Z40" s="194">
        <f t="shared" si="7"/>
        <v>1</v>
      </c>
      <c r="AA40" s="52" t="s">
        <v>743</v>
      </c>
      <c r="AB40" s="162"/>
    </row>
    <row r="41" spans="2:28" ht="51">
      <c r="B41" s="20">
        <v>46300</v>
      </c>
      <c r="C41" s="53">
        <v>46315</v>
      </c>
      <c r="D41" s="53">
        <v>46322</v>
      </c>
      <c r="E41" s="53">
        <v>46331</v>
      </c>
      <c r="F41" s="17" t="s">
        <v>23</v>
      </c>
      <c r="G41" s="25"/>
      <c r="H41" s="161"/>
      <c r="I41" s="161"/>
      <c r="J41" s="52" t="s">
        <v>162</v>
      </c>
      <c r="K41" s="261" t="s">
        <v>1324</v>
      </c>
      <c r="L41" s="17">
        <v>190</v>
      </c>
      <c r="M41" s="17" t="s">
        <v>26</v>
      </c>
      <c r="N41" s="52" t="s">
        <v>1328</v>
      </c>
      <c r="O41" s="52" t="s">
        <v>71</v>
      </c>
      <c r="P41" s="17">
        <v>188</v>
      </c>
      <c r="Q41" s="25">
        <f t="shared" si="4"/>
        <v>188</v>
      </c>
      <c r="R41" s="191">
        <v>0</v>
      </c>
      <c r="S41" s="192">
        <f t="shared" si="5"/>
        <v>188</v>
      </c>
      <c r="T41" s="193"/>
      <c r="U41" s="193"/>
      <c r="V41" s="192">
        <v>0</v>
      </c>
      <c r="W41" s="192">
        <f t="shared" si="6"/>
        <v>-188</v>
      </c>
      <c r="X41" s="193"/>
      <c r="Y41" s="193"/>
      <c r="Z41" s="194">
        <f t="shared" si="7"/>
        <v>1</v>
      </c>
      <c r="AA41" s="52" t="s">
        <v>743</v>
      </c>
      <c r="AB41" s="162"/>
    </row>
    <row r="42" spans="2:28" ht="63.75">
      <c r="B42" s="20">
        <v>46300</v>
      </c>
      <c r="C42" s="53">
        <v>46315</v>
      </c>
      <c r="D42" s="53">
        <v>46322</v>
      </c>
      <c r="E42" s="53">
        <v>46331</v>
      </c>
      <c r="F42" s="17" t="s">
        <v>23</v>
      </c>
      <c r="G42" s="25"/>
      <c r="H42" s="161"/>
      <c r="I42" s="161"/>
      <c r="J42" s="52" t="s">
        <v>162</v>
      </c>
      <c r="K42" s="261" t="s">
        <v>1324</v>
      </c>
      <c r="L42" s="17">
        <v>190</v>
      </c>
      <c r="M42" s="17" t="s">
        <v>26</v>
      </c>
      <c r="N42" s="52" t="s">
        <v>1329</v>
      </c>
      <c r="O42" s="52" t="s">
        <v>71</v>
      </c>
      <c r="P42" s="17">
        <v>188</v>
      </c>
      <c r="Q42" s="25">
        <f t="shared" si="4"/>
        <v>188</v>
      </c>
      <c r="R42" s="191">
        <v>0</v>
      </c>
      <c r="S42" s="192">
        <f t="shared" si="5"/>
        <v>188</v>
      </c>
      <c r="T42" s="193"/>
      <c r="U42" s="193"/>
      <c r="V42" s="192">
        <v>0</v>
      </c>
      <c r="W42" s="192">
        <f t="shared" si="6"/>
        <v>-188</v>
      </c>
      <c r="X42" s="193"/>
      <c r="Y42" s="193"/>
      <c r="Z42" s="194">
        <f t="shared" si="7"/>
        <v>1</v>
      </c>
      <c r="AA42" s="52" t="s">
        <v>743</v>
      </c>
      <c r="AB42" s="162"/>
    </row>
    <row r="43" spans="2:28" ht="62.25" customHeight="1">
      <c r="B43" s="20">
        <v>46310</v>
      </c>
      <c r="C43" s="20">
        <v>46319</v>
      </c>
      <c r="D43" s="20">
        <v>46319</v>
      </c>
      <c r="E43" s="20">
        <v>46331</v>
      </c>
      <c r="F43" s="55" t="s">
        <v>23</v>
      </c>
      <c r="G43" s="25"/>
      <c r="H43" s="161"/>
      <c r="I43" s="161"/>
      <c r="J43" s="56" t="s">
        <v>33</v>
      </c>
      <c r="K43" s="223" t="s">
        <v>1325</v>
      </c>
      <c r="L43" s="17">
        <v>210</v>
      </c>
      <c r="M43" s="17" t="s">
        <v>42</v>
      </c>
      <c r="N43" s="52" t="s">
        <v>46</v>
      </c>
      <c r="O43" s="52" t="s">
        <v>36</v>
      </c>
      <c r="P43" s="17">
        <v>752</v>
      </c>
      <c r="Q43" s="25">
        <f t="shared" si="4"/>
        <v>752</v>
      </c>
      <c r="R43" s="191">
        <v>0</v>
      </c>
      <c r="S43" s="192">
        <f t="shared" si="5"/>
        <v>752</v>
      </c>
      <c r="T43" s="193"/>
      <c r="U43" s="193"/>
      <c r="V43" s="192">
        <v>0</v>
      </c>
      <c r="W43" s="192">
        <f t="shared" si="6"/>
        <v>-752</v>
      </c>
      <c r="X43" s="193"/>
      <c r="Y43" s="193"/>
      <c r="Z43" s="194">
        <f t="shared" si="7"/>
        <v>1</v>
      </c>
      <c r="AA43" s="262" t="s">
        <v>30</v>
      </c>
      <c r="AB43" s="162"/>
    </row>
    <row r="44" spans="2:28" ht="57.75" customHeight="1">
      <c r="B44" s="20">
        <v>46307</v>
      </c>
      <c r="C44" s="53">
        <v>46318</v>
      </c>
      <c r="D44" s="53">
        <v>46319</v>
      </c>
      <c r="E44" s="53">
        <v>46331</v>
      </c>
      <c r="F44" s="17" t="s">
        <v>23</v>
      </c>
      <c r="G44" s="25"/>
      <c r="H44" s="161"/>
      <c r="I44" s="161"/>
      <c r="J44" s="52" t="s">
        <v>34</v>
      </c>
      <c r="K44" s="263">
        <v>48337</v>
      </c>
      <c r="L44" s="17">
        <v>140</v>
      </c>
      <c r="M44" s="17" t="s">
        <v>67</v>
      </c>
      <c r="N44" s="52" t="s">
        <v>37</v>
      </c>
      <c r="O44" s="52" t="s">
        <v>20</v>
      </c>
      <c r="P44" s="17">
        <v>37</v>
      </c>
      <c r="Q44" s="25">
        <f t="shared" ref="Q44:Q75" si="8">P44-R44</f>
        <v>37</v>
      </c>
      <c r="R44" s="191">
        <v>0</v>
      </c>
      <c r="S44" s="192">
        <f t="shared" ref="S44:S75" si="9">P44-R44</f>
        <v>37</v>
      </c>
      <c r="T44" s="193"/>
      <c r="U44" s="193"/>
      <c r="V44" s="192">
        <v>0</v>
      </c>
      <c r="W44" s="192">
        <f t="shared" ref="W44:W75" si="10">+V44-P44</f>
        <v>-37</v>
      </c>
      <c r="X44" s="193"/>
      <c r="Y44" s="193"/>
      <c r="Z44" s="194">
        <f t="shared" si="7"/>
        <v>1</v>
      </c>
      <c r="AA44" s="17" t="s">
        <v>32</v>
      </c>
      <c r="AB44" s="162"/>
    </row>
    <row r="45" spans="2:28" ht="58.5" customHeight="1">
      <c r="B45" s="20">
        <v>46307</v>
      </c>
      <c r="C45" s="53">
        <v>46321</v>
      </c>
      <c r="D45" s="53">
        <v>46322</v>
      </c>
      <c r="E45" s="53">
        <v>46333</v>
      </c>
      <c r="F45" s="17" t="s">
        <v>23</v>
      </c>
      <c r="G45" s="25"/>
      <c r="H45" s="161"/>
      <c r="I45" s="161"/>
      <c r="J45" s="52" t="s">
        <v>34</v>
      </c>
      <c r="K45" s="263">
        <v>48603</v>
      </c>
      <c r="L45" s="17">
        <v>140</v>
      </c>
      <c r="M45" s="17" t="s">
        <v>35</v>
      </c>
      <c r="N45" s="52" t="s">
        <v>1331</v>
      </c>
      <c r="O45" s="52" t="s">
        <v>20</v>
      </c>
      <c r="P45" s="17">
        <v>381</v>
      </c>
      <c r="Q45" s="25">
        <f t="shared" si="8"/>
        <v>381</v>
      </c>
      <c r="R45" s="191">
        <v>0</v>
      </c>
      <c r="S45" s="192">
        <f t="shared" si="9"/>
        <v>381</v>
      </c>
      <c r="T45" s="193"/>
      <c r="U45" s="193"/>
      <c r="V45" s="192">
        <v>0</v>
      </c>
      <c r="W45" s="192">
        <f t="shared" si="10"/>
        <v>-381</v>
      </c>
      <c r="X45" s="193"/>
      <c r="Y45" s="193"/>
      <c r="Z45" s="194">
        <f t="shared" si="7"/>
        <v>1</v>
      </c>
      <c r="AA45" s="17" t="s">
        <v>31</v>
      </c>
      <c r="AB45" s="162"/>
    </row>
    <row r="46" spans="2:28" ht="61.5" customHeight="1">
      <c r="B46" s="20">
        <v>46307</v>
      </c>
      <c r="C46" s="53">
        <v>46321</v>
      </c>
      <c r="D46" s="53">
        <v>46322</v>
      </c>
      <c r="E46" s="53">
        <v>46333</v>
      </c>
      <c r="F46" s="17" t="s">
        <v>25</v>
      </c>
      <c r="G46" s="25"/>
      <c r="H46" s="161"/>
      <c r="I46" s="161"/>
      <c r="J46" s="52" t="s">
        <v>34</v>
      </c>
      <c r="K46" s="263">
        <v>48603</v>
      </c>
      <c r="L46" s="17">
        <v>140</v>
      </c>
      <c r="M46" s="17" t="s">
        <v>35</v>
      </c>
      <c r="N46" s="52" t="s">
        <v>1342</v>
      </c>
      <c r="O46" s="52" t="s">
        <v>20</v>
      </c>
      <c r="P46" s="17">
        <v>362</v>
      </c>
      <c r="Q46" s="25">
        <f t="shared" si="8"/>
        <v>362</v>
      </c>
      <c r="R46" s="191">
        <v>0</v>
      </c>
      <c r="S46" s="192">
        <f t="shared" si="9"/>
        <v>362</v>
      </c>
      <c r="T46" s="193"/>
      <c r="U46" s="193"/>
      <c r="V46" s="192">
        <v>0</v>
      </c>
      <c r="W46" s="192">
        <f t="shared" si="10"/>
        <v>-362</v>
      </c>
      <c r="X46" s="193"/>
      <c r="Y46" s="193"/>
      <c r="Z46" s="194">
        <f t="shared" si="7"/>
        <v>1</v>
      </c>
      <c r="AA46" s="17" t="s">
        <v>31</v>
      </c>
      <c r="AB46" s="162"/>
    </row>
    <row r="47" spans="2:28" ht="75.75" customHeight="1">
      <c r="B47" s="20">
        <v>46307</v>
      </c>
      <c r="C47" s="53">
        <v>46321</v>
      </c>
      <c r="D47" s="53">
        <v>46322</v>
      </c>
      <c r="E47" s="53">
        <v>46333</v>
      </c>
      <c r="F47" s="17" t="s">
        <v>25</v>
      </c>
      <c r="G47" s="25"/>
      <c r="H47" s="161"/>
      <c r="I47" s="161"/>
      <c r="J47" s="52" t="s">
        <v>34</v>
      </c>
      <c r="K47" s="263">
        <v>48603</v>
      </c>
      <c r="L47" s="17">
        <v>140</v>
      </c>
      <c r="M47" s="17" t="s">
        <v>35</v>
      </c>
      <c r="N47" s="52" t="s">
        <v>1342</v>
      </c>
      <c r="O47" s="52" t="s">
        <v>20</v>
      </c>
      <c r="P47" s="17">
        <v>412</v>
      </c>
      <c r="Q47" s="25">
        <f t="shared" si="8"/>
        <v>412</v>
      </c>
      <c r="R47" s="191">
        <v>0</v>
      </c>
      <c r="S47" s="192">
        <f t="shared" si="9"/>
        <v>412</v>
      </c>
      <c r="T47" s="193"/>
      <c r="U47" s="193"/>
      <c r="V47" s="192">
        <v>0</v>
      </c>
      <c r="W47" s="192">
        <f t="shared" si="10"/>
        <v>-412</v>
      </c>
      <c r="X47" s="193"/>
      <c r="Y47" s="193"/>
      <c r="Z47" s="194">
        <f t="shared" si="7"/>
        <v>1</v>
      </c>
      <c r="AA47" s="17" t="s">
        <v>31</v>
      </c>
      <c r="AB47" s="162"/>
    </row>
    <row r="48" spans="2:28" ht="65.25" customHeight="1">
      <c r="B48" s="20">
        <v>46307</v>
      </c>
      <c r="C48" s="53">
        <v>46321</v>
      </c>
      <c r="D48" s="53">
        <v>46322</v>
      </c>
      <c r="E48" s="53">
        <v>46333</v>
      </c>
      <c r="F48" s="17" t="s">
        <v>25</v>
      </c>
      <c r="G48" s="25"/>
      <c r="H48" s="161"/>
      <c r="I48" s="161"/>
      <c r="J48" s="52" t="s">
        <v>34</v>
      </c>
      <c r="K48" s="263">
        <v>48603</v>
      </c>
      <c r="L48" s="17">
        <v>140</v>
      </c>
      <c r="M48" s="17" t="s">
        <v>35</v>
      </c>
      <c r="N48" s="52" t="s">
        <v>1343</v>
      </c>
      <c r="O48" s="52" t="s">
        <v>20</v>
      </c>
      <c r="P48" s="17">
        <v>290</v>
      </c>
      <c r="Q48" s="25">
        <f t="shared" si="8"/>
        <v>290</v>
      </c>
      <c r="R48" s="191">
        <v>0</v>
      </c>
      <c r="S48" s="192">
        <f t="shared" si="9"/>
        <v>290</v>
      </c>
      <c r="T48" s="193"/>
      <c r="U48" s="193"/>
      <c r="V48" s="192">
        <v>0</v>
      </c>
      <c r="W48" s="192">
        <f t="shared" si="10"/>
        <v>-290</v>
      </c>
      <c r="X48" s="193"/>
      <c r="Y48" s="193"/>
      <c r="Z48" s="194">
        <f t="shared" si="7"/>
        <v>1</v>
      </c>
      <c r="AA48" s="17" t="s">
        <v>31</v>
      </c>
      <c r="AB48" s="162"/>
    </row>
    <row r="49" spans="1:28" ht="29.25" customHeight="1">
      <c r="A49" s="9"/>
      <c r="B49" s="21"/>
      <c r="C49" s="21"/>
      <c r="D49" s="21"/>
      <c r="E49" s="21"/>
      <c r="F49" s="43"/>
      <c r="G49" s="25"/>
      <c r="H49" s="161"/>
      <c r="I49" s="161"/>
      <c r="J49" s="56"/>
      <c r="K49" s="223"/>
      <c r="L49" s="45"/>
      <c r="M49" s="45"/>
      <c r="N49" s="45"/>
      <c r="O49" s="45"/>
      <c r="P49" s="45">
        <v>0</v>
      </c>
      <c r="Q49" s="25">
        <f t="shared" si="8"/>
        <v>0</v>
      </c>
      <c r="R49" s="191">
        <v>0</v>
      </c>
      <c r="S49" s="192">
        <f t="shared" si="9"/>
        <v>0</v>
      </c>
      <c r="T49" s="193"/>
      <c r="U49" s="193"/>
      <c r="V49" s="192">
        <v>0</v>
      </c>
      <c r="W49" s="192">
        <f t="shared" si="10"/>
        <v>0</v>
      </c>
      <c r="X49" s="193"/>
      <c r="Y49" s="193"/>
      <c r="Z49" s="194" t="e">
        <f t="shared" si="7"/>
        <v>#DIV/0!</v>
      </c>
      <c r="AA49" s="44"/>
      <c r="AB49" s="162"/>
    </row>
    <row r="50" spans="1:28" ht="31.5" customHeight="1">
      <c r="A50" s="9"/>
      <c r="B50" s="21"/>
      <c r="C50" s="21"/>
      <c r="D50" s="21"/>
      <c r="E50" s="21"/>
      <c r="F50" s="43"/>
      <c r="G50" s="25"/>
      <c r="H50" s="161"/>
      <c r="I50" s="161"/>
      <c r="J50" s="56"/>
      <c r="K50" s="223"/>
      <c r="L50" s="45"/>
      <c r="M50" s="45"/>
      <c r="N50" s="45"/>
      <c r="O50" s="45"/>
      <c r="P50" s="45">
        <v>0</v>
      </c>
      <c r="Q50" s="25">
        <f t="shared" si="8"/>
        <v>0</v>
      </c>
      <c r="R50" s="191">
        <v>0</v>
      </c>
      <c r="S50" s="192">
        <f t="shared" si="9"/>
        <v>0</v>
      </c>
      <c r="T50" s="193"/>
      <c r="U50" s="193"/>
      <c r="V50" s="192">
        <v>0</v>
      </c>
      <c r="W50" s="192">
        <f t="shared" si="10"/>
        <v>0</v>
      </c>
      <c r="X50" s="193"/>
      <c r="Y50" s="193"/>
      <c r="Z50" s="194" t="e">
        <f t="shared" si="7"/>
        <v>#DIV/0!</v>
      </c>
      <c r="AA50" s="44"/>
      <c r="AB50" s="162"/>
    </row>
    <row r="51" spans="1:28" ht="28.5" customHeight="1">
      <c r="A51" s="9"/>
      <c r="B51" s="21"/>
      <c r="C51" s="21"/>
      <c r="D51" s="21"/>
      <c r="E51" s="21"/>
      <c r="F51" s="43"/>
      <c r="G51" s="25"/>
      <c r="H51" s="161"/>
      <c r="I51" s="161"/>
      <c r="J51" s="56"/>
      <c r="K51" s="223"/>
      <c r="L51" s="45"/>
      <c r="M51" s="45"/>
      <c r="N51" s="45"/>
      <c r="O51" s="45"/>
      <c r="P51" s="45">
        <v>0</v>
      </c>
      <c r="Q51" s="25">
        <f t="shared" si="8"/>
        <v>0</v>
      </c>
      <c r="R51" s="191">
        <v>0</v>
      </c>
      <c r="S51" s="192">
        <f t="shared" si="9"/>
        <v>0</v>
      </c>
      <c r="T51" s="193"/>
      <c r="U51" s="193"/>
      <c r="V51" s="192">
        <v>0</v>
      </c>
      <c r="W51" s="192">
        <f t="shared" si="10"/>
        <v>0</v>
      </c>
      <c r="X51" s="193"/>
      <c r="Y51" s="193"/>
      <c r="Z51" s="194" t="e">
        <f t="shared" si="7"/>
        <v>#DIV/0!</v>
      </c>
      <c r="AA51" s="44"/>
      <c r="AB51" s="162"/>
    </row>
    <row r="52" spans="1:28" ht="16.5">
      <c r="A52" s="9"/>
      <c r="B52" s="21"/>
      <c r="C52" s="21"/>
      <c r="D52" s="21"/>
      <c r="E52" s="21"/>
      <c r="F52" s="43"/>
      <c r="G52" s="25"/>
      <c r="H52" s="161"/>
      <c r="I52" s="161"/>
      <c r="J52" s="56"/>
      <c r="K52" s="223"/>
      <c r="L52" s="45"/>
      <c r="M52" s="45"/>
      <c r="N52" s="45"/>
      <c r="O52" s="45"/>
      <c r="P52" s="45">
        <v>0</v>
      </c>
      <c r="Q52" s="25">
        <f t="shared" si="8"/>
        <v>0</v>
      </c>
      <c r="R52" s="191">
        <v>0</v>
      </c>
      <c r="S52" s="192">
        <f t="shared" si="9"/>
        <v>0</v>
      </c>
      <c r="T52" s="193"/>
      <c r="U52" s="193"/>
      <c r="V52" s="192">
        <v>0</v>
      </c>
      <c r="W52" s="192">
        <f t="shared" si="10"/>
        <v>0</v>
      </c>
      <c r="X52" s="193"/>
      <c r="Y52" s="193"/>
      <c r="Z52" s="194" t="e">
        <f t="shared" si="7"/>
        <v>#DIV/0!</v>
      </c>
      <c r="AA52" s="44"/>
      <c r="AB52" s="162"/>
    </row>
    <row r="53" spans="1:28" ht="16.5">
      <c r="A53" s="9"/>
      <c r="B53" s="21"/>
      <c r="C53" s="21"/>
      <c r="D53" s="21"/>
      <c r="E53" s="21"/>
      <c r="F53" s="43"/>
      <c r="G53" s="25"/>
      <c r="H53" s="161"/>
      <c r="I53" s="161"/>
      <c r="J53" s="56"/>
      <c r="K53" s="223"/>
      <c r="L53" s="45"/>
      <c r="M53" s="45"/>
      <c r="N53" s="45"/>
      <c r="O53" s="45"/>
      <c r="P53" s="45">
        <v>0</v>
      </c>
      <c r="Q53" s="25">
        <f t="shared" si="8"/>
        <v>0</v>
      </c>
      <c r="R53" s="191">
        <v>0</v>
      </c>
      <c r="S53" s="192">
        <f t="shared" si="9"/>
        <v>0</v>
      </c>
      <c r="T53" s="193"/>
      <c r="U53" s="193"/>
      <c r="V53" s="192">
        <v>0</v>
      </c>
      <c r="W53" s="192">
        <f t="shared" si="10"/>
        <v>0</v>
      </c>
      <c r="X53" s="193"/>
      <c r="Y53" s="193"/>
      <c r="Z53" s="194" t="e">
        <f t="shared" si="7"/>
        <v>#DIV/0!</v>
      </c>
      <c r="AA53" s="44"/>
      <c r="AB53" s="162"/>
    </row>
    <row r="54" spans="1:28" ht="16.5">
      <c r="A54" s="9"/>
      <c r="B54" s="21"/>
      <c r="C54" s="21"/>
      <c r="D54" s="21"/>
      <c r="E54" s="21"/>
      <c r="F54" s="43"/>
      <c r="G54" s="25"/>
      <c r="H54" s="161"/>
      <c r="I54" s="161"/>
      <c r="J54" s="56"/>
      <c r="K54" s="223"/>
      <c r="L54" s="45"/>
      <c r="M54" s="45"/>
      <c r="N54" s="45"/>
      <c r="O54" s="45"/>
      <c r="P54" s="45">
        <v>0</v>
      </c>
      <c r="Q54" s="25">
        <f t="shared" si="8"/>
        <v>0</v>
      </c>
      <c r="R54" s="191">
        <v>0</v>
      </c>
      <c r="S54" s="192">
        <f t="shared" si="9"/>
        <v>0</v>
      </c>
      <c r="T54" s="193"/>
      <c r="U54" s="193"/>
      <c r="V54" s="192">
        <v>0</v>
      </c>
      <c r="W54" s="192">
        <f t="shared" si="10"/>
        <v>0</v>
      </c>
      <c r="X54" s="193"/>
      <c r="Y54" s="193"/>
      <c r="Z54" s="194" t="e">
        <f t="shared" si="7"/>
        <v>#DIV/0!</v>
      </c>
      <c r="AA54" s="44"/>
      <c r="AB54" s="162"/>
    </row>
    <row r="55" spans="1:28" ht="16.5">
      <c r="A55" s="9"/>
      <c r="B55" s="21"/>
      <c r="C55" s="21"/>
      <c r="D55" s="21"/>
      <c r="E55" s="21"/>
      <c r="F55" s="43"/>
      <c r="G55" s="25"/>
      <c r="H55" s="161"/>
      <c r="I55" s="161"/>
      <c r="J55" s="56"/>
      <c r="K55" s="223"/>
      <c r="L55" s="45"/>
      <c r="M55" s="45"/>
      <c r="N55" s="45"/>
      <c r="O55" s="45"/>
      <c r="P55" s="45">
        <v>0</v>
      </c>
      <c r="Q55" s="25">
        <f t="shared" si="8"/>
        <v>0</v>
      </c>
      <c r="R55" s="191">
        <v>0</v>
      </c>
      <c r="S55" s="192">
        <f t="shared" si="9"/>
        <v>0</v>
      </c>
      <c r="T55" s="193"/>
      <c r="U55" s="193"/>
      <c r="V55" s="192">
        <v>0</v>
      </c>
      <c r="W55" s="192">
        <f t="shared" si="10"/>
        <v>0</v>
      </c>
      <c r="X55" s="193"/>
      <c r="Y55" s="193"/>
      <c r="Z55" s="194" t="e">
        <f t="shared" si="7"/>
        <v>#DIV/0!</v>
      </c>
      <c r="AA55" s="44"/>
      <c r="AB55" s="162"/>
    </row>
    <row r="56" spans="1:28" ht="16.5">
      <c r="A56" s="9"/>
      <c r="B56" s="21"/>
      <c r="C56" s="21"/>
      <c r="D56" s="21"/>
      <c r="E56" s="21"/>
      <c r="F56" s="43"/>
      <c r="G56" s="25"/>
      <c r="H56" s="161"/>
      <c r="I56" s="161"/>
      <c r="J56" s="56"/>
      <c r="K56" s="223"/>
      <c r="L56" s="45"/>
      <c r="M56" s="45"/>
      <c r="N56" s="45"/>
      <c r="O56" s="45"/>
      <c r="P56" s="45">
        <v>0</v>
      </c>
      <c r="Q56" s="25">
        <f t="shared" si="8"/>
        <v>0</v>
      </c>
      <c r="R56" s="191">
        <v>0</v>
      </c>
      <c r="S56" s="192">
        <f t="shared" si="9"/>
        <v>0</v>
      </c>
      <c r="T56" s="193"/>
      <c r="U56" s="193"/>
      <c r="V56" s="192">
        <v>0</v>
      </c>
      <c r="W56" s="192">
        <f t="shared" si="10"/>
        <v>0</v>
      </c>
      <c r="X56" s="193"/>
      <c r="Y56" s="193"/>
      <c r="Z56" s="194" t="e">
        <f t="shared" si="7"/>
        <v>#DIV/0!</v>
      </c>
      <c r="AA56" s="44"/>
      <c r="AB56" s="162"/>
    </row>
    <row r="57" spans="1:28" ht="16.5">
      <c r="A57" s="9"/>
      <c r="B57" s="21"/>
      <c r="C57" s="21"/>
      <c r="D57" s="21"/>
      <c r="E57" s="21"/>
      <c r="F57" s="43"/>
      <c r="G57" s="25"/>
      <c r="H57" s="161"/>
      <c r="I57" s="161"/>
      <c r="J57" s="56"/>
      <c r="K57" s="223"/>
      <c r="L57" s="45"/>
      <c r="M57" s="45"/>
      <c r="N57" s="45"/>
      <c r="O57" s="45"/>
      <c r="P57" s="45">
        <v>0</v>
      </c>
      <c r="Q57" s="25">
        <f t="shared" si="8"/>
        <v>0</v>
      </c>
      <c r="R57" s="191">
        <v>0</v>
      </c>
      <c r="S57" s="192">
        <f t="shared" si="9"/>
        <v>0</v>
      </c>
      <c r="T57" s="193"/>
      <c r="U57" s="193"/>
      <c r="V57" s="192">
        <v>0</v>
      </c>
      <c r="W57" s="192">
        <f t="shared" si="10"/>
        <v>0</v>
      </c>
      <c r="X57" s="193"/>
      <c r="Y57" s="193"/>
      <c r="Z57" s="194" t="e">
        <f t="shared" si="7"/>
        <v>#DIV/0!</v>
      </c>
      <c r="AA57" s="44"/>
      <c r="AB57" s="162"/>
    </row>
    <row r="58" spans="1:28" ht="16.5">
      <c r="A58" s="9"/>
      <c r="B58" s="21"/>
      <c r="C58" s="21"/>
      <c r="D58" s="21"/>
      <c r="E58" s="21"/>
      <c r="F58" s="43"/>
      <c r="G58" s="25"/>
      <c r="H58" s="161"/>
      <c r="I58" s="161"/>
      <c r="J58" s="56"/>
      <c r="K58" s="223"/>
      <c r="L58" s="45"/>
      <c r="M58" s="45"/>
      <c r="N58" s="45"/>
      <c r="O58" s="45"/>
      <c r="P58" s="45">
        <v>0</v>
      </c>
      <c r="Q58" s="25">
        <f t="shared" si="8"/>
        <v>0</v>
      </c>
      <c r="R58" s="191">
        <v>0</v>
      </c>
      <c r="S58" s="192">
        <f t="shared" si="9"/>
        <v>0</v>
      </c>
      <c r="T58" s="193"/>
      <c r="U58" s="193"/>
      <c r="V58" s="192">
        <v>0</v>
      </c>
      <c r="W58" s="192">
        <f t="shared" si="10"/>
        <v>0</v>
      </c>
      <c r="X58" s="193"/>
      <c r="Y58" s="193"/>
      <c r="Z58" s="194" t="e">
        <f t="shared" si="7"/>
        <v>#DIV/0!</v>
      </c>
      <c r="AA58" s="44"/>
      <c r="AB58" s="162"/>
    </row>
    <row r="59" spans="1:28" ht="16.5">
      <c r="A59" s="9"/>
      <c r="B59" s="21"/>
      <c r="C59" s="21"/>
      <c r="D59" s="21"/>
      <c r="E59" s="21"/>
      <c r="F59" s="43"/>
      <c r="G59" s="25"/>
      <c r="H59" s="161"/>
      <c r="I59" s="161"/>
      <c r="J59" s="56"/>
      <c r="K59" s="223"/>
      <c r="L59" s="45"/>
      <c r="M59" s="45"/>
      <c r="N59" s="45"/>
      <c r="O59" s="45"/>
      <c r="P59" s="45">
        <v>0</v>
      </c>
      <c r="Q59" s="25">
        <f t="shared" si="8"/>
        <v>0</v>
      </c>
      <c r="R59" s="191">
        <v>0</v>
      </c>
      <c r="S59" s="192">
        <f t="shared" si="9"/>
        <v>0</v>
      </c>
      <c r="T59" s="193"/>
      <c r="U59" s="193"/>
      <c r="V59" s="192">
        <v>0</v>
      </c>
      <c r="W59" s="192">
        <f t="shared" si="10"/>
        <v>0</v>
      </c>
      <c r="X59" s="193"/>
      <c r="Y59" s="193"/>
      <c r="Z59" s="194" t="e">
        <f t="shared" si="7"/>
        <v>#DIV/0!</v>
      </c>
      <c r="AA59" s="44"/>
      <c r="AB59" s="162"/>
    </row>
    <row r="60" spans="1:28" ht="16.5">
      <c r="A60" s="9"/>
      <c r="B60" s="21"/>
      <c r="C60" s="21"/>
      <c r="D60" s="21"/>
      <c r="E60" s="21"/>
      <c r="F60" s="43"/>
      <c r="G60" s="25"/>
      <c r="H60" s="161"/>
      <c r="I60" s="161"/>
      <c r="J60" s="56"/>
      <c r="K60" s="223"/>
      <c r="L60" s="45"/>
      <c r="M60" s="45"/>
      <c r="N60" s="45"/>
      <c r="O60" s="45"/>
      <c r="P60" s="45">
        <v>0</v>
      </c>
      <c r="Q60" s="25">
        <f t="shared" si="8"/>
        <v>0</v>
      </c>
      <c r="R60" s="191">
        <v>0</v>
      </c>
      <c r="S60" s="192">
        <f t="shared" si="9"/>
        <v>0</v>
      </c>
      <c r="T60" s="193"/>
      <c r="U60" s="193"/>
      <c r="V60" s="192">
        <v>0</v>
      </c>
      <c r="W60" s="192">
        <f t="shared" si="10"/>
        <v>0</v>
      </c>
      <c r="X60" s="193"/>
      <c r="Y60" s="193"/>
      <c r="Z60" s="194" t="e">
        <f t="shared" si="7"/>
        <v>#DIV/0!</v>
      </c>
      <c r="AA60" s="44"/>
      <c r="AB60" s="162"/>
    </row>
    <row r="61" spans="1:28" ht="16.5">
      <c r="A61" s="9"/>
      <c r="B61" s="21"/>
      <c r="C61" s="21"/>
      <c r="D61" s="21"/>
      <c r="E61" s="21"/>
      <c r="F61" s="43"/>
      <c r="G61" s="25"/>
      <c r="H61" s="161"/>
      <c r="I61" s="161"/>
      <c r="J61" s="56"/>
      <c r="K61" s="223"/>
      <c r="L61" s="45"/>
      <c r="M61" s="45"/>
      <c r="N61" s="45"/>
      <c r="O61" s="45"/>
      <c r="P61" s="45">
        <v>0</v>
      </c>
      <c r="Q61" s="25">
        <f t="shared" si="8"/>
        <v>0</v>
      </c>
      <c r="R61" s="191">
        <v>0</v>
      </c>
      <c r="S61" s="192">
        <f t="shared" si="9"/>
        <v>0</v>
      </c>
      <c r="T61" s="193"/>
      <c r="U61" s="193"/>
      <c r="V61" s="192">
        <v>0</v>
      </c>
      <c r="W61" s="192">
        <f t="shared" si="10"/>
        <v>0</v>
      </c>
      <c r="X61" s="193"/>
      <c r="Y61" s="193"/>
      <c r="Z61" s="194" t="e">
        <f t="shared" si="7"/>
        <v>#DIV/0!</v>
      </c>
      <c r="AA61" s="44"/>
      <c r="AB61" s="162"/>
    </row>
    <row r="62" spans="1:28" ht="16.5">
      <c r="A62" s="9"/>
      <c r="B62" s="21"/>
      <c r="C62" s="21"/>
      <c r="D62" s="21"/>
      <c r="E62" s="21"/>
      <c r="F62" s="43"/>
      <c r="G62" s="25"/>
      <c r="H62" s="161"/>
      <c r="I62" s="161"/>
      <c r="J62" s="56"/>
      <c r="K62" s="223"/>
      <c r="L62" s="45"/>
      <c r="M62" s="45"/>
      <c r="N62" s="45"/>
      <c r="O62" s="45"/>
      <c r="P62" s="45">
        <v>0</v>
      </c>
      <c r="Q62" s="25">
        <f t="shared" si="8"/>
        <v>0</v>
      </c>
      <c r="R62" s="191">
        <v>0</v>
      </c>
      <c r="S62" s="192">
        <f t="shared" si="9"/>
        <v>0</v>
      </c>
      <c r="T62" s="193"/>
      <c r="U62" s="193"/>
      <c r="V62" s="192">
        <v>0</v>
      </c>
      <c r="W62" s="192">
        <f t="shared" si="10"/>
        <v>0</v>
      </c>
      <c r="X62" s="193"/>
      <c r="Y62" s="193"/>
      <c r="Z62" s="194" t="e">
        <f t="shared" si="7"/>
        <v>#DIV/0!</v>
      </c>
      <c r="AA62" s="44"/>
      <c r="AB62" s="162"/>
    </row>
    <row r="63" spans="1:28" ht="16.5">
      <c r="A63" s="9"/>
      <c r="B63" s="21"/>
      <c r="C63" s="21"/>
      <c r="D63" s="21"/>
      <c r="E63" s="21"/>
      <c r="F63" s="43"/>
      <c r="G63" s="25"/>
      <c r="H63" s="161"/>
      <c r="I63" s="161"/>
      <c r="J63" s="56"/>
      <c r="K63" s="223"/>
      <c r="L63" s="45"/>
      <c r="M63" s="45"/>
      <c r="N63" s="45"/>
      <c r="O63" s="45"/>
      <c r="P63" s="45">
        <v>0</v>
      </c>
      <c r="Q63" s="25">
        <f t="shared" si="8"/>
        <v>0</v>
      </c>
      <c r="R63" s="191">
        <v>0</v>
      </c>
      <c r="S63" s="192">
        <f t="shared" si="9"/>
        <v>0</v>
      </c>
      <c r="T63" s="193"/>
      <c r="U63" s="193"/>
      <c r="V63" s="192">
        <v>0</v>
      </c>
      <c r="W63" s="192">
        <f t="shared" si="10"/>
        <v>0</v>
      </c>
      <c r="X63" s="193"/>
      <c r="Y63" s="193"/>
      <c r="Z63" s="194" t="e">
        <f t="shared" si="7"/>
        <v>#DIV/0!</v>
      </c>
      <c r="AA63" s="44"/>
      <c r="AB63" s="162"/>
    </row>
    <row r="64" spans="1:28" ht="16.5">
      <c r="A64" s="9"/>
      <c r="B64" s="21"/>
      <c r="C64" s="21"/>
      <c r="D64" s="21"/>
      <c r="E64" s="21"/>
      <c r="F64" s="43"/>
      <c r="G64" s="25"/>
      <c r="H64" s="161"/>
      <c r="I64" s="161"/>
      <c r="J64" s="56"/>
      <c r="K64" s="223"/>
      <c r="L64" s="45"/>
      <c r="M64" s="45"/>
      <c r="N64" s="45"/>
      <c r="O64" s="45"/>
      <c r="P64" s="45">
        <v>0</v>
      </c>
      <c r="Q64" s="25">
        <f t="shared" si="8"/>
        <v>0</v>
      </c>
      <c r="R64" s="191">
        <v>0</v>
      </c>
      <c r="S64" s="192">
        <f t="shared" si="9"/>
        <v>0</v>
      </c>
      <c r="T64" s="193"/>
      <c r="U64" s="193"/>
      <c r="V64" s="192">
        <v>0</v>
      </c>
      <c r="W64" s="192">
        <f t="shared" si="10"/>
        <v>0</v>
      </c>
      <c r="X64" s="193"/>
      <c r="Y64" s="193"/>
      <c r="Z64" s="194" t="e">
        <f t="shared" si="7"/>
        <v>#DIV/0!</v>
      </c>
      <c r="AA64" s="44"/>
      <c r="AB64" s="162"/>
    </row>
    <row r="65" spans="1:28" ht="16.5">
      <c r="A65" s="9"/>
      <c r="B65" s="21"/>
      <c r="C65" s="21"/>
      <c r="D65" s="21"/>
      <c r="E65" s="21"/>
      <c r="F65" s="43"/>
      <c r="G65" s="25"/>
      <c r="H65" s="161"/>
      <c r="I65" s="161"/>
      <c r="J65" s="56"/>
      <c r="K65" s="223"/>
      <c r="L65" s="45"/>
      <c r="M65" s="45"/>
      <c r="N65" s="45"/>
      <c r="O65" s="45"/>
      <c r="P65" s="45">
        <v>0</v>
      </c>
      <c r="Q65" s="25">
        <f t="shared" si="8"/>
        <v>0</v>
      </c>
      <c r="R65" s="191">
        <v>0</v>
      </c>
      <c r="S65" s="192">
        <f t="shared" si="9"/>
        <v>0</v>
      </c>
      <c r="T65" s="193"/>
      <c r="U65" s="193"/>
      <c r="V65" s="192">
        <v>0</v>
      </c>
      <c r="W65" s="192">
        <f t="shared" si="10"/>
        <v>0</v>
      </c>
      <c r="X65" s="193"/>
      <c r="Y65" s="193"/>
      <c r="Z65" s="194" t="e">
        <f t="shared" si="7"/>
        <v>#DIV/0!</v>
      </c>
      <c r="AA65" s="44"/>
      <c r="AB65" s="162"/>
    </row>
    <row r="66" spans="1:28" ht="16.5">
      <c r="A66" s="9"/>
      <c r="B66" s="21"/>
      <c r="C66" s="21"/>
      <c r="D66" s="21"/>
      <c r="E66" s="21"/>
      <c r="F66" s="43"/>
      <c r="G66" s="25"/>
      <c r="H66" s="161"/>
      <c r="I66" s="161"/>
      <c r="J66" s="56"/>
      <c r="K66" s="223"/>
      <c r="L66" s="45"/>
      <c r="M66" s="45"/>
      <c r="N66" s="45"/>
      <c r="O66" s="45"/>
      <c r="P66" s="45">
        <v>0</v>
      </c>
      <c r="Q66" s="25">
        <f t="shared" si="8"/>
        <v>0</v>
      </c>
      <c r="R66" s="191">
        <v>0</v>
      </c>
      <c r="S66" s="192">
        <f t="shared" si="9"/>
        <v>0</v>
      </c>
      <c r="T66" s="193"/>
      <c r="U66" s="193"/>
      <c r="V66" s="192">
        <v>0</v>
      </c>
      <c r="W66" s="192">
        <f t="shared" si="10"/>
        <v>0</v>
      </c>
      <c r="X66" s="193"/>
      <c r="Y66" s="193"/>
      <c r="Z66" s="194" t="e">
        <f t="shared" si="7"/>
        <v>#DIV/0!</v>
      </c>
      <c r="AA66" s="44"/>
      <c r="AB66" s="162"/>
    </row>
    <row r="67" spans="1:28" ht="16.5">
      <c r="A67" s="9"/>
      <c r="B67" s="21"/>
      <c r="C67" s="21"/>
      <c r="D67" s="21"/>
      <c r="E67" s="21"/>
      <c r="F67" s="43"/>
      <c r="G67" s="25"/>
      <c r="H67" s="161"/>
      <c r="I67" s="161"/>
      <c r="J67" s="56"/>
      <c r="K67" s="223"/>
      <c r="L67" s="45"/>
      <c r="M67" s="45"/>
      <c r="N67" s="45"/>
      <c r="O67" s="45"/>
      <c r="P67" s="45">
        <v>0</v>
      </c>
      <c r="Q67" s="25">
        <f t="shared" si="8"/>
        <v>0</v>
      </c>
      <c r="R67" s="191">
        <v>0</v>
      </c>
      <c r="S67" s="192">
        <f t="shared" si="9"/>
        <v>0</v>
      </c>
      <c r="T67" s="193"/>
      <c r="U67" s="193"/>
      <c r="V67" s="192">
        <v>0</v>
      </c>
      <c r="W67" s="192">
        <f t="shared" si="10"/>
        <v>0</v>
      </c>
      <c r="X67" s="193"/>
      <c r="Y67" s="193"/>
      <c r="Z67" s="194" t="e">
        <f t="shared" si="7"/>
        <v>#DIV/0!</v>
      </c>
      <c r="AA67" s="44"/>
      <c r="AB67" s="162"/>
    </row>
    <row r="68" spans="1:28" ht="16.5">
      <c r="A68" s="9"/>
      <c r="B68" s="21"/>
      <c r="C68" s="21"/>
      <c r="D68" s="21"/>
      <c r="E68" s="21"/>
      <c r="F68" s="43"/>
      <c r="G68" s="25"/>
      <c r="H68" s="161"/>
      <c r="I68" s="161"/>
      <c r="J68" s="56"/>
      <c r="K68" s="223"/>
      <c r="L68" s="45"/>
      <c r="M68" s="45"/>
      <c r="N68" s="45"/>
      <c r="O68" s="45"/>
      <c r="P68" s="45">
        <v>0</v>
      </c>
      <c r="Q68" s="25">
        <f t="shared" si="8"/>
        <v>0</v>
      </c>
      <c r="R68" s="191">
        <v>0</v>
      </c>
      <c r="S68" s="192">
        <f t="shared" si="9"/>
        <v>0</v>
      </c>
      <c r="T68" s="193"/>
      <c r="U68" s="193"/>
      <c r="V68" s="192">
        <v>0</v>
      </c>
      <c r="W68" s="192">
        <f t="shared" si="10"/>
        <v>0</v>
      </c>
      <c r="X68" s="193"/>
      <c r="Y68" s="193"/>
      <c r="Z68" s="194" t="e">
        <f t="shared" si="7"/>
        <v>#DIV/0!</v>
      </c>
      <c r="AA68" s="44"/>
      <c r="AB68" s="162"/>
    </row>
    <row r="69" spans="1:28" ht="16.5">
      <c r="A69" s="9"/>
      <c r="B69" s="21"/>
      <c r="C69" s="21"/>
      <c r="D69" s="21"/>
      <c r="E69" s="21"/>
      <c r="F69" s="43"/>
      <c r="G69" s="25"/>
      <c r="H69" s="161"/>
      <c r="I69" s="161"/>
      <c r="J69" s="56"/>
      <c r="K69" s="223"/>
      <c r="L69" s="45"/>
      <c r="M69" s="45"/>
      <c r="N69" s="45"/>
      <c r="O69" s="45"/>
      <c r="P69" s="45">
        <v>0</v>
      </c>
      <c r="Q69" s="25">
        <f t="shared" si="8"/>
        <v>0</v>
      </c>
      <c r="R69" s="191">
        <v>0</v>
      </c>
      <c r="S69" s="192">
        <f t="shared" si="9"/>
        <v>0</v>
      </c>
      <c r="T69" s="193"/>
      <c r="U69" s="193"/>
      <c r="V69" s="192">
        <v>0</v>
      </c>
      <c r="W69" s="192">
        <f t="shared" si="10"/>
        <v>0</v>
      </c>
      <c r="X69" s="193"/>
      <c r="Y69" s="193"/>
      <c r="Z69" s="194" t="e">
        <f t="shared" si="7"/>
        <v>#DIV/0!</v>
      </c>
      <c r="AA69" s="44"/>
      <c r="AB69" s="162"/>
    </row>
    <row r="70" spans="1:28" ht="16.5">
      <c r="A70" s="9"/>
      <c r="B70" s="21"/>
      <c r="C70" s="21"/>
      <c r="D70" s="21"/>
      <c r="E70" s="21"/>
      <c r="F70" s="43"/>
      <c r="G70" s="25"/>
      <c r="H70" s="161"/>
      <c r="I70" s="161"/>
      <c r="J70" s="56"/>
      <c r="K70" s="223"/>
      <c r="L70" s="45"/>
      <c r="M70" s="45"/>
      <c r="N70" s="45"/>
      <c r="O70" s="45"/>
      <c r="P70" s="45">
        <v>0</v>
      </c>
      <c r="Q70" s="25">
        <f t="shared" si="8"/>
        <v>0</v>
      </c>
      <c r="R70" s="191">
        <v>0</v>
      </c>
      <c r="S70" s="192">
        <f t="shared" si="9"/>
        <v>0</v>
      </c>
      <c r="T70" s="193"/>
      <c r="U70" s="193"/>
      <c r="V70" s="192">
        <v>0</v>
      </c>
      <c r="W70" s="192">
        <f t="shared" si="10"/>
        <v>0</v>
      </c>
      <c r="X70" s="193"/>
      <c r="Y70" s="193"/>
      <c r="Z70" s="194" t="e">
        <f t="shared" si="7"/>
        <v>#DIV/0!</v>
      </c>
      <c r="AA70" s="44"/>
      <c r="AB70" s="162"/>
    </row>
    <row r="71" spans="1:28" ht="16.5">
      <c r="A71" s="9"/>
      <c r="B71" s="21"/>
      <c r="C71" s="21"/>
      <c r="D71" s="21"/>
      <c r="E71" s="21"/>
      <c r="F71" s="43"/>
      <c r="G71" s="25"/>
      <c r="H71" s="161"/>
      <c r="I71" s="161"/>
      <c r="J71" s="56"/>
      <c r="K71" s="223"/>
      <c r="L71" s="45"/>
      <c r="M71" s="45"/>
      <c r="N71" s="45"/>
      <c r="O71" s="45"/>
      <c r="P71" s="45">
        <v>0</v>
      </c>
      <c r="Q71" s="25">
        <f t="shared" si="8"/>
        <v>0</v>
      </c>
      <c r="R71" s="191">
        <v>0</v>
      </c>
      <c r="S71" s="192">
        <f t="shared" si="9"/>
        <v>0</v>
      </c>
      <c r="T71" s="193"/>
      <c r="U71" s="193"/>
      <c r="V71" s="192">
        <v>0</v>
      </c>
      <c r="W71" s="192">
        <f t="shared" si="10"/>
        <v>0</v>
      </c>
      <c r="X71" s="193"/>
      <c r="Y71" s="193"/>
      <c r="Z71" s="194" t="e">
        <f t="shared" si="7"/>
        <v>#DIV/0!</v>
      </c>
      <c r="AA71" s="44"/>
      <c r="AB71" s="162"/>
    </row>
    <row r="72" spans="1:28" ht="16.5">
      <c r="A72" s="9"/>
      <c r="B72" s="21"/>
      <c r="C72" s="21"/>
      <c r="D72" s="21"/>
      <c r="E72" s="21"/>
      <c r="F72" s="43"/>
      <c r="G72" s="25"/>
      <c r="H72" s="161"/>
      <c r="I72" s="161"/>
      <c r="J72" s="56"/>
      <c r="K72" s="223"/>
      <c r="L72" s="45"/>
      <c r="M72" s="45"/>
      <c r="N72" s="45"/>
      <c r="O72" s="45"/>
      <c r="P72" s="45">
        <v>0</v>
      </c>
      <c r="Q72" s="25">
        <f t="shared" si="8"/>
        <v>0</v>
      </c>
      <c r="R72" s="191">
        <v>0</v>
      </c>
      <c r="S72" s="192">
        <f t="shared" si="9"/>
        <v>0</v>
      </c>
      <c r="T72" s="193"/>
      <c r="U72" s="193"/>
      <c r="V72" s="192">
        <v>0</v>
      </c>
      <c r="W72" s="192">
        <f t="shared" si="10"/>
        <v>0</v>
      </c>
      <c r="X72" s="193"/>
      <c r="Y72" s="193"/>
      <c r="Z72" s="194" t="e">
        <f t="shared" si="7"/>
        <v>#DIV/0!</v>
      </c>
      <c r="AA72" s="44"/>
      <c r="AB72" s="162"/>
    </row>
    <row r="73" spans="1:28" ht="16.5">
      <c r="A73" s="9"/>
      <c r="B73" s="21"/>
      <c r="C73" s="21"/>
      <c r="D73" s="21"/>
      <c r="E73" s="21"/>
      <c r="F73" s="43"/>
      <c r="G73" s="25"/>
      <c r="H73" s="161"/>
      <c r="I73" s="161"/>
      <c r="J73" s="56"/>
      <c r="K73" s="223"/>
      <c r="L73" s="45"/>
      <c r="M73" s="45"/>
      <c r="N73" s="45"/>
      <c r="O73" s="45"/>
      <c r="P73" s="45">
        <v>0</v>
      </c>
      <c r="Q73" s="25">
        <f t="shared" si="8"/>
        <v>0</v>
      </c>
      <c r="R73" s="191">
        <v>0</v>
      </c>
      <c r="S73" s="192">
        <f t="shared" si="9"/>
        <v>0</v>
      </c>
      <c r="T73" s="193"/>
      <c r="U73" s="193"/>
      <c r="V73" s="192">
        <v>0</v>
      </c>
      <c r="W73" s="192">
        <f t="shared" si="10"/>
        <v>0</v>
      </c>
      <c r="X73" s="193"/>
      <c r="Y73" s="193"/>
      <c r="Z73" s="194" t="e">
        <f t="shared" si="7"/>
        <v>#DIV/0!</v>
      </c>
      <c r="AA73" s="44"/>
      <c r="AB73" s="162"/>
    </row>
    <row r="74" spans="1:28" ht="16.5">
      <c r="A74" s="9"/>
      <c r="B74" s="21"/>
      <c r="C74" s="21"/>
      <c r="D74" s="21"/>
      <c r="E74" s="21"/>
      <c r="F74" s="43"/>
      <c r="G74" s="25"/>
      <c r="H74" s="161"/>
      <c r="I74" s="161"/>
      <c r="J74" s="56"/>
      <c r="K74" s="223"/>
      <c r="L74" s="45"/>
      <c r="M74" s="45"/>
      <c r="N74" s="45"/>
      <c r="O74" s="45"/>
      <c r="P74" s="45">
        <v>0</v>
      </c>
      <c r="Q74" s="25">
        <f t="shared" si="8"/>
        <v>0</v>
      </c>
      <c r="R74" s="191">
        <v>0</v>
      </c>
      <c r="S74" s="192">
        <f t="shared" si="9"/>
        <v>0</v>
      </c>
      <c r="T74" s="193"/>
      <c r="U74" s="193"/>
      <c r="V74" s="192">
        <v>0</v>
      </c>
      <c r="W74" s="192">
        <f t="shared" si="10"/>
        <v>0</v>
      </c>
      <c r="X74" s="193"/>
      <c r="Y74" s="193"/>
      <c r="Z74" s="194" t="e">
        <f t="shared" si="7"/>
        <v>#DIV/0!</v>
      </c>
      <c r="AA74" s="44"/>
      <c r="AB74" s="162"/>
    </row>
    <row r="75" spans="1:28" ht="16.5">
      <c r="A75" s="9"/>
      <c r="B75" s="21"/>
      <c r="C75" s="21"/>
      <c r="D75" s="21"/>
      <c r="E75" s="21"/>
      <c r="F75" s="43"/>
      <c r="G75" s="25"/>
      <c r="H75" s="161"/>
      <c r="I75" s="161"/>
      <c r="J75" s="56"/>
      <c r="K75" s="223"/>
      <c r="L75" s="45"/>
      <c r="M75" s="45"/>
      <c r="N75" s="45"/>
      <c r="O75" s="45"/>
      <c r="P75" s="45">
        <v>0</v>
      </c>
      <c r="Q75" s="25">
        <f t="shared" si="8"/>
        <v>0</v>
      </c>
      <c r="R75" s="191">
        <v>0</v>
      </c>
      <c r="S75" s="192">
        <f t="shared" si="9"/>
        <v>0</v>
      </c>
      <c r="T75" s="193"/>
      <c r="U75" s="193"/>
      <c r="V75" s="192">
        <v>0</v>
      </c>
      <c r="W75" s="192">
        <f t="shared" si="10"/>
        <v>0</v>
      </c>
      <c r="X75" s="193"/>
      <c r="Y75" s="193"/>
      <c r="Z75" s="194" t="e">
        <f t="shared" si="7"/>
        <v>#DIV/0!</v>
      </c>
      <c r="AA75" s="44"/>
      <c r="AB75" s="162"/>
    </row>
    <row r="76" spans="1:28" ht="16.5">
      <c r="A76" s="9"/>
      <c r="B76" s="21"/>
      <c r="C76" s="21"/>
      <c r="D76" s="21"/>
      <c r="E76" s="21"/>
      <c r="F76" s="43"/>
      <c r="G76" s="25"/>
      <c r="H76" s="161"/>
      <c r="I76" s="161"/>
      <c r="J76" s="162"/>
      <c r="K76" s="162"/>
      <c r="L76" s="45"/>
      <c r="M76" s="45"/>
      <c r="N76" s="45"/>
      <c r="O76" s="45"/>
      <c r="P76" s="45">
        <v>0</v>
      </c>
      <c r="Q76" s="25">
        <f t="shared" si="4"/>
        <v>0</v>
      </c>
      <c r="R76" s="191">
        <v>0</v>
      </c>
      <c r="S76" s="192">
        <f t="shared" si="5"/>
        <v>0</v>
      </c>
      <c r="T76" s="193"/>
      <c r="U76" s="193"/>
      <c r="V76" s="192">
        <v>0</v>
      </c>
      <c r="W76" s="192">
        <f t="shared" si="6"/>
        <v>0</v>
      </c>
      <c r="X76" s="193"/>
      <c r="Y76" s="193"/>
      <c r="Z76" s="194" t="e">
        <f t="shared" si="7"/>
        <v>#DIV/0!</v>
      </c>
      <c r="AA76" s="44"/>
      <c r="AB76" s="162"/>
    </row>
    <row r="77" spans="1:28" ht="16.5">
      <c r="A77" s="161"/>
      <c r="B77" s="21"/>
      <c r="C77" s="21"/>
      <c r="D77" s="21"/>
      <c r="E77" s="21"/>
      <c r="F77" s="43"/>
      <c r="G77" s="25"/>
      <c r="H77" s="161"/>
      <c r="I77" s="161"/>
      <c r="J77" s="162"/>
      <c r="K77" s="162"/>
      <c r="L77" s="45"/>
      <c r="M77" s="45"/>
      <c r="N77" s="45"/>
      <c r="O77" s="45"/>
      <c r="P77" s="45">
        <f>SUM(P15:P76)</f>
        <v>8652</v>
      </c>
      <c r="Q77" s="45">
        <f t="shared" ref="Q77:S77" si="11">SUM(Q15:Q76)</f>
        <v>7336</v>
      </c>
      <c r="R77" s="45">
        <f t="shared" si="11"/>
        <v>1316</v>
      </c>
      <c r="S77" s="45">
        <f t="shared" si="11"/>
        <v>7336</v>
      </c>
      <c r="T77" s="142"/>
      <c r="U77" s="142"/>
      <c r="V77" s="45">
        <f>SUM(V15:V76)</f>
        <v>0</v>
      </c>
      <c r="W77" s="45">
        <f>SUM(W16:W76)</f>
        <v>-7975</v>
      </c>
      <c r="X77" s="142">
        <f>SUM(X43:X76)</f>
        <v>0</v>
      </c>
      <c r="Y77" s="142">
        <f>SUM(Y43:Y76)</f>
        <v>0</v>
      </c>
      <c r="Z77" s="142" t="e">
        <f>SUM(Z27:Z76)</f>
        <v>#DIV/0!</v>
      </c>
      <c r="AA77" s="44"/>
      <c r="AB77" s="162"/>
    </row>
    <row r="78" spans="1:28" ht="20.25">
      <c r="A78" s="345" t="s">
        <v>1321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346"/>
      <c r="AB78" s="346"/>
    </row>
    <row r="79" spans="1:28" ht="117">
      <c r="A79" s="196" t="s">
        <v>1</v>
      </c>
      <c r="B79" s="25" t="s">
        <v>140</v>
      </c>
      <c r="C79" s="25" t="s">
        <v>141</v>
      </c>
      <c r="D79" s="25" t="s">
        <v>142</v>
      </c>
      <c r="E79" s="25" t="s">
        <v>143</v>
      </c>
      <c r="F79" s="199" t="s">
        <v>115</v>
      </c>
      <c r="G79" s="196" t="s">
        <v>117</v>
      </c>
      <c r="H79" s="196"/>
      <c r="I79" s="196" t="s">
        <v>2</v>
      </c>
      <c r="J79" s="196" t="s">
        <v>3</v>
      </c>
      <c r="K79" s="196" t="s">
        <v>4</v>
      </c>
      <c r="L79" s="197" t="s">
        <v>5</v>
      </c>
      <c r="M79" s="198" t="s">
        <v>6</v>
      </c>
      <c r="N79" s="196" t="s">
        <v>7</v>
      </c>
      <c r="O79" s="198" t="s">
        <v>8</v>
      </c>
      <c r="P79" s="198" t="s">
        <v>9</v>
      </c>
      <c r="Q79" s="198" t="s">
        <v>10</v>
      </c>
      <c r="R79" s="198" t="s">
        <v>11</v>
      </c>
      <c r="S79" s="198" t="s">
        <v>12</v>
      </c>
      <c r="T79" s="198" t="s">
        <v>119</v>
      </c>
      <c r="U79" s="198" t="s">
        <v>13</v>
      </c>
      <c r="V79" s="198" t="s">
        <v>14</v>
      </c>
      <c r="W79" s="198" t="s">
        <v>15</v>
      </c>
      <c r="X79" s="196" t="s">
        <v>119</v>
      </c>
      <c r="Y79" s="198" t="s">
        <v>118</v>
      </c>
      <c r="Z79" s="201" t="s">
        <v>16</v>
      </c>
      <c r="AA79" s="200" t="s">
        <v>48</v>
      </c>
      <c r="AB79" s="161" t="s">
        <v>17</v>
      </c>
    </row>
    <row r="80" spans="1:28" ht="25.5">
      <c r="A80" s="21"/>
      <c r="B80" s="20">
        <v>46309</v>
      </c>
      <c r="C80" s="20">
        <v>46323</v>
      </c>
      <c r="D80" s="20">
        <v>46328</v>
      </c>
      <c r="E80" s="20">
        <v>46338</v>
      </c>
      <c r="F80" s="55" t="s">
        <v>25</v>
      </c>
      <c r="G80" s="161"/>
      <c r="H80" s="161"/>
      <c r="I80" s="162"/>
      <c r="J80" s="56" t="s">
        <v>34</v>
      </c>
      <c r="K80" s="57">
        <v>48600</v>
      </c>
      <c r="L80" s="55">
        <v>140</v>
      </c>
      <c r="M80" s="55" t="s">
        <v>21</v>
      </c>
      <c r="N80" s="56" t="s">
        <v>1330</v>
      </c>
      <c r="O80" s="56" t="s">
        <v>20</v>
      </c>
      <c r="P80" s="55">
        <v>747</v>
      </c>
      <c r="Q80" s="25">
        <f t="shared" ref="Q80:Q120" si="12">P80-R80</f>
        <v>747</v>
      </c>
      <c r="R80" s="191">
        <v>0</v>
      </c>
      <c r="S80" s="192">
        <f t="shared" ref="S80:S120" si="13">P80-R80</f>
        <v>747</v>
      </c>
      <c r="T80" s="193"/>
      <c r="U80" s="192"/>
      <c r="V80" s="192">
        <v>0</v>
      </c>
      <c r="W80" s="192">
        <f t="shared" ref="W80:W120" si="14">+V80-P80</f>
        <v>-747</v>
      </c>
      <c r="X80" s="193"/>
      <c r="Y80" s="194"/>
      <c r="Z80" s="194">
        <f t="shared" ref="Z80:Z120" si="15">(P80-V80)*100/P80/100</f>
        <v>1</v>
      </c>
      <c r="AA80" s="55" t="s">
        <v>31</v>
      </c>
      <c r="AB80" s="264"/>
    </row>
    <row r="81" spans="1:28" ht="38.25">
      <c r="A81" s="21"/>
      <c r="B81" s="20">
        <v>46309</v>
      </c>
      <c r="C81" s="20">
        <v>46323</v>
      </c>
      <c r="D81" s="20">
        <v>46328</v>
      </c>
      <c r="E81" s="20">
        <v>46338</v>
      </c>
      <c r="F81" s="55" t="s">
        <v>25</v>
      </c>
      <c r="G81" s="161"/>
      <c r="H81" s="161"/>
      <c r="I81" s="162"/>
      <c r="J81" s="56" t="s">
        <v>34</v>
      </c>
      <c r="K81" s="57">
        <v>48600</v>
      </c>
      <c r="L81" s="55">
        <v>140</v>
      </c>
      <c r="M81" s="55" t="s">
        <v>21</v>
      </c>
      <c r="N81" s="56" t="s">
        <v>174</v>
      </c>
      <c r="O81" s="56" t="s">
        <v>20</v>
      </c>
      <c r="P81" s="55">
        <v>627</v>
      </c>
      <c r="Q81" s="25">
        <f t="shared" si="12"/>
        <v>627</v>
      </c>
      <c r="R81" s="191">
        <v>0</v>
      </c>
      <c r="S81" s="192">
        <f t="shared" si="13"/>
        <v>627</v>
      </c>
      <c r="T81" s="193"/>
      <c r="U81" s="192"/>
      <c r="V81" s="192">
        <v>0</v>
      </c>
      <c r="W81" s="192">
        <f t="shared" si="14"/>
        <v>-627</v>
      </c>
      <c r="X81" s="193"/>
      <c r="Y81" s="194"/>
      <c r="Z81" s="194">
        <f t="shared" si="15"/>
        <v>1</v>
      </c>
      <c r="AA81" s="55" t="s">
        <v>31</v>
      </c>
      <c r="AB81" s="264"/>
    </row>
    <row r="82" spans="1:28" ht="38.25">
      <c r="A82" s="21"/>
      <c r="B82" s="20">
        <v>46309</v>
      </c>
      <c r="C82" s="20">
        <v>46323</v>
      </c>
      <c r="D82" s="20">
        <v>46328</v>
      </c>
      <c r="E82" s="20">
        <v>46338</v>
      </c>
      <c r="F82" s="55" t="s">
        <v>23</v>
      </c>
      <c r="G82" s="161"/>
      <c r="H82" s="161"/>
      <c r="I82" s="162"/>
      <c r="J82" s="56" t="s">
        <v>34</v>
      </c>
      <c r="K82" s="57">
        <v>48600</v>
      </c>
      <c r="L82" s="55">
        <v>140</v>
      </c>
      <c r="M82" s="55" t="s">
        <v>21</v>
      </c>
      <c r="N82" s="56" t="s">
        <v>1331</v>
      </c>
      <c r="O82" s="56" t="s">
        <v>20</v>
      </c>
      <c r="P82" s="55">
        <v>627</v>
      </c>
      <c r="Q82" s="25">
        <f t="shared" si="12"/>
        <v>627</v>
      </c>
      <c r="R82" s="191">
        <v>0</v>
      </c>
      <c r="S82" s="192">
        <f t="shared" si="13"/>
        <v>627</v>
      </c>
      <c r="T82" s="193"/>
      <c r="U82" s="192"/>
      <c r="V82" s="192">
        <v>0</v>
      </c>
      <c r="W82" s="192">
        <f t="shared" si="14"/>
        <v>-627</v>
      </c>
      <c r="X82" s="193"/>
      <c r="Y82" s="194"/>
      <c r="Z82" s="194">
        <f t="shared" si="15"/>
        <v>1</v>
      </c>
      <c r="AA82" s="55" t="s">
        <v>31</v>
      </c>
      <c r="AB82" s="264"/>
    </row>
    <row r="83" spans="1:28" ht="38.25">
      <c r="A83" s="21"/>
      <c r="B83" s="20">
        <v>46309</v>
      </c>
      <c r="C83" s="20">
        <v>46323</v>
      </c>
      <c r="D83" s="20">
        <v>46328</v>
      </c>
      <c r="E83" s="20">
        <v>46338</v>
      </c>
      <c r="F83" s="55" t="s">
        <v>23</v>
      </c>
      <c r="G83" s="161"/>
      <c r="H83" s="161"/>
      <c r="I83" s="162"/>
      <c r="J83" s="56" t="s">
        <v>34</v>
      </c>
      <c r="K83" s="57">
        <v>48601</v>
      </c>
      <c r="L83" s="55">
        <v>140</v>
      </c>
      <c r="M83" s="55" t="s">
        <v>35</v>
      </c>
      <c r="N83" s="56" t="s">
        <v>1331</v>
      </c>
      <c r="O83" s="56" t="s">
        <v>20</v>
      </c>
      <c r="P83" s="55">
        <v>773</v>
      </c>
      <c r="Q83" s="25">
        <f t="shared" si="12"/>
        <v>773</v>
      </c>
      <c r="R83" s="191">
        <v>0</v>
      </c>
      <c r="S83" s="192">
        <f t="shared" si="13"/>
        <v>773</v>
      </c>
      <c r="T83" s="193"/>
      <c r="U83" s="192"/>
      <c r="V83" s="192">
        <v>0</v>
      </c>
      <c r="W83" s="192">
        <f t="shared" si="14"/>
        <v>-773</v>
      </c>
      <c r="X83" s="193"/>
      <c r="Y83" s="194"/>
      <c r="Z83" s="194">
        <f t="shared" si="15"/>
        <v>1</v>
      </c>
      <c r="AA83" s="55" t="s">
        <v>31</v>
      </c>
      <c r="AB83" s="264"/>
    </row>
    <row r="84" spans="1:28" ht="25.5">
      <c r="A84" s="21"/>
      <c r="B84" s="20">
        <v>46309</v>
      </c>
      <c r="C84" s="20">
        <v>46323</v>
      </c>
      <c r="D84" s="20">
        <v>46328</v>
      </c>
      <c r="E84" s="20">
        <v>46338</v>
      </c>
      <c r="F84" s="55" t="s">
        <v>25</v>
      </c>
      <c r="G84" s="161"/>
      <c r="H84" s="161"/>
      <c r="I84" s="162"/>
      <c r="J84" s="56" t="s">
        <v>34</v>
      </c>
      <c r="K84" s="57">
        <v>48601</v>
      </c>
      <c r="L84" s="55">
        <v>140</v>
      </c>
      <c r="M84" s="55" t="s">
        <v>35</v>
      </c>
      <c r="N84" s="56" t="s">
        <v>1330</v>
      </c>
      <c r="O84" s="56" t="s">
        <v>20</v>
      </c>
      <c r="P84" s="55">
        <v>773</v>
      </c>
      <c r="Q84" s="25">
        <f t="shared" si="12"/>
        <v>773</v>
      </c>
      <c r="R84" s="191">
        <v>0</v>
      </c>
      <c r="S84" s="192">
        <f t="shared" si="13"/>
        <v>773</v>
      </c>
      <c r="T84" s="193"/>
      <c r="U84" s="192"/>
      <c r="V84" s="192">
        <v>0</v>
      </c>
      <c r="W84" s="192">
        <f t="shared" si="14"/>
        <v>-773</v>
      </c>
      <c r="X84" s="193"/>
      <c r="Y84" s="194"/>
      <c r="Z84" s="194">
        <f t="shared" si="15"/>
        <v>1</v>
      </c>
      <c r="AA84" s="55" t="s">
        <v>31</v>
      </c>
      <c r="AB84" s="264"/>
    </row>
    <row r="85" spans="1:28" ht="38.25">
      <c r="A85" s="21"/>
      <c r="B85" s="20">
        <v>46309</v>
      </c>
      <c r="C85" s="20">
        <v>46323</v>
      </c>
      <c r="D85" s="20">
        <v>46328</v>
      </c>
      <c r="E85" s="20">
        <v>46338</v>
      </c>
      <c r="F85" s="55" t="s">
        <v>25</v>
      </c>
      <c r="G85" s="161"/>
      <c r="H85" s="161"/>
      <c r="I85" s="162"/>
      <c r="J85" s="56" t="s">
        <v>34</v>
      </c>
      <c r="K85" s="57">
        <v>48601</v>
      </c>
      <c r="L85" s="55">
        <v>140</v>
      </c>
      <c r="M85" s="55" t="s">
        <v>35</v>
      </c>
      <c r="N85" s="56" t="s">
        <v>174</v>
      </c>
      <c r="O85" s="56" t="s">
        <v>20</v>
      </c>
      <c r="P85" s="55">
        <v>417</v>
      </c>
      <c r="Q85" s="25">
        <f t="shared" si="12"/>
        <v>417</v>
      </c>
      <c r="R85" s="191">
        <v>0</v>
      </c>
      <c r="S85" s="192">
        <f t="shared" si="13"/>
        <v>417</v>
      </c>
      <c r="T85" s="193"/>
      <c r="U85" s="192"/>
      <c r="V85" s="192">
        <v>0</v>
      </c>
      <c r="W85" s="192">
        <f t="shared" si="14"/>
        <v>-417</v>
      </c>
      <c r="X85" s="193"/>
      <c r="Y85" s="194"/>
      <c r="Z85" s="194">
        <f t="shared" si="15"/>
        <v>1</v>
      </c>
      <c r="AA85" s="55" t="s">
        <v>31</v>
      </c>
      <c r="AB85" s="264"/>
    </row>
    <row r="86" spans="1:28" ht="51">
      <c r="A86" s="21"/>
      <c r="B86" s="20">
        <v>46310</v>
      </c>
      <c r="C86" s="20">
        <v>46325</v>
      </c>
      <c r="D86" s="20">
        <v>46328</v>
      </c>
      <c r="E86" s="20">
        <v>46339</v>
      </c>
      <c r="F86" s="55" t="s">
        <v>25</v>
      </c>
      <c r="G86" s="161"/>
      <c r="H86" s="161"/>
      <c r="I86" s="162"/>
      <c r="J86" s="56" t="s">
        <v>34</v>
      </c>
      <c r="K86" s="57">
        <v>48602</v>
      </c>
      <c r="L86" s="55">
        <v>140</v>
      </c>
      <c r="M86" s="55" t="s">
        <v>21</v>
      </c>
      <c r="N86" s="56" t="s">
        <v>1332</v>
      </c>
      <c r="O86" s="56" t="s">
        <v>20</v>
      </c>
      <c r="P86" s="55">
        <v>738</v>
      </c>
      <c r="Q86" s="25">
        <f t="shared" si="12"/>
        <v>738</v>
      </c>
      <c r="R86" s="191">
        <v>0</v>
      </c>
      <c r="S86" s="192">
        <f t="shared" si="13"/>
        <v>738</v>
      </c>
      <c r="T86" s="193"/>
      <c r="U86" s="192"/>
      <c r="V86" s="192">
        <v>0</v>
      </c>
      <c r="W86" s="192">
        <f t="shared" si="14"/>
        <v>-738</v>
      </c>
      <c r="X86" s="193"/>
      <c r="Y86" s="194"/>
      <c r="Z86" s="194">
        <f t="shared" si="15"/>
        <v>1</v>
      </c>
      <c r="AA86" s="55" t="s">
        <v>31</v>
      </c>
      <c r="AB86" s="264"/>
    </row>
    <row r="87" spans="1:28" ht="38.25">
      <c r="A87" s="21"/>
      <c r="B87" s="20">
        <v>46310</v>
      </c>
      <c r="C87" s="20">
        <v>46325</v>
      </c>
      <c r="D87" s="20">
        <v>46328</v>
      </c>
      <c r="E87" s="20">
        <v>46339</v>
      </c>
      <c r="F87" s="55" t="s">
        <v>23</v>
      </c>
      <c r="G87" s="161"/>
      <c r="H87" s="161"/>
      <c r="I87" s="162"/>
      <c r="J87" s="56" t="s">
        <v>34</v>
      </c>
      <c r="K87" s="57">
        <v>48602</v>
      </c>
      <c r="L87" s="55">
        <v>140</v>
      </c>
      <c r="M87" s="55" t="s">
        <v>21</v>
      </c>
      <c r="N87" s="56" t="s">
        <v>1331</v>
      </c>
      <c r="O87" s="56" t="s">
        <v>20</v>
      </c>
      <c r="P87" s="55">
        <v>371</v>
      </c>
      <c r="Q87" s="25">
        <f t="shared" si="12"/>
        <v>371</v>
      </c>
      <c r="R87" s="191">
        <v>0</v>
      </c>
      <c r="S87" s="192">
        <f t="shared" si="13"/>
        <v>371</v>
      </c>
      <c r="T87" s="193"/>
      <c r="U87" s="192"/>
      <c r="V87" s="192">
        <v>0</v>
      </c>
      <c r="W87" s="192">
        <f t="shared" si="14"/>
        <v>-371</v>
      </c>
      <c r="X87" s="193"/>
      <c r="Y87" s="194"/>
      <c r="Z87" s="194">
        <f t="shared" si="15"/>
        <v>1</v>
      </c>
      <c r="AA87" s="55" t="s">
        <v>31</v>
      </c>
      <c r="AB87" s="264"/>
    </row>
    <row r="88" spans="1:28" ht="51">
      <c r="A88" s="21"/>
      <c r="B88" s="20">
        <v>46310</v>
      </c>
      <c r="C88" s="20">
        <v>46325</v>
      </c>
      <c r="D88" s="20">
        <v>46328</v>
      </c>
      <c r="E88" s="20">
        <v>46339</v>
      </c>
      <c r="F88" s="55" t="s">
        <v>25</v>
      </c>
      <c r="G88" s="161"/>
      <c r="H88" s="161"/>
      <c r="I88" s="162"/>
      <c r="J88" s="56" t="s">
        <v>34</v>
      </c>
      <c r="K88" s="57">
        <v>48602</v>
      </c>
      <c r="L88" s="55">
        <v>140</v>
      </c>
      <c r="M88" s="55" t="s">
        <v>21</v>
      </c>
      <c r="N88" s="56" t="s">
        <v>1333</v>
      </c>
      <c r="O88" s="56" t="s">
        <v>20</v>
      </c>
      <c r="P88" s="55">
        <v>371</v>
      </c>
      <c r="Q88" s="25">
        <f t="shared" si="12"/>
        <v>371</v>
      </c>
      <c r="R88" s="191">
        <v>0</v>
      </c>
      <c r="S88" s="192">
        <f t="shared" si="13"/>
        <v>371</v>
      </c>
      <c r="T88" s="193"/>
      <c r="U88" s="192"/>
      <c r="V88" s="192">
        <v>0</v>
      </c>
      <c r="W88" s="192">
        <f t="shared" si="14"/>
        <v>-371</v>
      </c>
      <c r="X88" s="193"/>
      <c r="Y88" s="194"/>
      <c r="Z88" s="194">
        <f t="shared" si="15"/>
        <v>1</v>
      </c>
      <c r="AA88" s="55" t="s">
        <v>31</v>
      </c>
      <c r="AB88" s="264"/>
    </row>
    <row r="89" spans="1:28" ht="38.25">
      <c r="A89" s="21"/>
      <c r="B89" s="20">
        <v>46309</v>
      </c>
      <c r="C89" s="20">
        <v>46323</v>
      </c>
      <c r="D89" s="20">
        <v>46328</v>
      </c>
      <c r="E89" s="20">
        <v>46338</v>
      </c>
      <c r="F89" s="55" t="s">
        <v>23</v>
      </c>
      <c r="G89" s="161"/>
      <c r="H89" s="161"/>
      <c r="I89" s="162"/>
      <c r="J89" s="56" t="s">
        <v>34</v>
      </c>
      <c r="K89" s="57">
        <v>48604</v>
      </c>
      <c r="L89" s="55">
        <v>140</v>
      </c>
      <c r="M89" s="55" t="s">
        <v>21</v>
      </c>
      <c r="N89" s="56" t="s">
        <v>1331</v>
      </c>
      <c r="O89" s="56" t="s">
        <v>20</v>
      </c>
      <c r="P89" s="55">
        <v>555</v>
      </c>
      <c r="Q89" s="25">
        <f t="shared" si="12"/>
        <v>555</v>
      </c>
      <c r="R89" s="191">
        <v>0</v>
      </c>
      <c r="S89" s="192">
        <f t="shared" si="13"/>
        <v>555</v>
      </c>
      <c r="T89" s="193"/>
      <c r="U89" s="192"/>
      <c r="V89" s="192">
        <v>0</v>
      </c>
      <c r="W89" s="192">
        <f t="shared" si="14"/>
        <v>-555</v>
      </c>
      <c r="X89" s="193"/>
      <c r="Y89" s="194"/>
      <c r="Z89" s="194">
        <f t="shared" si="15"/>
        <v>1</v>
      </c>
      <c r="AA89" s="55" t="s">
        <v>31</v>
      </c>
      <c r="AB89" s="264"/>
    </row>
    <row r="90" spans="1:28" ht="63.75">
      <c r="A90" s="21"/>
      <c r="B90" s="20">
        <v>46309</v>
      </c>
      <c r="C90" s="20">
        <v>46323</v>
      </c>
      <c r="D90" s="20">
        <v>46328</v>
      </c>
      <c r="E90" s="20">
        <v>46338</v>
      </c>
      <c r="F90" s="55" t="s">
        <v>23</v>
      </c>
      <c r="G90" s="161"/>
      <c r="H90" s="161"/>
      <c r="I90" s="162"/>
      <c r="J90" s="56" t="s">
        <v>34</v>
      </c>
      <c r="K90" s="57">
        <v>48604</v>
      </c>
      <c r="L90" s="55">
        <v>140</v>
      </c>
      <c r="M90" s="55" t="s">
        <v>21</v>
      </c>
      <c r="N90" s="56" t="s">
        <v>1334</v>
      </c>
      <c r="O90" s="56" t="s">
        <v>20</v>
      </c>
      <c r="P90" s="55">
        <v>341</v>
      </c>
      <c r="Q90" s="25">
        <f t="shared" si="12"/>
        <v>341</v>
      </c>
      <c r="R90" s="191">
        <v>0</v>
      </c>
      <c r="S90" s="192">
        <f t="shared" si="13"/>
        <v>341</v>
      </c>
      <c r="T90" s="193"/>
      <c r="U90" s="192"/>
      <c r="V90" s="192">
        <v>0</v>
      </c>
      <c r="W90" s="192">
        <f t="shared" si="14"/>
        <v>-341</v>
      </c>
      <c r="X90" s="193"/>
      <c r="Y90" s="194"/>
      <c r="Z90" s="194">
        <f t="shared" si="15"/>
        <v>1</v>
      </c>
      <c r="AA90" s="55" t="s">
        <v>31</v>
      </c>
      <c r="AB90" s="264"/>
    </row>
    <row r="91" spans="1:28" ht="51">
      <c r="A91" s="21"/>
      <c r="B91" s="20">
        <v>46309</v>
      </c>
      <c r="C91" s="20">
        <v>46323</v>
      </c>
      <c r="D91" s="20">
        <v>46328</v>
      </c>
      <c r="E91" s="20">
        <v>46338</v>
      </c>
      <c r="F91" s="55" t="s">
        <v>25</v>
      </c>
      <c r="G91" s="161"/>
      <c r="H91" s="161"/>
      <c r="I91" s="162"/>
      <c r="J91" s="56" t="s">
        <v>34</v>
      </c>
      <c r="K91" s="57">
        <v>48604</v>
      </c>
      <c r="L91" s="55">
        <v>140</v>
      </c>
      <c r="M91" s="55" t="s">
        <v>21</v>
      </c>
      <c r="N91" s="56" t="s">
        <v>1333</v>
      </c>
      <c r="O91" s="56" t="s">
        <v>20</v>
      </c>
      <c r="P91" s="55">
        <v>449</v>
      </c>
      <c r="Q91" s="25">
        <f t="shared" si="12"/>
        <v>449</v>
      </c>
      <c r="R91" s="191">
        <v>0</v>
      </c>
      <c r="S91" s="192">
        <f t="shared" si="13"/>
        <v>449</v>
      </c>
      <c r="T91" s="193"/>
      <c r="U91" s="192"/>
      <c r="V91" s="192">
        <v>0</v>
      </c>
      <c r="W91" s="192">
        <f t="shared" si="14"/>
        <v>-449</v>
      </c>
      <c r="X91" s="193"/>
      <c r="Y91" s="194"/>
      <c r="Z91" s="194">
        <f t="shared" si="15"/>
        <v>1</v>
      </c>
      <c r="AA91" s="55" t="s">
        <v>31</v>
      </c>
      <c r="AB91" s="264"/>
    </row>
    <row r="92" spans="1:28" ht="51">
      <c r="A92" s="21"/>
      <c r="B92" s="20">
        <v>46309</v>
      </c>
      <c r="C92" s="20">
        <v>46323</v>
      </c>
      <c r="D92" s="20">
        <v>46328</v>
      </c>
      <c r="E92" s="20">
        <v>46338</v>
      </c>
      <c r="F92" s="55" t="s">
        <v>25</v>
      </c>
      <c r="G92" s="161"/>
      <c r="H92" s="161"/>
      <c r="I92" s="162"/>
      <c r="J92" s="56" t="s">
        <v>34</v>
      </c>
      <c r="K92" s="57">
        <v>48604</v>
      </c>
      <c r="L92" s="55">
        <v>140</v>
      </c>
      <c r="M92" s="55" t="s">
        <v>21</v>
      </c>
      <c r="N92" s="56" t="s">
        <v>1335</v>
      </c>
      <c r="O92" s="56" t="s">
        <v>20</v>
      </c>
      <c r="P92" s="55">
        <v>276</v>
      </c>
      <c r="Q92" s="25">
        <f t="shared" si="12"/>
        <v>276</v>
      </c>
      <c r="R92" s="191">
        <v>0</v>
      </c>
      <c r="S92" s="192">
        <f t="shared" si="13"/>
        <v>276</v>
      </c>
      <c r="T92" s="193"/>
      <c r="U92" s="192"/>
      <c r="V92" s="192">
        <v>0</v>
      </c>
      <c r="W92" s="192">
        <f t="shared" si="14"/>
        <v>-276</v>
      </c>
      <c r="X92" s="193"/>
      <c r="Y92" s="194"/>
      <c r="Z92" s="194">
        <f t="shared" si="15"/>
        <v>1</v>
      </c>
      <c r="AA92" s="55" t="s">
        <v>31</v>
      </c>
      <c r="AB92" s="264"/>
    </row>
    <row r="93" spans="1:28" ht="38.25">
      <c r="A93" s="21"/>
      <c r="B93" s="20">
        <v>46309</v>
      </c>
      <c r="C93" s="20">
        <v>46323</v>
      </c>
      <c r="D93" s="20">
        <v>46328</v>
      </c>
      <c r="E93" s="20">
        <v>46338</v>
      </c>
      <c r="F93" s="55" t="s">
        <v>25</v>
      </c>
      <c r="G93" s="161"/>
      <c r="H93" s="161"/>
      <c r="I93" s="162"/>
      <c r="J93" s="56" t="s">
        <v>34</v>
      </c>
      <c r="K93" s="57">
        <v>48487</v>
      </c>
      <c r="L93" s="55">
        <v>140</v>
      </c>
      <c r="M93" s="55" t="s">
        <v>47</v>
      </c>
      <c r="N93" s="56" t="s">
        <v>1336</v>
      </c>
      <c r="O93" s="56" t="s">
        <v>20</v>
      </c>
      <c r="P93" s="55">
        <v>639</v>
      </c>
      <c r="Q93" s="25">
        <f t="shared" si="12"/>
        <v>639</v>
      </c>
      <c r="R93" s="191">
        <v>0</v>
      </c>
      <c r="S93" s="192">
        <f t="shared" si="13"/>
        <v>639</v>
      </c>
      <c r="T93" s="193"/>
      <c r="U93" s="192"/>
      <c r="V93" s="192">
        <v>0</v>
      </c>
      <c r="W93" s="192">
        <f t="shared" si="14"/>
        <v>-639</v>
      </c>
      <c r="X93" s="193"/>
      <c r="Y93" s="194"/>
      <c r="Z93" s="194">
        <f t="shared" si="15"/>
        <v>1</v>
      </c>
      <c r="AA93" s="56" t="s">
        <v>31</v>
      </c>
      <c r="AB93" s="264"/>
    </row>
    <row r="94" spans="1:28" ht="38.25">
      <c r="A94" s="21"/>
      <c r="B94" s="20">
        <v>46309</v>
      </c>
      <c r="C94" s="20">
        <v>46323</v>
      </c>
      <c r="D94" s="20">
        <v>46328</v>
      </c>
      <c r="E94" s="20">
        <v>46338</v>
      </c>
      <c r="F94" s="55" t="s">
        <v>1265</v>
      </c>
      <c r="G94" s="161"/>
      <c r="H94" s="161"/>
      <c r="I94" s="162"/>
      <c r="J94" s="56" t="s">
        <v>34</v>
      </c>
      <c r="K94" s="57">
        <v>48487</v>
      </c>
      <c r="L94" s="55">
        <v>140</v>
      </c>
      <c r="M94" s="55" t="s">
        <v>47</v>
      </c>
      <c r="N94" s="56" t="s">
        <v>1337</v>
      </c>
      <c r="O94" s="56" t="s">
        <v>20</v>
      </c>
      <c r="P94" s="55">
        <v>544</v>
      </c>
      <c r="Q94" s="25">
        <f t="shared" si="12"/>
        <v>544</v>
      </c>
      <c r="R94" s="191">
        <v>0</v>
      </c>
      <c r="S94" s="192">
        <f t="shared" si="13"/>
        <v>544</v>
      </c>
      <c r="T94" s="193"/>
      <c r="U94" s="192"/>
      <c r="V94" s="192">
        <v>0</v>
      </c>
      <c r="W94" s="192">
        <f t="shared" si="14"/>
        <v>-544</v>
      </c>
      <c r="X94" s="193"/>
      <c r="Y94" s="194"/>
      <c r="Z94" s="194">
        <f t="shared" si="15"/>
        <v>1</v>
      </c>
      <c r="AA94" s="56" t="s">
        <v>31</v>
      </c>
      <c r="AB94" s="264"/>
    </row>
    <row r="95" spans="1:28" ht="25.5">
      <c r="A95" s="21"/>
      <c r="B95" s="20">
        <v>46307</v>
      </c>
      <c r="C95" s="20">
        <v>46319</v>
      </c>
      <c r="D95" s="20">
        <v>46328</v>
      </c>
      <c r="E95" s="20">
        <v>46338</v>
      </c>
      <c r="F95" s="55" t="s">
        <v>38</v>
      </c>
      <c r="G95" s="161"/>
      <c r="H95" s="161"/>
      <c r="I95" s="162"/>
      <c r="J95" s="56" t="s">
        <v>34</v>
      </c>
      <c r="K95" s="57">
        <v>48529</v>
      </c>
      <c r="L95" s="55">
        <v>220</v>
      </c>
      <c r="M95" s="55" t="s">
        <v>67</v>
      </c>
      <c r="N95" s="56" t="s">
        <v>1338</v>
      </c>
      <c r="O95" s="56" t="s">
        <v>146</v>
      </c>
      <c r="P95" s="55">
        <v>269</v>
      </c>
      <c r="Q95" s="25">
        <f t="shared" si="12"/>
        <v>269</v>
      </c>
      <c r="R95" s="191">
        <v>0</v>
      </c>
      <c r="S95" s="192">
        <f t="shared" si="13"/>
        <v>269</v>
      </c>
      <c r="T95" s="193"/>
      <c r="U95" s="192"/>
      <c r="V95" s="192">
        <v>0</v>
      </c>
      <c r="W95" s="192">
        <f t="shared" si="14"/>
        <v>-269</v>
      </c>
      <c r="X95" s="193"/>
      <c r="Y95" s="194"/>
      <c r="Z95" s="194">
        <f t="shared" si="15"/>
        <v>1</v>
      </c>
      <c r="AA95" s="56" t="s">
        <v>1341</v>
      </c>
      <c r="AB95" s="264"/>
    </row>
    <row r="96" spans="1:28" ht="25.5">
      <c r="A96" s="21"/>
      <c r="B96" s="20">
        <v>46307</v>
      </c>
      <c r="C96" s="20">
        <v>46317</v>
      </c>
      <c r="D96" s="20">
        <v>46328</v>
      </c>
      <c r="E96" s="20">
        <v>46338</v>
      </c>
      <c r="F96" s="55" t="s">
        <v>38</v>
      </c>
      <c r="G96" s="161"/>
      <c r="H96" s="161"/>
      <c r="I96" s="162"/>
      <c r="J96" s="56" t="s">
        <v>34</v>
      </c>
      <c r="K96" s="57">
        <v>48530</v>
      </c>
      <c r="L96" s="55">
        <v>220</v>
      </c>
      <c r="M96" s="55" t="s">
        <v>67</v>
      </c>
      <c r="N96" s="56" t="s">
        <v>1339</v>
      </c>
      <c r="O96" s="56" t="s">
        <v>146</v>
      </c>
      <c r="P96" s="55">
        <v>340</v>
      </c>
      <c r="Q96" s="25">
        <f t="shared" si="12"/>
        <v>340</v>
      </c>
      <c r="R96" s="191">
        <v>0</v>
      </c>
      <c r="S96" s="192">
        <f t="shared" si="13"/>
        <v>340</v>
      </c>
      <c r="T96" s="193"/>
      <c r="U96" s="192"/>
      <c r="V96" s="192">
        <v>0</v>
      </c>
      <c r="W96" s="192">
        <f t="shared" si="14"/>
        <v>-340</v>
      </c>
      <c r="X96" s="193"/>
      <c r="Y96" s="194"/>
      <c r="Z96" s="194">
        <f t="shared" si="15"/>
        <v>1</v>
      </c>
      <c r="AA96" s="56" t="s">
        <v>1341</v>
      </c>
      <c r="AB96" s="264"/>
    </row>
    <row r="97" spans="1:28" ht="25.5">
      <c r="A97" s="21"/>
      <c r="B97" s="20">
        <v>46307</v>
      </c>
      <c r="C97" s="20">
        <v>46317</v>
      </c>
      <c r="D97" s="20">
        <v>46328</v>
      </c>
      <c r="E97" s="20">
        <v>46338</v>
      </c>
      <c r="F97" s="55" t="s">
        <v>38</v>
      </c>
      <c r="G97" s="161"/>
      <c r="H97" s="161"/>
      <c r="I97" s="162"/>
      <c r="J97" s="56" t="s">
        <v>34</v>
      </c>
      <c r="K97" s="57">
        <v>48530</v>
      </c>
      <c r="L97" s="55">
        <v>220</v>
      </c>
      <c r="M97" s="55" t="s">
        <v>67</v>
      </c>
      <c r="N97" s="56" t="s">
        <v>1340</v>
      </c>
      <c r="O97" s="56" t="s">
        <v>146</v>
      </c>
      <c r="P97" s="55">
        <v>133</v>
      </c>
      <c r="Q97" s="25">
        <f t="shared" si="12"/>
        <v>133</v>
      </c>
      <c r="R97" s="191">
        <v>0</v>
      </c>
      <c r="S97" s="192">
        <f t="shared" si="13"/>
        <v>133</v>
      </c>
      <c r="T97" s="193"/>
      <c r="U97" s="192"/>
      <c r="V97" s="192">
        <v>0</v>
      </c>
      <c r="W97" s="192">
        <f t="shared" si="14"/>
        <v>-133</v>
      </c>
      <c r="X97" s="193"/>
      <c r="Y97" s="194"/>
      <c r="Z97" s="194">
        <f t="shared" si="15"/>
        <v>1</v>
      </c>
      <c r="AA97" s="56" t="s">
        <v>1341</v>
      </c>
      <c r="AB97" s="264"/>
    </row>
    <row r="98" spans="1:28" ht="16.5">
      <c r="A98" s="21"/>
      <c r="B98" s="21"/>
      <c r="C98" s="21"/>
      <c r="D98" s="21"/>
      <c r="E98" s="43"/>
      <c r="F98" s="25"/>
      <c r="G98" s="161"/>
      <c r="H98" s="161"/>
      <c r="I98" s="162"/>
      <c r="J98" s="162"/>
      <c r="K98" s="45"/>
      <c r="L98" s="45"/>
      <c r="M98" s="45"/>
      <c r="N98" s="45"/>
      <c r="O98" s="45"/>
      <c r="P98" s="45">
        <v>0</v>
      </c>
      <c r="Q98" s="25">
        <f t="shared" si="12"/>
        <v>0</v>
      </c>
      <c r="R98" s="191">
        <v>0</v>
      </c>
      <c r="S98" s="192">
        <f t="shared" si="13"/>
        <v>0</v>
      </c>
      <c r="T98" s="193"/>
      <c r="U98" s="192"/>
      <c r="V98" s="192">
        <v>0</v>
      </c>
      <c r="W98" s="192">
        <f t="shared" si="14"/>
        <v>0</v>
      </c>
      <c r="X98" s="193"/>
      <c r="Y98" s="194"/>
      <c r="Z98" s="194" t="e">
        <f t="shared" si="15"/>
        <v>#DIV/0!</v>
      </c>
      <c r="AA98" s="162"/>
      <c r="AB98" s="264"/>
    </row>
    <row r="99" spans="1:28" ht="16.5">
      <c r="A99" s="21"/>
      <c r="B99" s="21"/>
      <c r="C99" s="21"/>
      <c r="D99" s="21"/>
      <c r="E99" s="43"/>
      <c r="F99" s="25"/>
      <c r="G99" s="161"/>
      <c r="H99" s="161"/>
      <c r="I99" s="162"/>
      <c r="J99" s="162"/>
      <c r="K99" s="45"/>
      <c r="L99" s="45"/>
      <c r="M99" s="45"/>
      <c r="N99" s="45"/>
      <c r="O99" s="45"/>
      <c r="P99" s="45">
        <v>0</v>
      </c>
      <c r="Q99" s="25">
        <f t="shared" si="12"/>
        <v>0</v>
      </c>
      <c r="R99" s="191">
        <v>0</v>
      </c>
      <c r="S99" s="192">
        <f t="shared" si="13"/>
        <v>0</v>
      </c>
      <c r="T99" s="193"/>
      <c r="U99" s="192"/>
      <c r="V99" s="192">
        <v>0</v>
      </c>
      <c r="W99" s="192">
        <f t="shared" si="14"/>
        <v>0</v>
      </c>
      <c r="X99" s="193"/>
      <c r="Y99" s="194"/>
      <c r="Z99" s="194" t="e">
        <f t="shared" si="15"/>
        <v>#DIV/0!</v>
      </c>
      <c r="AA99" s="162"/>
      <c r="AB99" s="264"/>
    </row>
    <row r="100" spans="1:28" ht="16.5">
      <c r="A100" s="21"/>
      <c r="B100" s="21"/>
      <c r="C100" s="21"/>
      <c r="D100" s="21"/>
      <c r="E100" s="43"/>
      <c r="F100" s="25"/>
      <c r="G100" s="161"/>
      <c r="H100" s="161"/>
      <c r="I100" s="162"/>
      <c r="J100" s="162"/>
      <c r="K100" s="45"/>
      <c r="L100" s="45"/>
      <c r="M100" s="45"/>
      <c r="N100" s="45"/>
      <c r="O100" s="45"/>
      <c r="P100" s="45">
        <v>0</v>
      </c>
      <c r="Q100" s="25">
        <f t="shared" si="12"/>
        <v>0</v>
      </c>
      <c r="R100" s="191">
        <v>0</v>
      </c>
      <c r="S100" s="192">
        <f t="shared" si="13"/>
        <v>0</v>
      </c>
      <c r="T100" s="193"/>
      <c r="U100" s="192"/>
      <c r="V100" s="192">
        <v>0</v>
      </c>
      <c r="W100" s="192">
        <f t="shared" si="14"/>
        <v>0</v>
      </c>
      <c r="X100" s="193"/>
      <c r="Y100" s="194"/>
      <c r="Z100" s="194" t="e">
        <f t="shared" si="15"/>
        <v>#DIV/0!</v>
      </c>
      <c r="AA100" s="162"/>
      <c r="AB100" s="264"/>
    </row>
    <row r="101" spans="1:28" ht="16.5">
      <c r="A101" s="21"/>
      <c r="B101" s="21"/>
      <c r="C101" s="21"/>
      <c r="D101" s="21"/>
      <c r="E101" s="43"/>
      <c r="F101" s="25"/>
      <c r="G101" s="161"/>
      <c r="H101" s="161"/>
      <c r="I101" s="162"/>
      <c r="J101" s="162"/>
      <c r="K101" s="45"/>
      <c r="L101" s="45"/>
      <c r="M101" s="45"/>
      <c r="N101" s="45"/>
      <c r="O101" s="45"/>
      <c r="P101" s="45">
        <v>0</v>
      </c>
      <c r="Q101" s="25">
        <f t="shared" si="12"/>
        <v>0</v>
      </c>
      <c r="R101" s="191">
        <v>0</v>
      </c>
      <c r="S101" s="192">
        <f t="shared" si="13"/>
        <v>0</v>
      </c>
      <c r="T101" s="193"/>
      <c r="U101" s="192"/>
      <c r="V101" s="192">
        <v>0</v>
      </c>
      <c r="W101" s="192">
        <f t="shared" si="14"/>
        <v>0</v>
      </c>
      <c r="X101" s="193"/>
      <c r="Y101" s="194"/>
      <c r="Z101" s="194" t="e">
        <f t="shared" si="15"/>
        <v>#DIV/0!</v>
      </c>
      <c r="AA101" s="162"/>
      <c r="AB101" s="264"/>
    </row>
    <row r="102" spans="1:28" ht="16.5">
      <c r="A102" s="21"/>
      <c r="B102" s="21"/>
      <c r="C102" s="21"/>
      <c r="D102" s="21"/>
      <c r="E102" s="43"/>
      <c r="F102" s="25"/>
      <c r="G102" s="161"/>
      <c r="H102" s="161"/>
      <c r="I102" s="162"/>
      <c r="J102" s="162"/>
      <c r="K102" s="45"/>
      <c r="L102" s="45"/>
      <c r="M102" s="45"/>
      <c r="N102" s="45"/>
      <c r="O102" s="45"/>
      <c r="P102" s="45">
        <v>0</v>
      </c>
      <c r="Q102" s="25">
        <f t="shared" si="12"/>
        <v>0</v>
      </c>
      <c r="R102" s="191">
        <v>0</v>
      </c>
      <c r="S102" s="192">
        <f t="shared" si="13"/>
        <v>0</v>
      </c>
      <c r="T102" s="193"/>
      <c r="U102" s="192"/>
      <c r="V102" s="192">
        <v>0</v>
      </c>
      <c r="W102" s="192">
        <f t="shared" si="14"/>
        <v>0</v>
      </c>
      <c r="X102" s="193"/>
      <c r="Y102" s="194"/>
      <c r="Z102" s="194" t="e">
        <f t="shared" si="15"/>
        <v>#DIV/0!</v>
      </c>
      <c r="AA102" s="162"/>
      <c r="AB102" s="264"/>
    </row>
    <row r="103" spans="1:28" ht="16.5">
      <c r="A103" s="21"/>
      <c r="B103" s="21"/>
      <c r="C103" s="21"/>
      <c r="D103" s="21"/>
      <c r="E103" s="43"/>
      <c r="F103" s="25"/>
      <c r="G103" s="161"/>
      <c r="H103" s="161"/>
      <c r="I103" s="162"/>
      <c r="J103" s="162"/>
      <c r="K103" s="45"/>
      <c r="L103" s="45"/>
      <c r="M103" s="45"/>
      <c r="N103" s="45"/>
      <c r="O103" s="45"/>
      <c r="P103" s="45">
        <v>0</v>
      </c>
      <c r="Q103" s="25">
        <f t="shared" si="12"/>
        <v>0</v>
      </c>
      <c r="R103" s="191">
        <v>0</v>
      </c>
      <c r="S103" s="192">
        <f t="shared" si="13"/>
        <v>0</v>
      </c>
      <c r="T103" s="193"/>
      <c r="U103" s="192"/>
      <c r="V103" s="192">
        <v>0</v>
      </c>
      <c r="W103" s="192">
        <f t="shared" si="14"/>
        <v>0</v>
      </c>
      <c r="X103" s="193"/>
      <c r="Y103" s="194"/>
      <c r="Z103" s="194" t="e">
        <f t="shared" si="15"/>
        <v>#DIV/0!</v>
      </c>
      <c r="AA103" s="162"/>
      <c r="AB103" s="264"/>
    </row>
    <row r="104" spans="1:28" ht="16.5">
      <c r="A104" s="21"/>
      <c r="B104" s="21"/>
      <c r="C104" s="21"/>
      <c r="D104" s="21"/>
      <c r="E104" s="43"/>
      <c r="F104" s="25"/>
      <c r="G104" s="161"/>
      <c r="H104" s="161"/>
      <c r="I104" s="162"/>
      <c r="J104" s="162"/>
      <c r="K104" s="45"/>
      <c r="L104" s="45"/>
      <c r="M104" s="45"/>
      <c r="N104" s="45"/>
      <c r="O104" s="45"/>
      <c r="P104" s="45">
        <v>0</v>
      </c>
      <c r="Q104" s="25">
        <f t="shared" si="12"/>
        <v>0</v>
      </c>
      <c r="R104" s="191">
        <v>0</v>
      </c>
      <c r="S104" s="192">
        <f t="shared" si="13"/>
        <v>0</v>
      </c>
      <c r="T104" s="193"/>
      <c r="U104" s="192"/>
      <c r="V104" s="192">
        <v>0</v>
      </c>
      <c r="W104" s="192">
        <f t="shared" si="14"/>
        <v>0</v>
      </c>
      <c r="X104" s="193"/>
      <c r="Y104" s="194"/>
      <c r="Z104" s="194" t="e">
        <f t="shared" si="15"/>
        <v>#DIV/0!</v>
      </c>
      <c r="AA104" s="162"/>
      <c r="AB104" s="264"/>
    </row>
    <row r="105" spans="1:28" ht="16.5">
      <c r="A105" s="21"/>
      <c r="B105" s="21"/>
      <c r="C105" s="21"/>
      <c r="D105" s="21"/>
      <c r="E105" s="43"/>
      <c r="F105" s="25"/>
      <c r="G105" s="161"/>
      <c r="H105" s="161"/>
      <c r="I105" s="162"/>
      <c r="J105" s="162"/>
      <c r="K105" s="45"/>
      <c r="L105" s="45"/>
      <c r="M105" s="45"/>
      <c r="N105" s="45"/>
      <c r="O105" s="45"/>
      <c r="P105" s="45">
        <v>0</v>
      </c>
      <c r="Q105" s="25">
        <f t="shared" si="12"/>
        <v>0</v>
      </c>
      <c r="R105" s="191">
        <v>0</v>
      </c>
      <c r="S105" s="192">
        <f t="shared" si="13"/>
        <v>0</v>
      </c>
      <c r="T105" s="193"/>
      <c r="U105" s="192"/>
      <c r="V105" s="192">
        <v>0</v>
      </c>
      <c r="W105" s="192">
        <f t="shared" si="14"/>
        <v>0</v>
      </c>
      <c r="X105" s="193"/>
      <c r="Y105" s="194"/>
      <c r="Z105" s="194" t="e">
        <f t="shared" si="15"/>
        <v>#DIV/0!</v>
      </c>
      <c r="AA105" s="162"/>
      <c r="AB105" s="264"/>
    </row>
    <row r="106" spans="1:28" ht="16.5">
      <c r="A106" s="21"/>
      <c r="B106" s="21"/>
      <c r="C106" s="21"/>
      <c r="D106" s="21"/>
      <c r="E106" s="43"/>
      <c r="F106" s="25"/>
      <c r="G106" s="161"/>
      <c r="H106" s="161"/>
      <c r="I106" s="162"/>
      <c r="J106" s="162"/>
      <c r="K106" s="45"/>
      <c r="L106" s="45"/>
      <c r="M106" s="45"/>
      <c r="N106" s="45"/>
      <c r="O106" s="45"/>
      <c r="P106" s="45">
        <v>0</v>
      </c>
      <c r="Q106" s="25">
        <f t="shared" si="12"/>
        <v>0</v>
      </c>
      <c r="R106" s="191">
        <v>0</v>
      </c>
      <c r="S106" s="192">
        <f t="shared" si="13"/>
        <v>0</v>
      </c>
      <c r="T106" s="193"/>
      <c r="U106" s="192"/>
      <c r="V106" s="192">
        <v>0</v>
      </c>
      <c r="W106" s="192">
        <f t="shared" si="14"/>
        <v>0</v>
      </c>
      <c r="X106" s="193"/>
      <c r="Y106" s="194"/>
      <c r="Z106" s="194" t="e">
        <f t="shared" si="15"/>
        <v>#DIV/0!</v>
      </c>
      <c r="AA106" s="162"/>
      <c r="AB106" s="264"/>
    </row>
    <row r="107" spans="1:28" ht="16.5">
      <c r="A107" s="21"/>
      <c r="B107" s="21"/>
      <c r="C107" s="21"/>
      <c r="D107" s="21"/>
      <c r="E107" s="43"/>
      <c r="F107" s="25"/>
      <c r="G107" s="161"/>
      <c r="H107" s="161"/>
      <c r="I107" s="162"/>
      <c r="J107" s="162"/>
      <c r="K107" s="45"/>
      <c r="L107" s="45"/>
      <c r="M107" s="45"/>
      <c r="N107" s="45"/>
      <c r="O107" s="45"/>
      <c r="P107" s="45">
        <v>0</v>
      </c>
      <c r="Q107" s="25">
        <f t="shared" si="12"/>
        <v>0</v>
      </c>
      <c r="R107" s="191">
        <v>0</v>
      </c>
      <c r="S107" s="192">
        <f t="shared" si="13"/>
        <v>0</v>
      </c>
      <c r="T107" s="193"/>
      <c r="U107" s="192"/>
      <c r="V107" s="192">
        <v>0</v>
      </c>
      <c r="W107" s="192">
        <f t="shared" si="14"/>
        <v>0</v>
      </c>
      <c r="X107" s="193"/>
      <c r="Y107" s="194"/>
      <c r="Z107" s="194" t="e">
        <f t="shared" si="15"/>
        <v>#DIV/0!</v>
      </c>
      <c r="AA107" s="162"/>
      <c r="AB107" s="264"/>
    </row>
    <row r="108" spans="1:28" ht="16.5">
      <c r="A108" s="21"/>
      <c r="B108" s="21"/>
      <c r="C108" s="21"/>
      <c r="D108" s="21"/>
      <c r="E108" s="43"/>
      <c r="F108" s="25"/>
      <c r="G108" s="161"/>
      <c r="H108" s="161"/>
      <c r="I108" s="162"/>
      <c r="J108" s="162"/>
      <c r="K108" s="45"/>
      <c r="L108" s="45"/>
      <c r="M108" s="45"/>
      <c r="N108" s="45"/>
      <c r="O108" s="45"/>
      <c r="P108" s="45">
        <v>0</v>
      </c>
      <c r="Q108" s="25">
        <f t="shared" si="12"/>
        <v>0</v>
      </c>
      <c r="R108" s="191">
        <v>0</v>
      </c>
      <c r="S108" s="192">
        <f t="shared" si="13"/>
        <v>0</v>
      </c>
      <c r="T108" s="193"/>
      <c r="U108" s="192"/>
      <c r="V108" s="192">
        <v>0</v>
      </c>
      <c r="W108" s="192">
        <f t="shared" si="14"/>
        <v>0</v>
      </c>
      <c r="X108" s="193"/>
      <c r="Y108" s="194"/>
      <c r="Z108" s="194" t="e">
        <f t="shared" si="15"/>
        <v>#DIV/0!</v>
      </c>
      <c r="AA108" s="162"/>
      <c r="AB108" s="264"/>
    </row>
    <row r="109" spans="1:28" ht="16.5">
      <c r="A109" s="21"/>
      <c r="B109" s="21"/>
      <c r="C109" s="21"/>
      <c r="D109" s="21"/>
      <c r="E109" s="43"/>
      <c r="F109" s="25"/>
      <c r="G109" s="161"/>
      <c r="H109" s="161"/>
      <c r="I109" s="162"/>
      <c r="J109" s="162"/>
      <c r="K109" s="45"/>
      <c r="L109" s="45"/>
      <c r="M109" s="45"/>
      <c r="N109" s="45"/>
      <c r="O109" s="45"/>
      <c r="P109" s="45">
        <v>0</v>
      </c>
      <c r="Q109" s="25">
        <f t="shared" si="12"/>
        <v>0</v>
      </c>
      <c r="R109" s="191">
        <v>0</v>
      </c>
      <c r="S109" s="192">
        <f t="shared" si="13"/>
        <v>0</v>
      </c>
      <c r="T109" s="193"/>
      <c r="U109" s="192"/>
      <c r="V109" s="192">
        <v>0</v>
      </c>
      <c r="W109" s="192">
        <f t="shared" si="14"/>
        <v>0</v>
      </c>
      <c r="X109" s="193"/>
      <c r="Y109" s="194"/>
      <c r="Z109" s="194" t="e">
        <f t="shared" si="15"/>
        <v>#DIV/0!</v>
      </c>
      <c r="AA109" s="162"/>
      <c r="AB109" s="264"/>
    </row>
    <row r="110" spans="1:28" ht="16.5">
      <c r="A110" s="21"/>
      <c r="B110" s="21"/>
      <c r="C110" s="21"/>
      <c r="D110" s="21"/>
      <c r="E110" s="43"/>
      <c r="F110" s="25"/>
      <c r="G110" s="161"/>
      <c r="H110" s="161"/>
      <c r="I110" s="162"/>
      <c r="J110" s="162"/>
      <c r="K110" s="45"/>
      <c r="L110" s="45"/>
      <c r="M110" s="45"/>
      <c r="N110" s="45"/>
      <c r="O110" s="45"/>
      <c r="P110" s="45">
        <v>0</v>
      </c>
      <c r="Q110" s="25">
        <f t="shared" si="12"/>
        <v>0</v>
      </c>
      <c r="R110" s="191">
        <v>0</v>
      </c>
      <c r="S110" s="192">
        <f t="shared" si="13"/>
        <v>0</v>
      </c>
      <c r="T110" s="193"/>
      <c r="U110" s="192"/>
      <c r="V110" s="192">
        <v>0</v>
      </c>
      <c r="W110" s="192">
        <f t="shared" si="14"/>
        <v>0</v>
      </c>
      <c r="X110" s="193"/>
      <c r="Y110" s="194"/>
      <c r="Z110" s="194" t="e">
        <f t="shared" si="15"/>
        <v>#DIV/0!</v>
      </c>
      <c r="AA110" s="162"/>
      <c r="AB110" s="264"/>
    </row>
    <row r="111" spans="1:28" ht="16.5">
      <c r="A111" s="21"/>
      <c r="B111" s="21"/>
      <c r="C111" s="21"/>
      <c r="D111" s="21"/>
      <c r="E111" s="43"/>
      <c r="F111" s="25"/>
      <c r="G111" s="161"/>
      <c r="H111" s="161"/>
      <c r="I111" s="162"/>
      <c r="J111" s="162"/>
      <c r="K111" s="45"/>
      <c r="L111" s="45"/>
      <c r="M111" s="45"/>
      <c r="N111" s="45"/>
      <c r="O111" s="45"/>
      <c r="P111" s="45">
        <v>0</v>
      </c>
      <c r="Q111" s="25">
        <f t="shared" si="12"/>
        <v>0</v>
      </c>
      <c r="R111" s="191">
        <v>0</v>
      </c>
      <c r="S111" s="192">
        <f t="shared" si="13"/>
        <v>0</v>
      </c>
      <c r="T111" s="193"/>
      <c r="U111" s="192"/>
      <c r="V111" s="192">
        <v>0</v>
      </c>
      <c r="W111" s="192">
        <f t="shared" si="14"/>
        <v>0</v>
      </c>
      <c r="X111" s="193"/>
      <c r="Y111" s="194"/>
      <c r="Z111" s="194" t="e">
        <f t="shared" si="15"/>
        <v>#DIV/0!</v>
      </c>
      <c r="AA111" s="162"/>
      <c r="AB111" s="264"/>
    </row>
    <row r="112" spans="1:28" ht="16.5">
      <c r="A112" s="21"/>
      <c r="B112" s="21"/>
      <c r="C112" s="21"/>
      <c r="D112" s="21"/>
      <c r="E112" s="43"/>
      <c r="F112" s="25"/>
      <c r="G112" s="161"/>
      <c r="H112" s="161"/>
      <c r="I112" s="162"/>
      <c r="J112" s="162"/>
      <c r="K112" s="45"/>
      <c r="L112" s="45"/>
      <c r="M112" s="45"/>
      <c r="N112" s="45"/>
      <c r="O112" s="45"/>
      <c r="P112" s="45">
        <v>0</v>
      </c>
      <c r="Q112" s="25">
        <f t="shared" si="12"/>
        <v>0</v>
      </c>
      <c r="R112" s="191">
        <v>0</v>
      </c>
      <c r="S112" s="192">
        <f t="shared" si="13"/>
        <v>0</v>
      </c>
      <c r="T112" s="193"/>
      <c r="U112" s="192"/>
      <c r="V112" s="192">
        <v>0</v>
      </c>
      <c r="W112" s="192">
        <f t="shared" si="14"/>
        <v>0</v>
      </c>
      <c r="X112" s="193"/>
      <c r="Y112" s="194"/>
      <c r="Z112" s="194" t="e">
        <f t="shared" si="15"/>
        <v>#DIV/0!</v>
      </c>
      <c r="AA112" s="162"/>
      <c r="AB112" s="264"/>
    </row>
    <row r="113" spans="1:28" ht="16.5">
      <c r="A113" s="21"/>
      <c r="B113" s="21"/>
      <c r="C113" s="21"/>
      <c r="D113" s="21"/>
      <c r="E113" s="43"/>
      <c r="F113" s="25"/>
      <c r="G113" s="161"/>
      <c r="H113" s="161"/>
      <c r="I113" s="162"/>
      <c r="J113" s="162"/>
      <c r="K113" s="45"/>
      <c r="L113" s="45"/>
      <c r="M113" s="45"/>
      <c r="N113" s="45"/>
      <c r="O113" s="45"/>
      <c r="P113" s="45">
        <v>0</v>
      </c>
      <c r="Q113" s="25">
        <f t="shared" si="12"/>
        <v>0</v>
      </c>
      <c r="R113" s="191">
        <v>0</v>
      </c>
      <c r="S113" s="192">
        <f t="shared" si="13"/>
        <v>0</v>
      </c>
      <c r="T113" s="193"/>
      <c r="U113" s="192"/>
      <c r="V113" s="192">
        <v>0</v>
      </c>
      <c r="W113" s="192">
        <f t="shared" si="14"/>
        <v>0</v>
      </c>
      <c r="X113" s="193"/>
      <c r="Y113" s="194"/>
      <c r="Z113" s="194" t="e">
        <f t="shared" si="15"/>
        <v>#DIV/0!</v>
      </c>
      <c r="AA113" s="162"/>
      <c r="AB113" s="264"/>
    </row>
    <row r="114" spans="1:28" ht="16.5">
      <c r="A114" s="21"/>
      <c r="B114" s="21"/>
      <c r="C114" s="21"/>
      <c r="D114" s="21"/>
      <c r="E114" s="43"/>
      <c r="F114" s="25"/>
      <c r="G114" s="161"/>
      <c r="H114" s="161"/>
      <c r="I114" s="162"/>
      <c r="J114" s="162"/>
      <c r="K114" s="45"/>
      <c r="L114" s="45"/>
      <c r="M114" s="45"/>
      <c r="N114" s="45"/>
      <c r="O114" s="45"/>
      <c r="P114" s="45">
        <v>0</v>
      </c>
      <c r="Q114" s="25">
        <f t="shared" si="12"/>
        <v>0</v>
      </c>
      <c r="R114" s="191">
        <v>0</v>
      </c>
      <c r="S114" s="192">
        <f t="shared" si="13"/>
        <v>0</v>
      </c>
      <c r="T114" s="193"/>
      <c r="U114" s="192"/>
      <c r="V114" s="192">
        <v>0</v>
      </c>
      <c r="W114" s="192">
        <f t="shared" si="14"/>
        <v>0</v>
      </c>
      <c r="X114" s="193"/>
      <c r="Y114" s="194"/>
      <c r="Z114" s="194" t="e">
        <f t="shared" si="15"/>
        <v>#DIV/0!</v>
      </c>
      <c r="AA114" s="162"/>
      <c r="AB114" s="264"/>
    </row>
    <row r="115" spans="1:28" ht="16.5">
      <c r="A115" s="21"/>
      <c r="B115" s="21"/>
      <c r="C115" s="21"/>
      <c r="D115" s="21"/>
      <c r="E115" s="43"/>
      <c r="F115" s="25"/>
      <c r="G115" s="161"/>
      <c r="H115" s="161"/>
      <c r="I115" s="162"/>
      <c r="J115" s="162"/>
      <c r="K115" s="45"/>
      <c r="L115" s="45"/>
      <c r="M115" s="45"/>
      <c r="N115" s="45"/>
      <c r="O115" s="45"/>
      <c r="P115" s="45">
        <v>0</v>
      </c>
      <c r="Q115" s="25">
        <f t="shared" si="12"/>
        <v>0</v>
      </c>
      <c r="R115" s="191">
        <v>0</v>
      </c>
      <c r="S115" s="192">
        <f t="shared" si="13"/>
        <v>0</v>
      </c>
      <c r="T115" s="193"/>
      <c r="U115" s="192"/>
      <c r="V115" s="192">
        <v>0</v>
      </c>
      <c r="W115" s="192">
        <f t="shared" si="14"/>
        <v>0</v>
      </c>
      <c r="X115" s="193"/>
      <c r="Y115" s="194"/>
      <c r="Z115" s="194" t="e">
        <f t="shared" si="15"/>
        <v>#DIV/0!</v>
      </c>
      <c r="AA115" s="162"/>
      <c r="AB115" s="264"/>
    </row>
    <row r="116" spans="1:28" ht="16.5">
      <c r="A116" s="21"/>
      <c r="B116" s="21"/>
      <c r="C116" s="21"/>
      <c r="D116" s="21"/>
      <c r="E116" s="43"/>
      <c r="F116" s="25"/>
      <c r="G116" s="161"/>
      <c r="H116" s="161"/>
      <c r="I116" s="162"/>
      <c r="J116" s="162"/>
      <c r="K116" s="45"/>
      <c r="L116" s="45"/>
      <c r="M116" s="45"/>
      <c r="N116" s="45"/>
      <c r="O116" s="45"/>
      <c r="P116" s="45">
        <v>0</v>
      </c>
      <c r="Q116" s="25">
        <f t="shared" si="12"/>
        <v>0</v>
      </c>
      <c r="R116" s="191">
        <v>0</v>
      </c>
      <c r="S116" s="192">
        <f t="shared" si="13"/>
        <v>0</v>
      </c>
      <c r="T116" s="193"/>
      <c r="U116" s="192"/>
      <c r="V116" s="192">
        <v>0</v>
      </c>
      <c r="W116" s="192">
        <f t="shared" si="14"/>
        <v>0</v>
      </c>
      <c r="X116" s="193"/>
      <c r="Y116" s="194"/>
      <c r="Z116" s="194" t="e">
        <f t="shared" si="15"/>
        <v>#DIV/0!</v>
      </c>
      <c r="AA116" s="162"/>
      <c r="AB116" s="264"/>
    </row>
    <row r="117" spans="1:28" ht="16.5">
      <c r="A117" s="21"/>
      <c r="B117" s="21"/>
      <c r="C117" s="21"/>
      <c r="D117" s="21"/>
      <c r="E117" s="43"/>
      <c r="F117" s="25"/>
      <c r="G117" s="161"/>
      <c r="H117" s="161"/>
      <c r="I117" s="162"/>
      <c r="J117" s="162"/>
      <c r="K117" s="45"/>
      <c r="L117" s="45"/>
      <c r="M117" s="45"/>
      <c r="N117" s="45"/>
      <c r="O117" s="45"/>
      <c r="P117" s="45">
        <v>0</v>
      </c>
      <c r="Q117" s="25">
        <f t="shared" si="12"/>
        <v>0</v>
      </c>
      <c r="R117" s="191">
        <v>0</v>
      </c>
      <c r="S117" s="192">
        <f t="shared" si="13"/>
        <v>0</v>
      </c>
      <c r="T117" s="193"/>
      <c r="U117" s="192"/>
      <c r="V117" s="192">
        <v>0</v>
      </c>
      <c r="W117" s="192">
        <f t="shared" si="14"/>
        <v>0</v>
      </c>
      <c r="X117" s="193"/>
      <c r="Y117" s="194"/>
      <c r="Z117" s="194" t="e">
        <f t="shared" si="15"/>
        <v>#DIV/0!</v>
      </c>
      <c r="AA117" s="162"/>
      <c r="AB117" s="264"/>
    </row>
    <row r="118" spans="1:28" ht="16.5">
      <c r="A118" s="21"/>
      <c r="B118" s="21"/>
      <c r="C118" s="21"/>
      <c r="D118" s="21"/>
      <c r="E118" s="43"/>
      <c r="F118" s="25"/>
      <c r="G118" s="161"/>
      <c r="H118" s="161"/>
      <c r="I118" s="162"/>
      <c r="J118" s="162"/>
      <c r="K118" s="45"/>
      <c r="L118" s="45"/>
      <c r="M118" s="45"/>
      <c r="N118" s="45"/>
      <c r="O118" s="45"/>
      <c r="P118" s="45">
        <v>0</v>
      </c>
      <c r="Q118" s="25">
        <f t="shared" si="12"/>
        <v>0</v>
      </c>
      <c r="R118" s="191">
        <v>0</v>
      </c>
      <c r="S118" s="192">
        <f t="shared" si="13"/>
        <v>0</v>
      </c>
      <c r="T118" s="193"/>
      <c r="U118" s="192"/>
      <c r="V118" s="192">
        <v>0</v>
      </c>
      <c r="W118" s="192">
        <f t="shared" si="14"/>
        <v>0</v>
      </c>
      <c r="X118" s="193"/>
      <c r="Y118" s="194"/>
      <c r="Z118" s="194" t="e">
        <f t="shared" si="15"/>
        <v>#DIV/0!</v>
      </c>
      <c r="AA118" s="162"/>
      <c r="AB118" s="264"/>
    </row>
    <row r="119" spans="1:28" ht="16.5">
      <c r="A119" s="21"/>
      <c r="B119" s="21"/>
      <c r="C119" s="21"/>
      <c r="D119" s="21"/>
      <c r="E119" s="43"/>
      <c r="F119" s="25"/>
      <c r="G119" s="161"/>
      <c r="H119" s="161"/>
      <c r="I119" s="162"/>
      <c r="J119" s="162"/>
      <c r="K119" s="45"/>
      <c r="L119" s="45"/>
      <c r="M119" s="45"/>
      <c r="N119" s="45"/>
      <c r="O119" s="45"/>
      <c r="P119" s="45">
        <v>0</v>
      </c>
      <c r="Q119" s="25">
        <f t="shared" si="12"/>
        <v>0</v>
      </c>
      <c r="R119" s="191">
        <v>0</v>
      </c>
      <c r="S119" s="192">
        <f t="shared" si="13"/>
        <v>0</v>
      </c>
      <c r="T119" s="193"/>
      <c r="U119" s="192"/>
      <c r="V119" s="192">
        <v>0</v>
      </c>
      <c r="W119" s="192">
        <f t="shared" si="14"/>
        <v>0</v>
      </c>
      <c r="X119" s="193"/>
      <c r="Y119" s="194"/>
      <c r="Z119" s="194" t="e">
        <f t="shared" si="15"/>
        <v>#DIV/0!</v>
      </c>
      <c r="AA119" s="162"/>
      <c r="AB119" s="264"/>
    </row>
    <row r="120" spans="1:28" ht="16.5">
      <c r="A120" s="21"/>
      <c r="B120" s="21"/>
      <c r="C120" s="21"/>
      <c r="D120" s="21"/>
      <c r="E120" s="43"/>
      <c r="F120" s="25"/>
      <c r="G120" s="161"/>
      <c r="H120" s="161"/>
      <c r="I120" s="162"/>
      <c r="J120" s="162"/>
      <c r="K120" s="45"/>
      <c r="L120" s="45"/>
      <c r="M120" s="45"/>
      <c r="N120" s="45"/>
      <c r="O120" s="45"/>
      <c r="P120" s="45">
        <v>0</v>
      </c>
      <c r="Q120" s="25">
        <f t="shared" si="12"/>
        <v>0</v>
      </c>
      <c r="R120" s="191">
        <v>0</v>
      </c>
      <c r="S120" s="192">
        <f t="shared" si="13"/>
        <v>0</v>
      </c>
      <c r="T120" s="142"/>
      <c r="U120" s="45"/>
      <c r="V120" s="192">
        <v>0</v>
      </c>
      <c r="W120" s="192">
        <f t="shared" si="14"/>
        <v>0</v>
      </c>
      <c r="X120" s="142"/>
      <c r="Y120" s="142"/>
      <c r="Z120" s="194" t="e">
        <f t="shared" si="15"/>
        <v>#DIV/0!</v>
      </c>
      <c r="AA120" s="162"/>
      <c r="AB120" s="264"/>
    </row>
    <row r="121" spans="1:28" ht="16.5">
      <c r="A121" s="9"/>
      <c r="B121" s="21"/>
      <c r="C121" s="21"/>
      <c r="D121" s="21"/>
      <c r="E121" s="21"/>
      <c r="F121" s="43"/>
      <c r="G121" s="25"/>
      <c r="H121" s="161"/>
      <c r="I121" s="161"/>
      <c r="J121" s="162"/>
      <c r="K121" s="162"/>
      <c r="L121" s="45"/>
      <c r="M121" s="45"/>
      <c r="N121" s="45"/>
      <c r="O121" s="45"/>
      <c r="P121" s="45">
        <f>SUM(P59:P120)</f>
        <v>17642</v>
      </c>
      <c r="Q121" s="45">
        <f t="shared" ref="Q121:S121" si="16">SUM(Q59:Q120)</f>
        <v>16326</v>
      </c>
      <c r="R121" s="45">
        <f t="shared" si="16"/>
        <v>1316</v>
      </c>
      <c r="S121" s="45">
        <f t="shared" si="16"/>
        <v>16326</v>
      </c>
      <c r="T121" s="142"/>
      <c r="U121" s="142"/>
      <c r="V121" s="45">
        <f>SUM(V59:V120)</f>
        <v>0</v>
      </c>
      <c r="W121" s="45">
        <f>SUM(W60:W120)</f>
        <v>-16965</v>
      </c>
      <c r="X121" s="142">
        <f>SUM(X87:X120)</f>
        <v>0</v>
      </c>
      <c r="Y121" s="142">
        <f>SUM(Y87:Y120)</f>
        <v>0</v>
      </c>
      <c r="Z121" s="142" t="e">
        <f>SUM(Z71:Z120)</f>
        <v>#DIV/0!</v>
      </c>
      <c r="AA121" s="44"/>
      <c r="AB121" s="162"/>
    </row>
  </sheetData>
  <mergeCells count="4">
    <mergeCell ref="A1:AB1"/>
    <mergeCell ref="A2:AB2"/>
    <mergeCell ref="A3:Z3"/>
    <mergeCell ref="A78:AB7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'C:\Users\shekor\Desktop\[New Job Posting.xlsx]Summary'!#REF!</xm:f>
          </x14:formula1>
          <xm:sqref>J5:J42 AA5:AA42 J80:J97 AA80:AA97 J44:J48 AA44:AA48</xm:sqref>
        </x14:dataValidation>
        <x14:dataValidation type="list" allowBlank="1" showInputMessage="1" showErrorMessage="1">
          <x14:formula1>
            <xm:f>'C:\Users\rokibul\Desktop\[23.09.26 Finish Fabric Plan &amp; Execution Status.xlsm]Summary'!#REF!</xm:f>
          </x14:formula1>
          <xm:sqref>F5:F42 F80:F97 F44:F48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Sum of july-25</vt:lpstr>
      <vt:lpstr>Sum of Agust</vt:lpstr>
      <vt:lpstr>Sheet1</vt:lpstr>
      <vt:lpstr>Month Of May-26</vt:lpstr>
      <vt:lpstr>Month of June-26</vt:lpstr>
      <vt:lpstr>Month of July-26</vt:lpstr>
      <vt:lpstr>Month of August-26</vt:lpstr>
      <vt:lpstr>Month Of Aug Aop Summary</vt:lpstr>
      <vt:lpstr>Month Of September</vt:lpstr>
      <vt:lpstr>Month of Sep Aop Summary</vt:lpstr>
      <vt:lpstr>Month Of October-26</vt:lpstr>
      <vt:lpstr>Month of November-26</vt:lpstr>
      <vt:lpstr>'Month of August-26'!Print_Area</vt:lpstr>
      <vt:lpstr>'Month of July-26'!Print_Area</vt:lpstr>
      <vt:lpstr>'Month of June-26'!Print_Area</vt:lpstr>
      <vt:lpstr>'Month Of October-26'!Print_Area</vt:lpstr>
      <vt:lpstr>'Month Of September'!Print_Area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Rokibul Islam</dc:creator>
  <cp:lastModifiedBy>Rokibul Islam</cp:lastModifiedBy>
  <cp:lastPrinted>2026-09-26T02:47:59Z</cp:lastPrinted>
  <dcterms:created xsi:type="dcterms:W3CDTF">2024-12-25T08:29:27Z</dcterms:created>
  <dcterms:modified xsi:type="dcterms:W3CDTF">2026-09-29T04:32:44Z</dcterms:modified>
</cp:coreProperties>
</file>