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1480" windowHeight="12345"/>
  </bookViews>
  <sheets>
    <sheet name="Creature Values" sheetId="1" r:id="rId1"/>
  </sheets>
  <calcPr calcId="125725"/>
</workbook>
</file>

<file path=xl/calcChain.xml><?xml version="1.0" encoding="utf-8"?>
<calcChain xmlns="http://schemas.openxmlformats.org/spreadsheetml/2006/main">
  <c r="Z50" i="1"/>
  <c r="Z49"/>
  <c r="W50"/>
  <c r="W49"/>
  <c r="W45"/>
  <c r="X45" s="1"/>
  <c r="AE13"/>
  <c r="AE17" s="1"/>
  <c r="AD5"/>
  <c r="AE5" s="1"/>
  <c r="AE10"/>
  <c r="AE19" s="1"/>
  <c r="Z5"/>
  <c r="AA5" s="1"/>
  <c r="AE9"/>
  <c r="AE8"/>
  <c r="AE7"/>
  <c r="AE6"/>
  <c r="AA8"/>
  <c r="AC19"/>
  <c r="AC17"/>
  <c r="AC9"/>
  <c r="AC8"/>
  <c r="AC7"/>
  <c r="AC6"/>
  <c r="AC5"/>
  <c r="Y14"/>
  <c r="Y15"/>
  <c r="Y17" s="1"/>
  <c r="X5"/>
  <c r="Y10"/>
  <c r="Y19" s="1"/>
  <c r="Y9"/>
  <c r="Y8"/>
  <c r="Y7"/>
  <c r="Y6"/>
  <c r="Y5"/>
  <c r="AA19"/>
  <c r="AA17"/>
  <c r="AA9"/>
  <c r="AA7"/>
  <c r="AA6"/>
  <c r="R56"/>
  <c r="T50"/>
  <c r="T49"/>
  <c r="Q50"/>
  <c r="Q49"/>
  <c r="K50"/>
  <c r="K49"/>
  <c r="N49"/>
  <c r="J5"/>
  <c r="K5" s="1"/>
  <c r="R5"/>
  <c r="S5" s="1"/>
  <c r="O11"/>
  <c r="P33"/>
  <c r="P34"/>
  <c r="C38"/>
  <c r="U35"/>
  <c r="V35"/>
  <c r="E37"/>
  <c r="U34"/>
  <c r="V34" s="1"/>
  <c r="U33"/>
  <c r="U31"/>
  <c r="V5"/>
  <c r="W5" s="1"/>
  <c r="W17"/>
  <c r="W19"/>
  <c r="W9"/>
  <c r="W8"/>
  <c r="W7"/>
  <c r="W6"/>
  <c r="U11"/>
  <c r="U10"/>
  <c r="U17"/>
  <c r="U9"/>
  <c r="U8"/>
  <c r="U7"/>
  <c r="U6"/>
  <c r="U5"/>
  <c r="K17"/>
  <c r="K11"/>
  <c r="K19" s="1"/>
  <c r="K9"/>
  <c r="K8"/>
  <c r="K7"/>
  <c r="K6"/>
  <c r="S11"/>
  <c r="S19" s="1"/>
  <c r="S17"/>
  <c r="S9"/>
  <c r="S8"/>
  <c r="S7"/>
  <c r="S6"/>
  <c r="P5"/>
  <c r="Q5" s="1"/>
  <c r="Q11"/>
  <c r="Q19" s="1"/>
  <c r="Q13"/>
  <c r="Q17" s="1"/>
  <c r="Q9"/>
  <c r="Q8"/>
  <c r="Q7"/>
  <c r="Q6"/>
  <c r="O14"/>
  <c r="M16"/>
  <c r="O19"/>
  <c r="O9"/>
  <c r="O8"/>
  <c r="O7"/>
  <c r="O6"/>
  <c r="O5"/>
  <c r="M11"/>
  <c r="M19" s="1"/>
  <c r="L5"/>
  <c r="M5" s="1"/>
  <c r="M9"/>
  <c r="M8"/>
  <c r="M7"/>
  <c r="M6"/>
  <c r="K45"/>
  <c r="L45" s="1"/>
  <c r="AA48"/>
  <c r="AA47"/>
  <c r="AA46"/>
  <c r="AA45"/>
  <c r="X48"/>
  <c r="X47"/>
  <c r="X46"/>
  <c r="U48"/>
  <c r="U47"/>
  <c r="U46"/>
  <c r="U45"/>
  <c r="R48"/>
  <c r="R47"/>
  <c r="R46"/>
  <c r="R45"/>
  <c r="N50"/>
  <c r="O48"/>
  <c r="O47"/>
  <c r="O46"/>
  <c r="O45"/>
  <c r="L48"/>
  <c r="L47"/>
  <c r="L46"/>
  <c r="H50"/>
  <c r="E50"/>
  <c r="H49"/>
  <c r="E49"/>
  <c r="H45"/>
  <c r="I45" s="1"/>
  <c r="I48"/>
  <c r="I47"/>
  <c r="I46"/>
  <c r="E45"/>
  <c r="F45" s="1"/>
  <c r="F48"/>
  <c r="F47"/>
  <c r="F46"/>
  <c r="I17"/>
  <c r="C17"/>
  <c r="E17"/>
  <c r="I11"/>
  <c r="I9"/>
  <c r="I8"/>
  <c r="I7"/>
  <c r="I6"/>
  <c r="I5"/>
  <c r="G10"/>
  <c r="G5"/>
  <c r="G11"/>
  <c r="G9"/>
  <c r="G8"/>
  <c r="G7"/>
  <c r="G6"/>
  <c r="E11"/>
  <c r="E19" s="1"/>
  <c r="E7"/>
  <c r="D5"/>
  <c r="E5" s="1"/>
  <c r="E9"/>
  <c r="E8"/>
  <c r="E6"/>
  <c r="C19"/>
  <c r="C9"/>
  <c r="C8"/>
  <c r="C7"/>
  <c r="C6"/>
  <c r="P35"/>
  <c r="P30"/>
  <c r="P32"/>
  <c r="P31"/>
  <c r="P29"/>
  <c r="F23"/>
  <c r="F22"/>
  <c r="E38"/>
  <c r="U32"/>
  <c r="V32" s="1"/>
  <c r="E34"/>
  <c r="E31"/>
  <c r="E30"/>
  <c r="E33"/>
  <c r="E32"/>
  <c r="E35"/>
  <c r="E29"/>
  <c r="V30"/>
  <c r="J30"/>
  <c r="J31"/>
  <c r="J32"/>
  <c r="J33"/>
  <c r="J29"/>
  <c r="I30"/>
  <c r="I31"/>
  <c r="I32"/>
  <c r="I33"/>
  <c r="I29"/>
  <c r="B29"/>
  <c r="B24"/>
  <c r="B5"/>
  <c r="C5" s="1"/>
  <c r="Z51" l="1"/>
  <c r="AA57" s="1"/>
  <c r="W51"/>
  <c r="X57" s="1"/>
  <c r="AD12"/>
  <c r="AE18" s="1"/>
  <c r="AB12"/>
  <c r="AC18" s="1"/>
  <c r="X12"/>
  <c r="Y18" s="1"/>
  <c r="Z12"/>
  <c r="AA18" s="1"/>
  <c r="T51"/>
  <c r="U57" s="1"/>
  <c r="Q51"/>
  <c r="R57" s="1"/>
  <c r="N51"/>
  <c r="O57" s="1"/>
  <c r="V12"/>
  <c r="W18" s="1"/>
  <c r="T12"/>
  <c r="U18" s="1"/>
  <c r="U19"/>
  <c r="J12"/>
  <c r="K18" s="1"/>
  <c r="R12"/>
  <c r="S18" s="1"/>
  <c r="P12"/>
  <c r="Q18" s="1"/>
  <c r="N12"/>
  <c r="O17" s="1"/>
  <c r="O18" s="1"/>
  <c r="L12"/>
  <c r="K51"/>
  <c r="L57" s="1"/>
  <c r="H51"/>
  <c r="I57" s="1"/>
  <c r="E51"/>
  <c r="F57" s="1"/>
  <c r="B12"/>
  <c r="C18" s="1"/>
  <c r="I19"/>
  <c r="H12"/>
  <c r="I18" s="1"/>
  <c r="G19"/>
  <c r="F12"/>
  <c r="G18" s="1"/>
  <c r="D12"/>
  <c r="E18" s="1"/>
  <c r="M18" l="1"/>
  <c r="M13"/>
  <c r="M17" s="1"/>
</calcChain>
</file>

<file path=xl/sharedStrings.xml><?xml version="1.0" encoding="utf-8"?>
<sst xmlns="http://schemas.openxmlformats.org/spreadsheetml/2006/main" count="454" uniqueCount="203">
  <si>
    <t>Early Game</t>
  </si>
  <si>
    <t>Mid Game</t>
  </si>
  <si>
    <t>Late Game</t>
  </si>
  <si>
    <t>Nazwa</t>
  </si>
  <si>
    <t>HP</t>
  </si>
  <si>
    <t>Praca</t>
  </si>
  <si>
    <t>Koszt 1</t>
  </si>
  <si>
    <t>Koszt 2</t>
  </si>
  <si>
    <t>DPS</t>
  </si>
  <si>
    <t>Umiejętności</t>
  </si>
  <si>
    <t>P Slime</t>
  </si>
  <si>
    <t>Uniwersalny</t>
  </si>
  <si>
    <t>10 drewna</t>
  </si>
  <si>
    <t>Bonusy</t>
  </si>
  <si>
    <t>Szybkość</t>
  </si>
  <si>
    <t>DPS 1 (x2)</t>
  </si>
  <si>
    <t>HP 10 (x2)</t>
  </si>
  <si>
    <t>Drugorzędna</t>
  </si>
  <si>
    <t>Obrońca</t>
  </si>
  <si>
    <t>Robotnik</t>
  </si>
  <si>
    <t>drewno</t>
  </si>
  <si>
    <t>koszt</t>
  </si>
  <si>
    <t>kamień</t>
  </si>
  <si>
    <t>kamienie</t>
  </si>
  <si>
    <t>obsydian</t>
  </si>
  <si>
    <t>złoto</t>
  </si>
  <si>
    <t>żelazo</t>
  </si>
  <si>
    <t>szmaragd</t>
  </si>
  <si>
    <t>wartość surowca</t>
  </si>
  <si>
    <t>szansa na surowiec</t>
  </si>
  <si>
    <t>koszt w drewnie</t>
  </si>
  <si>
    <t>Koszt w drewnie</t>
  </si>
  <si>
    <t>przepisy</t>
  </si>
  <si>
    <t>Jedzenie</t>
  </si>
  <si>
    <t>koszt 1</t>
  </si>
  <si>
    <t>koszt 2</t>
  </si>
  <si>
    <t>-</t>
  </si>
  <si>
    <t>liczba</t>
  </si>
  <si>
    <t xml:space="preserve">Jedzenie </t>
  </si>
  <si>
    <t>5 drewna</t>
  </si>
  <si>
    <t>Koszt za sztukę</t>
  </si>
  <si>
    <t>alternatywny koszt w drewnie</t>
  </si>
  <si>
    <t>średni koszt</t>
  </si>
  <si>
    <t>4 kamienia</t>
  </si>
  <si>
    <t>brak</t>
  </si>
  <si>
    <t>jedzenie</t>
  </si>
  <si>
    <t>budynek</t>
  </si>
  <si>
    <t>Copium</t>
  </si>
  <si>
    <t>1 szmaragd</t>
  </si>
  <si>
    <t>Hellium</t>
  </si>
  <si>
    <t>Amongium</t>
  </si>
  <si>
    <t>1 Amongium</t>
  </si>
  <si>
    <t>2 Obsydian</t>
  </si>
  <si>
    <t>Obsydian</t>
  </si>
  <si>
    <t>3 Copium</t>
  </si>
  <si>
    <t>3 Gem</t>
  </si>
  <si>
    <t>2 złota</t>
  </si>
  <si>
    <t>9 kamienia</t>
  </si>
  <si>
    <t>2 Copium</t>
  </si>
  <si>
    <t>4 Copium</t>
  </si>
  <si>
    <t>4 Gem</t>
  </si>
  <si>
    <t>Zasoby zbieralne</t>
  </si>
  <si>
    <t>suma</t>
  </si>
  <si>
    <t>zasoby z kamini</t>
  </si>
  <si>
    <t>Budynek</t>
  </si>
  <si>
    <t>Teoretyczny etap gry</t>
  </si>
  <si>
    <t>Etapy gry</t>
  </si>
  <si>
    <t>fala</t>
  </si>
  <si>
    <t>Early</t>
  </si>
  <si>
    <t>Mid game</t>
  </si>
  <si>
    <t>0-5</t>
  </si>
  <si>
    <t>6-12</t>
  </si>
  <si>
    <t>13+</t>
  </si>
  <si>
    <t>inf</t>
  </si>
  <si>
    <t>czas gry w minutach</t>
  </si>
  <si>
    <t>Macka</t>
  </si>
  <si>
    <t>Pole macek</t>
  </si>
  <si>
    <t>Kuźnia</t>
  </si>
  <si>
    <t>Jezioro lawy</t>
  </si>
  <si>
    <t>Wieża</t>
  </si>
  <si>
    <t>Świątynia</t>
  </si>
  <si>
    <t>Portal</t>
  </si>
  <si>
    <t>Mid</t>
  </si>
  <si>
    <t>Late</t>
  </si>
  <si>
    <t>4 drewna</t>
  </si>
  <si>
    <t>1 złoto</t>
  </si>
  <si>
    <t>3 obsydianu</t>
  </si>
  <si>
    <t>3 kamienia</t>
  </si>
  <si>
    <t>1 obsydianu</t>
  </si>
  <si>
    <t>10 jedzenia</t>
  </si>
  <si>
    <t>2 Obsydianu</t>
  </si>
  <si>
    <t>10 Obsydian</t>
  </si>
  <si>
    <t>10 Żelaza</t>
  </si>
  <si>
    <t>6 Obsydianu</t>
  </si>
  <si>
    <t>1 Hellium</t>
  </si>
  <si>
    <t>1 Drewno</t>
  </si>
  <si>
    <t>5 HP</t>
  </si>
  <si>
    <t>1 DPS</t>
  </si>
  <si>
    <t>10 prędkości</t>
  </si>
  <si>
    <t>0.2 szybkości pracy</t>
  </si>
  <si>
    <t>Zasięg</t>
  </si>
  <si>
    <t>20 Zasięgu</t>
  </si>
  <si>
    <t>Faza gry</t>
  </si>
  <si>
    <t>Koszt w Drewnie</t>
  </si>
  <si>
    <t>Statystyki</t>
  </si>
  <si>
    <t>Efektywny koszt</t>
  </si>
  <si>
    <t>Wartość umiejętności</t>
  </si>
  <si>
    <t>Podział po śmierci</t>
  </si>
  <si>
    <t>Klasa</t>
  </si>
  <si>
    <t>2 Kamienia</t>
  </si>
  <si>
    <t>Ogólna wartość jednostki</t>
  </si>
  <si>
    <t>8 drewna</t>
  </si>
  <si>
    <t>Aktualny koszt jednostki</t>
  </si>
  <si>
    <t>Grzyb</t>
  </si>
  <si>
    <t>Wojownik</t>
  </si>
  <si>
    <t>Kamikaze</t>
  </si>
  <si>
    <t>Chmura śmierci</t>
  </si>
  <si>
    <t>Uwagi</t>
  </si>
  <si>
    <t>Tylko po śmierci</t>
  </si>
  <si>
    <t>DPS = 8</t>
  </si>
  <si>
    <t>Potencjalne obrażenia = 40</t>
  </si>
  <si>
    <t>Imp</t>
  </si>
  <si>
    <t>Brak</t>
  </si>
  <si>
    <t>1 żelazo</t>
  </si>
  <si>
    <t>2 kamienia</t>
  </si>
  <si>
    <t>Drzewiec</t>
  </si>
  <si>
    <t>Wsparcie</t>
  </si>
  <si>
    <t>Obrońća</t>
  </si>
  <si>
    <t>Leczenie</t>
  </si>
  <si>
    <t>HPpS = 2</t>
  </si>
  <si>
    <t>Zwrot zasobów</t>
  </si>
  <si>
    <t>20 drewna</t>
  </si>
  <si>
    <t>Chłop</t>
  </si>
  <si>
    <t>Fala</t>
  </si>
  <si>
    <t>Czas do zabicia jednostki gracza</t>
  </si>
  <si>
    <t>Czas do zabicia wroga</t>
  </si>
  <si>
    <t>1+</t>
  </si>
  <si>
    <t>Czas do zabicia gracza (s)</t>
  </si>
  <si>
    <t>Czas do zabicia (s)</t>
  </si>
  <si>
    <t>Kapłan</t>
  </si>
  <si>
    <t>3+</t>
  </si>
  <si>
    <t>Myśliwy</t>
  </si>
  <si>
    <t>5+</t>
  </si>
  <si>
    <t>Early/Mid</t>
  </si>
  <si>
    <t>7+</t>
  </si>
  <si>
    <t>Kapłan Wsparcia</t>
  </si>
  <si>
    <t>9+</t>
  </si>
  <si>
    <t>Tarczownik</t>
  </si>
  <si>
    <t>Rycerz</t>
  </si>
  <si>
    <t>11+</t>
  </si>
  <si>
    <t>Kawalerzysta</t>
  </si>
  <si>
    <t>15+</t>
  </si>
  <si>
    <t>Łucznik</t>
  </si>
  <si>
    <t>Mid/Late</t>
  </si>
  <si>
    <t>Strzelec</t>
  </si>
  <si>
    <t>Demon</t>
  </si>
  <si>
    <t>Reprodukcja</t>
  </si>
  <si>
    <t>1 Copium</t>
  </si>
  <si>
    <t>Może tworzyć kopię co 2 minuty</t>
  </si>
  <si>
    <t>Cemon</t>
  </si>
  <si>
    <t>Kradzież życia</t>
  </si>
  <si>
    <t>znaczne zwiększenie time to kill</t>
  </si>
  <si>
    <t>Lemon</t>
  </si>
  <si>
    <t>1 Gem</t>
  </si>
  <si>
    <t>zwrot jedzenia 3</t>
  </si>
  <si>
    <t>Możliwośc kupna w early</t>
  </si>
  <si>
    <t>3 złota</t>
  </si>
  <si>
    <t>Kultysta</t>
  </si>
  <si>
    <t>HPpS 3</t>
  </si>
  <si>
    <t>4 jedzenia</t>
  </si>
  <si>
    <t>HPpHit = 16</t>
  </si>
  <si>
    <t>2 jedzenia</t>
  </si>
  <si>
    <t>Wendigo</t>
  </si>
  <si>
    <t>Early/Mid Game</t>
  </si>
  <si>
    <t>30 drewna</t>
  </si>
  <si>
    <t>Zwrot drewna 10</t>
  </si>
  <si>
    <t>Golem</t>
  </si>
  <si>
    <t>15 kamienia</t>
  </si>
  <si>
    <t>2 obsydian</t>
  </si>
  <si>
    <t>zwrot szmaragdu 1</t>
  </si>
  <si>
    <t>kamikaze</t>
  </si>
  <si>
    <t>dostępny w early</t>
  </si>
  <si>
    <t>Pythonus</t>
  </si>
  <si>
    <t>Napastnik</t>
  </si>
  <si>
    <t>2 Żelazo</t>
  </si>
  <si>
    <t>DpHit = 30</t>
  </si>
  <si>
    <t>DPS skaluje się liniowo</t>
  </si>
  <si>
    <t>HPpS = 3</t>
  </si>
  <si>
    <t>Baron</t>
  </si>
  <si>
    <t>Atak 360 stopni</t>
  </si>
  <si>
    <t>Red Slime</t>
  </si>
  <si>
    <t>10 Drewna</t>
  </si>
  <si>
    <t>Rozłam (10)</t>
  </si>
  <si>
    <t>DPS = 6</t>
  </si>
  <si>
    <t>Prędkość pracy</t>
  </si>
  <si>
    <t>multitasking</t>
  </si>
  <si>
    <t>Wall Of Eyes</t>
  </si>
  <si>
    <t>Obszarowy atak</t>
  </si>
  <si>
    <t>DpHit = 20</t>
  </si>
  <si>
    <t>Mirrorium</t>
  </si>
  <si>
    <t>klon Dps</t>
  </si>
  <si>
    <t>Dodatkowy klon</t>
  </si>
  <si>
    <t>HPpS = 6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</si>
</sst>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6">
    <xf numFmtId="0" fontId="0" fillId="0" borderId="0" xfId="0"/>
    <xf numFmtId="0" fontId="4" fillId="5" borderId="1" xfId="4"/>
    <xf numFmtId="0" fontId="4" fillId="5" borderId="1" xfId="4" applyAlignment="1">
      <alignment horizontal="center"/>
    </xf>
    <xf numFmtId="9" fontId="4" fillId="5" borderId="1" xfId="4" applyNumberFormat="1" applyAlignment="1">
      <alignment horizontal="center"/>
    </xf>
    <xf numFmtId="2" fontId="4" fillId="5" borderId="1" xfId="4" applyNumberFormat="1" applyAlignment="1">
      <alignment horizontal="center"/>
    </xf>
    <xf numFmtId="0" fontId="4" fillId="5" borderId="1" xfId="4" applyAlignment="1">
      <alignment horizontal="center" vertical="center"/>
    </xf>
    <xf numFmtId="9" fontId="4" fillId="5" borderId="1" xfId="4" applyNumberFormat="1"/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1" xfId="1" applyNumberFormat="1" applyBorder="1" applyAlignment="1">
      <alignment horizontal="center" vertical="center"/>
    </xf>
    <xf numFmtId="49" fontId="4" fillId="5" borderId="1" xfId="4" applyNumberFormat="1" applyAlignment="1">
      <alignment horizontal="center" vertical="center"/>
    </xf>
    <xf numFmtId="0" fontId="4" fillId="5" borderId="1" xfId="4" applyAlignment="1">
      <alignment horizontal="center"/>
    </xf>
    <xf numFmtId="0" fontId="4" fillId="5" borderId="1" xfId="4" applyAlignment="1">
      <alignment horizontal="center" vertical="center"/>
    </xf>
    <xf numFmtId="0" fontId="1" fillId="2" borderId="1" xfId="1" applyBorder="1" applyAlignment="1">
      <alignment horizontal="center"/>
    </xf>
    <xf numFmtId="2" fontId="1" fillId="2" borderId="1" xfId="1" applyNumberFormat="1" applyBorder="1" applyAlignment="1">
      <alignment horizontal="center"/>
    </xf>
    <xf numFmtId="2" fontId="1" fillId="2" borderId="1" xfId="1" applyNumberFormat="1" applyBorder="1" applyAlignment="1">
      <alignment horizontal="center"/>
    </xf>
    <xf numFmtId="0" fontId="4" fillId="5" borderId="2" xfId="4" applyBorder="1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4" fillId="5" borderId="4" xfId="4" applyBorder="1" applyAlignment="1">
      <alignment horizontal="center"/>
    </xf>
    <xf numFmtId="0" fontId="4" fillId="5" borderId="5" xfId="4" applyBorder="1" applyAlignment="1">
      <alignment horizontal="center"/>
    </xf>
    <xf numFmtId="1" fontId="4" fillId="5" borderId="4" xfId="4" applyNumberFormat="1" applyBorder="1" applyAlignment="1">
      <alignment horizontal="center"/>
    </xf>
    <xf numFmtId="1" fontId="4" fillId="5" borderId="5" xfId="4" applyNumberFormat="1" applyBorder="1" applyAlignment="1">
      <alignment horizontal="center"/>
    </xf>
    <xf numFmtId="0" fontId="3" fillId="4" borderId="1" xfId="3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2" fontId="1" fillId="2" borderId="4" xfId="1" applyNumberFormat="1" applyBorder="1" applyAlignment="1">
      <alignment horizontal="center"/>
    </xf>
    <xf numFmtId="2" fontId="1" fillId="2" borderId="5" xfId="1" applyNumberFormat="1" applyBorder="1" applyAlignment="1">
      <alignment horizontal="center"/>
    </xf>
  </cellXfs>
  <cellStyles count="5">
    <cellStyle name="Dane wyjściowe" xfId="4" builtinId="21"/>
    <cellStyle name="Dobre" xfId="1" builtinId="26"/>
    <cellStyle name="Neutralne" xfId="3" builtinId="28"/>
    <cellStyle name="Normalny" xfId="0" builtinId="0"/>
    <cellStyle name="Złe" xfId="2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7"/>
  <sheetViews>
    <sheetView tabSelected="1" workbookViewId="0">
      <selection activeCell="B26" sqref="B26"/>
    </sheetView>
  </sheetViews>
  <sheetFormatPr defaultRowHeight="14.25"/>
  <cols>
    <col min="1" max="1" width="21.625" bestFit="1" customWidth="1"/>
    <col min="2" max="2" width="17.5" bestFit="1" customWidth="1"/>
    <col min="3" max="3" width="15.875" bestFit="1" customWidth="1"/>
    <col min="4" max="4" width="27.125" bestFit="1" customWidth="1"/>
    <col min="5" max="5" width="15.875" bestFit="1" customWidth="1"/>
    <col min="6" max="6" width="18.75" bestFit="1" customWidth="1"/>
    <col min="7" max="7" width="30.25" bestFit="1" customWidth="1"/>
    <col min="8" max="8" width="20.75" bestFit="1" customWidth="1"/>
    <col min="9" max="9" width="15.875" bestFit="1" customWidth="1"/>
    <col min="10" max="10" width="33.375" bestFit="1" customWidth="1"/>
    <col min="11" max="11" width="15.875" bestFit="1" customWidth="1"/>
    <col min="12" max="12" width="29.75" bestFit="1" customWidth="1"/>
    <col min="13" max="13" width="24.125" bestFit="1" customWidth="1"/>
    <col min="14" max="14" width="29.75" bestFit="1" customWidth="1"/>
    <col min="15" max="15" width="19.625" bestFit="1" customWidth="1"/>
    <col min="16" max="16" width="24.125" bestFit="1" customWidth="1"/>
    <col min="17" max="18" width="15.875" bestFit="1" customWidth="1"/>
    <col min="19" max="19" width="24.125" bestFit="1" customWidth="1"/>
    <col min="20" max="20" width="17.625" bestFit="1" customWidth="1"/>
    <col min="21" max="21" width="15.875" bestFit="1" customWidth="1"/>
    <col min="22" max="22" width="24.125" bestFit="1" customWidth="1"/>
    <col min="23" max="24" width="15.875" bestFit="1" customWidth="1"/>
    <col min="25" max="25" width="24.125" bestFit="1" customWidth="1"/>
    <col min="26" max="26" width="14.25" bestFit="1" customWidth="1"/>
    <col min="27" max="27" width="15.875" bestFit="1" customWidth="1"/>
    <col min="28" max="28" width="14.25" bestFit="1" customWidth="1"/>
    <col min="29" max="29" width="15.875" bestFit="1" customWidth="1"/>
    <col min="30" max="30" width="14.875" bestFit="1" customWidth="1"/>
    <col min="31" max="31" width="15.875" bestFit="1" customWidth="1"/>
  </cols>
  <sheetData>
    <row r="1" spans="1:31" ht="15">
      <c r="A1" s="2" t="s">
        <v>102</v>
      </c>
      <c r="B1" s="8" t="s">
        <v>0</v>
      </c>
      <c r="C1" s="5" t="s">
        <v>103</v>
      </c>
      <c r="D1" s="8" t="s">
        <v>0</v>
      </c>
      <c r="E1" s="5" t="s">
        <v>103</v>
      </c>
      <c r="F1" s="8" t="s">
        <v>0</v>
      </c>
      <c r="G1" s="5" t="s">
        <v>103</v>
      </c>
      <c r="H1" s="8" t="s">
        <v>0</v>
      </c>
      <c r="I1" s="5" t="s">
        <v>103</v>
      </c>
      <c r="J1" s="22" t="s">
        <v>173</v>
      </c>
      <c r="K1" s="5" t="s">
        <v>103</v>
      </c>
      <c r="L1" s="22" t="s">
        <v>1</v>
      </c>
      <c r="M1" s="5" t="s">
        <v>103</v>
      </c>
      <c r="N1" s="22" t="s">
        <v>1</v>
      </c>
      <c r="O1" s="5" t="s">
        <v>103</v>
      </c>
      <c r="P1" s="22" t="s">
        <v>1</v>
      </c>
      <c r="Q1" s="5" t="s">
        <v>103</v>
      </c>
      <c r="R1" s="22" t="s">
        <v>1</v>
      </c>
      <c r="S1" s="5" t="s">
        <v>103</v>
      </c>
      <c r="T1" s="23" t="s">
        <v>153</v>
      </c>
      <c r="U1" s="5" t="s">
        <v>103</v>
      </c>
      <c r="V1" s="23" t="s">
        <v>153</v>
      </c>
      <c r="W1" s="5" t="s">
        <v>103</v>
      </c>
      <c r="X1" s="23" t="s">
        <v>83</v>
      </c>
      <c r="Y1" s="5" t="s">
        <v>103</v>
      </c>
      <c r="Z1" s="23" t="s">
        <v>83</v>
      </c>
      <c r="AA1" s="5" t="s">
        <v>103</v>
      </c>
      <c r="AB1" s="23" t="s">
        <v>83</v>
      </c>
      <c r="AC1" s="5" t="s">
        <v>103</v>
      </c>
      <c r="AD1" s="23" t="s">
        <v>83</v>
      </c>
      <c r="AE1" s="5" t="s">
        <v>103</v>
      </c>
    </row>
    <row r="2" spans="1:31" ht="15">
      <c r="A2" s="2" t="s">
        <v>3</v>
      </c>
      <c r="B2" s="11" t="s">
        <v>10</v>
      </c>
      <c r="C2" s="11"/>
      <c r="D2" s="11" t="s">
        <v>113</v>
      </c>
      <c r="E2" s="11"/>
      <c r="F2" s="11" t="s">
        <v>121</v>
      </c>
      <c r="G2" s="11"/>
      <c r="H2" s="11" t="s">
        <v>125</v>
      </c>
      <c r="I2" s="11"/>
      <c r="J2" s="11" t="s">
        <v>172</v>
      </c>
      <c r="K2" s="11"/>
      <c r="L2" s="11" t="s">
        <v>155</v>
      </c>
      <c r="M2" s="11"/>
      <c r="N2" s="18" t="s">
        <v>159</v>
      </c>
      <c r="O2" s="19"/>
      <c r="P2" s="18" t="s">
        <v>162</v>
      </c>
      <c r="Q2" s="19"/>
      <c r="R2" s="18" t="s">
        <v>167</v>
      </c>
      <c r="S2" s="19"/>
      <c r="T2" s="18" t="s">
        <v>176</v>
      </c>
      <c r="U2" s="19"/>
      <c r="V2" s="18" t="s">
        <v>182</v>
      </c>
      <c r="W2" s="19"/>
      <c r="X2" s="18" t="s">
        <v>190</v>
      </c>
      <c r="Y2" s="19"/>
      <c r="Z2" s="18" t="s">
        <v>188</v>
      </c>
      <c r="AA2" s="19"/>
      <c r="AB2" s="18" t="s">
        <v>196</v>
      </c>
      <c r="AC2" s="19"/>
      <c r="AD2" s="18" t="s">
        <v>199</v>
      </c>
      <c r="AE2" s="19"/>
    </row>
    <row r="3" spans="1:31" ht="15">
      <c r="A3" s="2" t="s">
        <v>108</v>
      </c>
      <c r="B3" s="2" t="s">
        <v>18</v>
      </c>
      <c r="C3" s="12" t="s">
        <v>11</v>
      </c>
      <c r="D3" s="2" t="s">
        <v>114</v>
      </c>
      <c r="E3" s="12" t="s">
        <v>115</v>
      </c>
      <c r="F3" s="2" t="s">
        <v>19</v>
      </c>
      <c r="G3" s="12" t="s">
        <v>19</v>
      </c>
      <c r="H3" s="2" t="s">
        <v>126</v>
      </c>
      <c r="I3" s="12" t="s">
        <v>126</v>
      </c>
      <c r="J3" s="2" t="s">
        <v>114</v>
      </c>
      <c r="K3" s="12" t="s">
        <v>11</v>
      </c>
      <c r="L3" s="2" t="s">
        <v>114</v>
      </c>
      <c r="M3" s="12" t="s">
        <v>11</v>
      </c>
      <c r="N3" s="2" t="s">
        <v>18</v>
      </c>
      <c r="O3" s="16" t="s">
        <v>18</v>
      </c>
      <c r="P3" s="2" t="s">
        <v>19</v>
      </c>
      <c r="Q3" s="16" t="s">
        <v>19</v>
      </c>
      <c r="R3" s="2" t="s">
        <v>126</v>
      </c>
      <c r="S3" s="16" t="s">
        <v>126</v>
      </c>
      <c r="T3" s="2" t="s">
        <v>18</v>
      </c>
      <c r="U3" s="16" t="s">
        <v>18</v>
      </c>
      <c r="V3" s="2" t="s">
        <v>19</v>
      </c>
      <c r="W3" s="16" t="s">
        <v>19</v>
      </c>
      <c r="X3" s="2" t="s">
        <v>19</v>
      </c>
      <c r="Y3" s="16" t="s">
        <v>19</v>
      </c>
      <c r="Z3" s="2" t="s">
        <v>114</v>
      </c>
      <c r="AA3" s="16" t="s">
        <v>114</v>
      </c>
      <c r="AB3" s="2" t="s">
        <v>154</v>
      </c>
      <c r="AC3" s="16" t="s">
        <v>154</v>
      </c>
      <c r="AD3" s="2" t="s">
        <v>126</v>
      </c>
      <c r="AE3" s="16" t="s">
        <v>126</v>
      </c>
    </row>
    <row r="4" spans="1:31" ht="15">
      <c r="A4" s="2" t="s">
        <v>17</v>
      </c>
      <c r="B4" s="2" t="s">
        <v>19</v>
      </c>
      <c r="C4" s="12"/>
      <c r="D4" s="2" t="s">
        <v>115</v>
      </c>
      <c r="E4" s="12"/>
      <c r="F4" s="2" t="s">
        <v>122</v>
      </c>
      <c r="G4" s="12"/>
      <c r="H4" s="2" t="s">
        <v>127</v>
      </c>
      <c r="I4" s="12"/>
      <c r="J4" s="2" t="s">
        <v>19</v>
      </c>
      <c r="K4" s="12"/>
      <c r="L4" s="2" t="s">
        <v>19</v>
      </c>
      <c r="M4" s="12"/>
      <c r="N4" s="2" t="s">
        <v>114</v>
      </c>
      <c r="O4" s="17"/>
      <c r="P4" s="2" t="s">
        <v>115</v>
      </c>
      <c r="Q4" s="17"/>
      <c r="R4" s="2" t="s">
        <v>154</v>
      </c>
      <c r="S4" s="17"/>
      <c r="T4" s="2" t="s">
        <v>180</v>
      </c>
      <c r="U4" s="17"/>
      <c r="V4" s="2" t="s">
        <v>183</v>
      </c>
      <c r="W4" s="17"/>
      <c r="X4" s="2" t="s">
        <v>115</v>
      </c>
      <c r="Y4" s="17"/>
      <c r="Z4" s="2" t="s">
        <v>18</v>
      </c>
      <c r="AA4" s="17"/>
      <c r="AB4" s="2" t="s">
        <v>44</v>
      </c>
      <c r="AC4" s="17"/>
      <c r="AD4" s="2" t="s">
        <v>154</v>
      </c>
      <c r="AE4" s="17"/>
    </row>
    <row r="5" spans="1:31" ht="15">
      <c r="A5" s="2" t="s">
        <v>8</v>
      </c>
      <c r="B5" s="2">
        <f>2/0.8</f>
        <v>2.5</v>
      </c>
      <c r="C5" s="2">
        <f>B5/1</f>
        <v>2.5</v>
      </c>
      <c r="D5" s="4">
        <f>4/1.5</f>
        <v>2.6666666666666665</v>
      </c>
      <c r="E5" s="4">
        <f>D5/1</f>
        <v>2.6666666666666665</v>
      </c>
      <c r="F5" s="4">
        <v>2</v>
      </c>
      <c r="G5" s="4">
        <f>F5/1</f>
        <v>2</v>
      </c>
      <c r="H5" s="4">
        <v>0.5</v>
      </c>
      <c r="I5" s="4">
        <f>H5/1</f>
        <v>0.5</v>
      </c>
      <c r="J5" s="4">
        <f>12/2</f>
        <v>6</v>
      </c>
      <c r="K5" s="4">
        <f>J5/1</f>
        <v>6</v>
      </c>
      <c r="L5" s="4">
        <f>5/0.9</f>
        <v>5.5555555555555554</v>
      </c>
      <c r="M5" s="4">
        <f>L5/1</f>
        <v>5.5555555555555554</v>
      </c>
      <c r="N5" s="4">
        <v>10</v>
      </c>
      <c r="O5" s="4">
        <f>N5/1</f>
        <v>10</v>
      </c>
      <c r="P5" s="4">
        <f>9/3.3</f>
        <v>2.7272727272727275</v>
      </c>
      <c r="Q5" s="4">
        <f>P5/1</f>
        <v>2.7272727272727275</v>
      </c>
      <c r="R5" s="4">
        <f>20/2.5</f>
        <v>8</v>
      </c>
      <c r="S5" s="4">
        <f>R5/1</f>
        <v>8</v>
      </c>
      <c r="T5" s="4">
        <v>5</v>
      </c>
      <c r="U5" s="4">
        <f>T5/1</f>
        <v>5</v>
      </c>
      <c r="V5" s="4">
        <f>30/4</f>
        <v>7.5</v>
      </c>
      <c r="W5" s="4">
        <f>V5/1</f>
        <v>7.5</v>
      </c>
      <c r="X5" s="4">
        <f>5/0.4</f>
        <v>12.5</v>
      </c>
      <c r="Y5" s="4">
        <f>X5/1</f>
        <v>12.5</v>
      </c>
      <c r="Z5" s="4">
        <f>20/1.5</f>
        <v>13.333333333333334</v>
      </c>
      <c r="AA5" s="4">
        <f>Z5/1</f>
        <v>13.333333333333334</v>
      </c>
      <c r="AB5" s="4">
        <v>25</v>
      </c>
      <c r="AC5" s="4">
        <f>AB5/1</f>
        <v>25</v>
      </c>
      <c r="AD5" s="4">
        <f>5/0.3</f>
        <v>16.666666666666668</v>
      </c>
      <c r="AE5" s="4">
        <f>AD5/1</f>
        <v>16.666666666666668</v>
      </c>
    </row>
    <row r="6" spans="1:31" ht="15">
      <c r="A6" s="2" t="s">
        <v>4</v>
      </c>
      <c r="B6" s="2">
        <v>20</v>
      </c>
      <c r="C6" s="2">
        <f>B6/5</f>
        <v>4</v>
      </c>
      <c r="D6" s="2">
        <v>20</v>
      </c>
      <c r="E6" s="2">
        <f>D6/5</f>
        <v>4</v>
      </c>
      <c r="F6" s="2">
        <v>15</v>
      </c>
      <c r="G6" s="2">
        <f>F6/5</f>
        <v>3</v>
      </c>
      <c r="H6" s="2">
        <v>30</v>
      </c>
      <c r="I6" s="2">
        <f>H6/5</f>
        <v>6</v>
      </c>
      <c r="J6" s="2">
        <v>45</v>
      </c>
      <c r="K6" s="2">
        <f>J6/5</f>
        <v>9</v>
      </c>
      <c r="L6" s="2">
        <v>35</v>
      </c>
      <c r="M6" s="2">
        <f>L6/5</f>
        <v>7</v>
      </c>
      <c r="N6" s="2">
        <v>45</v>
      </c>
      <c r="O6" s="2">
        <f>N6/5</f>
        <v>9</v>
      </c>
      <c r="P6" s="2">
        <v>30</v>
      </c>
      <c r="Q6" s="2">
        <f>P6/5</f>
        <v>6</v>
      </c>
      <c r="R6" s="2">
        <v>30</v>
      </c>
      <c r="S6" s="2">
        <f>R6/5</f>
        <v>6</v>
      </c>
      <c r="T6" s="2">
        <v>120</v>
      </c>
      <c r="U6" s="2">
        <f>T6/5</f>
        <v>24</v>
      </c>
      <c r="V6" s="2">
        <v>20</v>
      </c>
      <c r="W6" s="2">
        <f>V6/5</f>
        <v>4</v>
      </c>
      <c r="X6" s="2">
        <v>15</v>
      </c>
      <c r="Y6" s="2">
        <f>X6/5</f>
        <v>3</v>
      </c>
      <c r="Z6" s="2">
        <v>166</v>
      </c>
      <c r="AA6" s="2">
        <f>Z6/5</f>
        <v>33.200000000000003</v>
      </c>
      <c r="AB6" s="2">
        <v>50</v>
      </c>
      <c r="AC6" s="2">
        <f>AB6/5</f>
        <v>10</v>
      </c>
      <c r="AD6" s="2">
        <v>66</v>
      </c>
      <c r="AE6" s="2">
        <f>AD6/5</f>
        <v>13.2</v>
      </c>
    </row>
    <row r="7" spans="1:31" ht="15">
      <c r="A7" s="2" t="s">
        <v>5</v>
      </c>
      <c r="B7" s="2">
        <v>1</v>
      </c>
      <c r="C7" s="2">
        <f>B7/0.2</f>
        <v>5</v>
      </c>
      <c r="D7" s="2">
        <v>0.3</v>
      </c>
      <c r="E7" s="2">
        <f>D7/0.2</f>
        <v>1.4999999999999998</v>
      </c>
      <c r="F7" s="2">
        <v>1.2</v>
      </c>
      <c r="G7" s="2">
        <f>F7/0.2</f>
        <v>5.9999999999999991</v>
      </c>
      <c r="H7" s="2">
        <v>0.6</v>
      </c>
      <c r="I7" s="2">
        <f>H7/0.2</f>
        <v>2.9999999999999996</v>
      </c>
      <c r="J7" s="2">
        <v>1.5</v>
      </c>
      <c r="K7" s="2">
        <f>J7/0.2</f>
        <v>7.5</v>
      </c>
      <c r="L7" s="2">
        <v>0.8</v>
      </c>
      <c r="M7" s="2">
        <f>L7/0.2</f>
        <v>4</v>
      </c>
      <c r="N7" s="2">
        <v>0.5</v>
      </c>
      <c r="O7" s="2">
        <f>N7/0.2</f>
        <v>2.5</v>
      </c>
      <c r="P7" s="2">
        <v>5</v>
      </c>
      <c r="Q7" s="2">
        <f>P7/0.2</f>
        <v>25</v>
      </c>
      <c r="R7" s="2">
        <v>0.5</v>
      </c>
      <c r="S7" s="2">
        <f>R7/0.2</f>
        <v>2.5</v>
      </c>
      <c r="T7" s="2">
        <v>1</v>
      </c>
      <c r="U7" s="2">
        <f>T7/0.2</f>
        <v>5</v>
      </c>
      <c r="V7" s="4">
        <v>3</v>
      </c>
      <c r="W7" s="2">
        <f>V7/0.2</f>
        <v>15</v>
      </c>
      <c r="X7" s="4">
        <v>1</v>
      </c>
      <c r="Y7" s="2">
        <f>X7/0.2</f>
        <v>5</v>
      </c>
      <c r="Z7" s="4">
        <v>0.2</v>
      </c>
      <c r="AA7" s="2">
        <f>Z7/0.2</f>
        <v>1</v>
      </c>
      <c r="AB7" s="4">
        <v>0.8</v>
      </c>
      <c r="AC7" s="2">
        <f>AB7/0.2</f>
        <v>4</v>
      </c>
      <c r="AD7" s="4">
        <v>0.2</v>
      </c>
      <c r="AE7" s="2">
        <f>AD7/0.2</f>
        <v>1</v>
      </c>
    </row>
    <row r="8" spans="1:31" ht="15">
      <c r="A8" s="2" t="s">
        <v>100</v>
      </c>
      <c r="B8" s="2">
        <v>20</v>
      </c>
      <c r="C8" s="2">
        <f>B8/20</f>
        <v>1</v>
      </c>
      <c r="D8" s="2">
        <v>10</v>
      </c>
      <c r="E8" s="2">
        <f>D8/20</f>
        <v>0.5</v>
      </c>
      <c r="F8" s="2">
        <v>40</v>
      </c>
      <c r="G8" s="2">
        <f>F8/20</f>
        <v>2</v>
      </c>
      <c r="H8" s="2">
        <v>50</v>
      </c>
      <c r="I8" s="2">
        <f>H8/20</f>
        <v>2.5</v>
      </c>
      <c r="J8" s="2">
        <v>80</v>
      </c>
      <c r="K8" s="2">
        <f>J8/20</f>
        <v>4</v>
      </c>
      <c r="L8" s="2">
        <v>20</v>
      </c>
      <c r="M8" s="2">
        <f>L8/20</f>
        <v>1</v>
      </c>
      <c r="N8" s="2">
        <v>30</v>
      </c>
      <c r="O8" s="2">
        <f>N8/20</f>
        <v>1.5</v>
      </c>
      <c r="P8" s="2">
        <v>30</v>
      </c>
      <c r="Q8" s="2">
        <f>P8/20</f>
        <v>1.5</v>
      </c>
      <c r="R8" s="2">
        <v>150</v>
      </c>
      <c r="S8" s="2">
        <f>R8/20</f>
        <v>7.5</v>
      </c>
      <c r="T8" s="2">
        <v>30</v>
      </c>
      <c r="U8" s="2">
        <f>T8/20</f>
        <v>1.5</v>
      </c>
      <c r="V8" s="2">
        <v>40</v>
      </c>
      <c r="W8" s="2">
        <f>V8/20</f>
        <v>2</v>
      </c>
      <c r="X8" s="2">
        <v>0</v>
      </c>
      <c r="Y8" s="2">
        <f>X8/20</f>
        <v>0</v>
      </c>
      <c r="Z8" s="2">
        <v>60</v>
      </c>
      <c r="AA8" s="2">
        <f>Z8/20</f>
        <v>3</v>
      </c>
      <c r="AB8" s="2">
        <v>120</v>
      </c>
      <c r="AC8" s="2">
        <f>AB8/20</f>
        <v>6</v>
      </c>
      <c r="AD8" s="2">
        <v>150</v>
      </c>
      <c r="AE8" s="2">
        <f>AD8/20</f>
        <v>7.5</v>
      </c>
    </row>
    <row r="9" spans="1:31" ht="15">
      <c r="A9" s="2" t="s">
        <v>14</v>
      </c>
      <c r="B9" s="2">
        <v>30</v>
      </c>
      <c r="C9" s="2">
        <f>B9/10</f>
        <v>3</v>
      </c>
      <c r="D9" s="2">
        <v>40</v>
      </c>
      <c r="E9" s="2">
        <f>D9/10</f>
        <v>4</v>
      </c>
      <c r="F9" s="2">
        <v>140</v>
      </c>
      <c r="G9" s="2">
        <f>F9/10</f>
        <v>14</v>
      </c>
      <c r="H9" s="2">
        <v>30</v>
      </c>
      <c r="I9" s="2">
        <f>H9/10</f>
        <v>3</v>
      </c>
      <c r="J9" s="2">
        <v>50</v>
      </c>
      <c r="K9" s="2">
        <f>J9/10</f>
        <v>5</v>
      </c>
      <c r="L9" s="2">
        <v>70</v>
      </c>
      <c r="M9" s="2">
        <f>L9/10</f>
        <v>7</v>
      </c>
      <c r="N9" s="2">
        <v>50</v>
      </c>
      <c r="O9" s="2">
        <f>N9/10</f>
        <v>5</v>
      </c>
      <c r="P9" s="2">
        <v>40</v>
      </c>
      <c r="Q9" s="2">
        <f>P9/10</f>
        <v>4</v>
      </c>
      <c r="R9" s="2">
        <v>80</v>
      </c>
      <c r="S9" s="2">
        <f>R9/10</f>
        <v>8</v>
      </c>
      <c r="T9" s="2">
        <v>40</v>
      </c>
      <c r="U9" s="2">
        <f>T9/10</f>
        <v>4</v>
      </c>
      <c r="V9" s="2">
        <v>130</v>
      </c>
      <c r="W9" s="2">
        <f>V9/10</f>
        <v>13</v>
      </c>
      <c r="X9" s="2">
        <v>200</v>
      </c>
      <c r="Y9" s="2">
        <f>X9/10</f>
        <v>20</v>
      </c>
      <c r="Z9" s="2">
        <v>66</v>
      </c>
      <c r="AA9" s="2">
        <f>Z9/10</f>
        <v>6.6</v>
      </c>
      <c r="AB9" s="2">
        <v>40</v>
      </c>
      <c r="AC9" s="2">
        <f>AB9/10</f>
        <v>4</v>
      </c>
      <c r="AD9" s="2">
        <v>80</v>
      </c>
      <c r="AE9" s="2">
        <f>AD9/10</f>
        <v>8</v>
      </c>
    </row>
    <row r="10" spans="1:31" ht="15">
      <c r="A10" s="2" t="s">
        <v>6</v>
      </c>
      <c r="B10" s="2" t="s">
        <v>111</v>
      </c>
      <c r="C10" s="2">
        <v>8</v>
      </c>
      <c r="D10" s="2" t="s">
        <v>39</v>
      </c>
      <c r="E10" s="2">
        <v>5</v>
      </c>
      <c r="F10" s="2" t="s">
        <v>124</v>
      </c>
      <c r="G10" s="2">
        <f xml:space="preserve"> 2*6</f>
        <v>12</v>
      </c>
      <c r="H10" s="2" t="s">
        <v>131</v>
      </c>
      <c r="I10" s="2">
        <v>20</v>
      </c>
      <c r="J10" s="2" t="s">
        <v>174</v>
      </c>
      <c r="K10" s="2">
        <v>30</v>
      </c>
      <c r="L10" s="2" t="s">
        <v>157</v>
      </c>
      <c r="M10" s="2">
        <v>51</v>
      </c>
      <c r="N10" s="2" t="s">
        <v>157</v>
      </c>
      <c r="O10" s="2">
        <v>51</v>
      </c>
      <c r="P10" s="2" t="s">
        <v>163</v>
      </c>
      <c r="Q10" s="2">
        <v>36</v>
      </c>
      <c r="R10" s="2" t="s">
        <v>163</v>
      </c>
      <c r="S10" s="2">
        <v>36</v>
      </c>
      <c r="T10" s="2" t="s">
        <v>178</v>
      </c>
      <c r="U10" s="2">
        <f>30*2</f>
        <v>60</v>
      </c>
      <c r="V10" s="2" t="s">
        <v>157</v>
      </c>
      <c r="W10" s="2">
        <v>51</v>
      </c>
      <c r="X10" s="2" t="s">
        <v>94</v>
      </c>
      <c r="Y10" s="2">
        <f>217*1+2*33</f>
        <v>283</v>
      </c>
      <c r="Z10" s="2" t="s">
        <v>51</v>
      </c>
      <c r="AA10" s="2">
        <v>217</v>
      </c>
      <c r="AB10" s="2" t="s">
        <v>51</v>
      </c>
      <c r="AC10" s="2">
        <v>217</v>
      </c>
      <c r="AD10" s="2" t="s">
        <v>94</v>
      </c>
      <c r="AE10" s="2">
        <f>217*1+2*33</f>
        <v>283</v>
      </c>
    </row>
    <row r="11" spans="1:31" ht="15">
      <c r="A11" s="2" t="s">
        <v>7</v>
      </c>
      <c r="B11" s="2" t="s">
        <v>109</v>
      </c>
      <c r="C11" s="2">
        <v>12</v>
      </c>
      <c r="D11" s="2" t="s">
        <v>43</v>
      </c>
      <c r="E11" s="2">
        <f>4*6</f>
        <v>24</v>
      </c>
      <c r="F11" s="2" t="s">
        <v>123</v>
      </c>
      <c r="G11" s="2">
        <f xml:space="preserve"> 1*12</f>
        <v>12</v>
      </c>
      <c r="H11" s="2"/>
      <c r="I11" s="2">
        <f>0</f>
        <v>0</v>
      </c>
      <c r="J11" s="2" t="s">
        <v>171</v>
      </c>
      <c r="K11" s="2">
        <f>20</f>
        <v>20</v>
      </c>
      <c r="L11" s="2" t="s">
        <v>85</v>
      </c>
      <c r="M11" s="2">
        <f>18</f>
        <v>18</v>
      </c>
      <c r="N11" s="2" t="s">
        <v>169</v>
      </c>
      <c r="O11" s="2">
        <f>8.75*4</f>
        <v>35</v>
      </c>
      <c r="P11" s="2" t="s">
        <v>166</v>
      </c>
      <c r="Q11" s="2">
        <f>18*3</f>
        <v>54</v>
      </c>
      <c r="R11" s="2" t="s">
        <v>171</v>
      </c>
      <c r="S11" s="2">
        <f>18*2</f>
        <v>36</v>
      </c>
      <c r="T11" s="2" t="s">
        <v>177</v>
      </c>
      <c r="U11" s="2">
        <f>10*6</f>
        <v>60</v>
      </c>
      <c r="V11" s="2" t="s">
        <v>184</v>
      </c>
      <c r="W11" s="2">
        <v>24</v>
      </c>
      <c r="X11" s="2" t="s">
        <v>191</v>
      </c>
      <c r="Y11" s="2">
        <v>10</v>
      </c>
      <c r="Z11" s="2" t="s">
        <v>52</v>
      </c>
      <c r="AA11" s="2">
        <v>60</v>
      </c>
      <c r="AB11" s="2" t="s">
        <v>163</v>
      </c>
      <c r="AC11" s="2">
        <v>36</v>
      </c>
      <c r="AD11" s="2" t="s">
        <v>163</v>
      </c>
      <c r="AE11" s="2">
        <v>36</v>
      </c>
    </row>
    <row r="12" spans="1:31" ht="15">
      <c r="A12" s="2" t="s">
        <v>105</v>
      </c>
      <c r="B12" s="13">
        <f>SUM(C5:C9)</f>
        <v>15.5</v>
      </c>
      <c r="C12" s="13"/>
      <c r="D12" s="15">
        <f>SUM(E5:E9)</f>
        <v>12.666666666666666</v>
      </c>
      <c r="E12" s="15"/>
      <c r="F12" s="15">
        <f>SUM(G5:G9)</f>
        <v>27</v>
      </c>
      <c r="G12" s="15"/>
      <c r="H12" s="15">
        <f>SUM(I5:I9)</f>
        <v>15</v>
      </c>
      <c r="I12" s="15"/>
      <c r="J12" s="15">
        <f>SUM(K5:K9)</f>
        <v>31.5</v>
      </c>
      <c r="K12" s="15"/>
      <c r="L12" s="15">
        <f>SUM(M5:M9)</f>
        <v>24.555555555555557</v>
      </c>
      <c r="M12" s="15"/>
      <c r="N12" s="24">
        <f>SUM(O5:O9)</f>
        <v>28</v>
      </c>
      <c r="O12" s="25"/>
      <c r="P12" s="24">
        <f>SUM(Q5:Q9)</f>
        <v>39.227272727272727</v>
      </c>
      <c r="Q12" s="25"/>
      <c r="R12" s="24">
        <f>SUM(S5:S9)</f>
        <v>32</v>
      </c>
      <c r="S12" s="25"/>
      <c r="T12" s="24">
        <f>SUM(U5:U9)</f>
        <v>39.5</v>
      </c>
      <c r="U12" s="25"/>
      <c r="V12" s="24">
        <f>SUM(W5:W9)</f>
        <v>41.5</v>
      </c>
      <c r="W12" s="25"/>
      <c r="X12" s="24">
        <f>SUM(Y5:Y9)</f>
        <v>40.5</v>
      </c>
      <c r="Y12" s="25"/>
      <c r="Z12" s="24">
        <f>SUM(AA5:AA9)</f>
        <v>57.13333333333334</v>
      </c>
      <c r="AA12" s="25"/>
      <c r="AB12" s="24">
        <f>SUM(AC5:AC9)</f>
        <v>49</v>
      </c>
      <c r="AC12" s="25"/>
      <c r="AD12" s="24">
        <f>SUM(AE5:AE9)</f>
        <v>46.366666666666667</v>
      </c>
      <c r="AE12" s="25"/>
    </row>
    <row r="13" spans="1:31" ht="15">
      <c r="A13" s="2" t="s">
        <v>9</v>
      </c>
      <c r="B13" s="2" t="s">
        <v>107</v>
      </c>
      <c r="C13" s="2"/>
      <c r="D13" s="2" t="s">
        <v>116</v>
      </c>
      <c r="E13" s="2"/>
      <c r="F13" s="2" t="s">
        <v>122</v>
      </c>
      <c r="G13" s="2"/>
      <c r="H13" s="2" t="s">
        <v>128</v>
      </c>
      <c r="I13" s="2"/>
      <c r="J13" s="2" t="s">
        <v>175</v>
      </c>
      <c r="K13" s="4">
        <v>10</v>
      </c>
      <c r="L13" s="2" t="s">
        <v>156</v>
      </c>
      <c r="M13" s="4">
        <f>L12</f>
        <v>24.555555555555557</v>
      </c>
      <c r="N13" s="2" t="s">
        <v>160</v>
      </c>
      <c r="O13" s="4"/>
      <c r="P13" s="2" t="s">
        <v>164</v>
      </c>
      <c r="Q13" s="4">
        <f>8.75*3</f>
        <v>26.25</v>
      </c>
      <c r="R13" s="2" t="s">
        <v>128</v>
      </c>
      <c r="S13" s="4"/>
      <c r="T13" s="2" t="s">
        <v>179</v>
      </c>
      <c r="U13" s="4">
        <v>36</v>
      </c>
      <c r="V13" s="2" t="s">
        <v>185</v>
      </c>
      <c r="W13" s="2">
        <v>30</v>
      </c>
      <c r="X13" s="2" t="s">
        <v>192</v>
      </c>
      <c r="Y13" s="2">
        <v>30</v>
      </c>
      <c r="Z13" s="2" t="s">
        <v>198</v>
      </c>
      <c r="AA13" s="2">
        <v>20</v>
      </c>
      <c r="AB13" s="2" t="s">
        <v>197</v>
      </c>
      <c r="AC13" s="2">
        <v>100</v>
      </c>
      <c r="AD13" s="2" t="s">
        <v>200</v>
      </c>
      <c r="AE13" s="2">
        <f>3/0.3</f>
        <v>10</v>
      </c>
    </row>
    <row r="14" spans="1:31" ht="15">
      <c r="A14" s="2" t="s">
        <v>13</v>
      </c>
      <c r="B14" s="2" t="s">
        <v>15</v>
      </c>
      <c r="C14" s="2">
        <v>2</v>
      </c>
      <c r="D14" s="2" t="s">
        <v>120</v>
      </c>
      <c r="E14" s="2">
        <v>12</v>
      </c>
      <c r="F14" s="2"/>
      <c r="G14" s="2"/>
      <c r="H14" s="2" t="s">
        <v>129</v>
      </c>
      <c r="I14" s="2">
        <v>4</v>
      </c>
      <c r="J14" s="2"/>
      <c r="K14" s="2"/>
      <c r="L14" s="2" t="s">
        <v>186</v>
      </c>
      <c r="M14" s="2"/>
      <c r="N14" s="2" t="s">
        <v>168</v>
      </c>
      <c r="O14" s="2">
        <f>$N$5*0.3*2</f>
        <v>6</v>
      </c>
      <c r="P14" s="2" t="s">
        <v>165</v>
      </c>
      <c r="Q14" s="2">
        <v>30</v>
      </c>
      <c r="R14" s="2" t="s">
        <v>129</v>
      </c>
      <c r="S14" s="2">
        <v>4</v>
      </c>
      <c r="T14" s="2" t="s">
        <v>181</v>
      </c>
      <c r="U14" s="2">
        <v>30</v>
      </c>
      <c r="V14" s="1"/>
      <c r="W14" s="1"/>
      <c r="X14" s="1" t="s">
        <v>193</v>
      </c>
      <c r="Y14" s="1">
        <f>6*10</f>
        <v>60</v>
      </c>
      <c r="Z14" s="1" t="s">
        <v>189</v>
      </c>
      <c r="AA14" s="1">
        <v>80</v>
      </c>
      <c r="AB14" s="1"/>
      <c r="AC14" s="1"/>
      <c r="AD14" s="1" t="s">
        <v>202</v>
      </c>
      <c r="AE14" s="1">
        <v>12</v>
      </c>
    </row>
    <row r="15" spans="1:31" ht="15">
      <c r="A15" s="2"/>
      <c r="B15" s="2" t="s">
        <v>16</v>
      </c>
      <c r="C15" s="2">
        <v>4</v>
      </c>
      <c r="D15" s="2" t="s">
        <v>119</v>
      </c>
      <c r="E15" s="2">
        <v>8</v>
      </c>
      <c r="F15" s="2"/>
      <c r="G15" s="2"/>
      <c r="H15" s="2" t="s">
        <v>130</v>
      </c>
      <c r="I15" s="2"/>
      <c r="J15" s="2"/>
      <c r="K15" s="2"/>
      <c r="L15" s="2"/>
      <c r="M15" s="2"/>
      <c r="N15" s="2"/>
      <c r="O15" s="2"/>
      <c r="P15" s="2"/>
      <c r="Q15" s="2"/>
      <c r="R15" s="2" t="s">
        <v>170</v>
      </c>
      <c r="S15" s="2">
        <v>30</v>
      </c>
      <c r="T15" s="2"/>
      <c r="U15" s="2"/>
      <c r="V15" s="2"/>
      <c r="W15" s="2"/>
      <c r="X15" s="2" t="s">
        <v>194</v>
      </c>
      <c r="Y15" s="2">
        <f>10/0.2</f>
        <v>50</v>
      </c>
      <c r="Z15" s="2"/>
      <c r="AA15" s="2"/>
      <c r="AB15" s="2"/>
      <c r="AC15" s="2"/>
      <c r="AD15" s="2" t="s">
        <v>201</v>
      </c>
      <c r="AE15" s="2">
        <v>30</v>
      </c>
    </row>
    <row r="16" spans="1:31" ht="15">
      <c r="A16" s="2" t="s">
        <v>117</v>
      </c>
      <c r="B16" s="2" t="s">
        <v>118</v>
      </c>
      <c r="C16" s="2"/>
      <c r="D16" s="2" t="s">
        <v>118</v>
      </c>
      <c r="E16" s="2"/>
      <c r="F16" s="2"/>
      <c r="G16" s="2"/>
      <c r="H16" s="2" t="s">
        <v>39</v>
      </c>
      <c r="I16" s="2">
        <v>5</v>
      </c>
      <c r="J16" s="2"/>
      <c r="K16" s="2"/>
      <c r="L16" s="2" t="s">
        <v>158</v>
      </c>
      <c r="M16" s="2">
        <f>24.55*2</f>
        <v>49.1</v>
      </c>
      <c r="N16" s="2" t="s">
        <v>161</v>
      </c>
      <c r="O16" s="2">
        <v>50</v>
      </c>
      <c r="P16" s="2"/>
      <c r="Q16" s="2"/>
      <c r="R16" s="2"/>
      <c r="S16" s="2"/>
      <c r="T16" s="2"/>
      <c r="U16" s="2"/>
      <c r="V16" s="2"/>
      <c r="W16" s="2"/>
      <c r="X16" s="2" t="s">
        <v>195</v>
      </c>
      <c r="Y16" s="2">
        <v>100</v>
      </c>
      <c r="Z16" s="2"/>
      <c r="AA16" s="2"/>
      <c r="AB16" s="2"/>
      <c r="AC16" s="2"/>
      <c r="AD16" s="2"/>
      <c r="AE16" s="2"/>
    </row>
    <row r="17" spans="1:31" ht="15">
      <c r="A17" s="2" t="s">
        <v>106</v>
      </c>
      <c r="B17" s="2"/>
      <c r="C17" s="2">
        <f>SUM(C14:C15)</f>
        <v>6</v>
      </c>
      <c r="D17" s="2"/>
      <c r="E17" s="2">
        <f>SUM(E14:E15)</f>
        <v>20</v>
      </c>
      <c r="F17" s="2"/>
      <c r="G17" s="2">
        <v>0</v>
      </c>
      <c r="H17" s="2"/>
      <c r="I17" s="2">
        <f>SUM(I14:I16)</f>
        <v>9</v>
      </c>
      <c r="J17" s="2"/>
      <c r="K17" s="4">
        <f>SUM(K13:K16)</f>
        <v>10</v>
      </c>
      <c r="L17" s="2"/>
      <c r="M17" s="4">
        <f>SUM(M13:M16)</f>
        <v>73.655555555555566</v>
      </c>
      <c r="N17" s="2"/>
      <c r="O17" s="4">
        <f>SUM(O13:O16)</f>
        <v>56</v>
      </c>
      <c r="P17" s="2"/>
      <c r="Q17" s="4">
        <f>SUM(Q13:Q16)</f>
        <v>56.25</v>
      </c>
      <c r="R17" s="2"/>
      <c r="S17" s="4">
        <f>SUM(S13:S16)</f>
        <v>34</v>
      </c>
      <c r="T17" s="2"/>
      <c r="U17" s="4">
        <f>SUM(U13:U16)</f>
        <v>66</v>
      </c>
      <c r="V17" s="2"/>
      <c r="W17" s="4">
        <f>SUM(W13:W16)</f>
        <v>30</v>
      </c>
      <c r="X17" s="2"/>
      <c r="Y17" s="4">
        <f>SUM(Y13:Y16)</f>
        <v>240</v>
      </c>
      <c r="Z17" s="2"/>
      <c r="AA17" s="4">
        <f>SUM(AA13:AA16)</f>
        <v>100</v>
      </c>
      <c r="AB17" s="2"/>
      <c r="AC17" s="4">
        <f>SUM(AC13:AC16)</f>
        <v>100</v>
      </c>
      <c r="AD17" s="2"/>
      <c r="AE17" s="4">
        <f>SUM(AE13:AE16)</f>
        <v>52</v>
      </c>
    </row>
    <row r="18" spans="1:31" ht="15">
      <c r="A18" s="2" t="s">
        <v>110</v>
      </c>
      <c r="B18" s="2"/>
      <c r="C18" s="7">
        <f>C17+B12</f>
        <v>21.5</v>
      </c>
      <c r="D18" s="2"/>
      <c r="E18" s="14">
        <f>E17+D12</f>
        <v>32.666666666666664</v>
      </c>
      <c r="F18" s="2"/>
      <c r="G18" s="14">
        <f>G17+F12</f>
        <v>27</v>
      </c>
      <c r="H18" s="2"/>
      <c r="I18" s="14">
        <f>I17+H12</f>
        <v>24</v>
      </c>
      <c r="J18" s="2"/>
      <c r="K18" s="14">
        <f>K17+J12</f>
        <v>41.5</v>
      </c>
      <c r="L18" s="2"/>
      <c r="M18" s="14">
        <f>M17+L12</f>
        <v>98.211111111111123</v>
      </c>
      <c r="N18" s="2"/>
      <c r="O18" s="14">
        <f>O17+N12</f>
        <v>84</v>
      </c>
      <c r="P18" s="2"/>
      <c r="Q18" s="14">
        <f>Q17+P12</f>
        <v>95.47727272727272</v>
      </c>
      <c r="R18" s="2"/>
      <c r="S18" s="14">
        <f>S17+R12</f>
        <v>66</v>
      </c>
      <c r="T18" s="2"/>
      <c r="U18" s="14">
        <f>U17+T12</f>
        <v>105.5</v>
      </c>
      <c r="V18" s="2"/>
      <c r="W18" s="14">
        <f>W17+V12</f>
        <v>71.5</v>
      </c>
      <c r="X18" s="2"/>
      <c r="Y18" s="14">
        <f>Y17+X12</f>
        <v>280.5</v>
      </c>
      <c r="Z18" s="2"/>
      <c r="AA18" s="14">
        <f>AA17+Z12</f>
        <v>157.13333333333333</v>
      </c>
      <c r="AB18" s="2"/>
      <c r="AC18" s="14">
        <f>AC17+AB12</f>
        <v>149</v>
      </c>
      <c r="AD18" s="2"/>
      <c r="AE18" s="14">
        <f>AE17+AD12</f>
        <v>98.366666666666674</v>
      </c>
    </row>
    <row r="19" spans="1:31" ht="15">
      <c r="A19" s="2" t="s">
        <v>112</v>
      </c>
      <c r="B19" s="2"/>
      <c r="C19" s="7">
        <f>SUM(C10:C11)</f>
        <v>20</v>
      </c>
      <c r="D19" s="2"/>
      <c r="E19" s="7">
        <f>SUM(E10:E11)</f>
        <v>29</v>
      </c>
      <c r="F19" s="2"/>
      <c r="G19" s="7">
        <f>SUM(G10:G11)</f>
        <v>24</v>
      </c>
      <c r="H19" s="2"/>
      <c r="I19" s="7">
        <f>SUM(I10:I11)</f>
        <v>20</v>
      </c>
      <c r="J19" s="2"/>
      <c r="K19" s="7">
        <f>SUM(K10:K11)</f>
        <v>50</v>
      </c>
      <c r="L19" s="2"/>
      <c r="M19" s="7">
        <f>SUM(M10:M11)</f>
        <v>69</v>
      </c>
      <c r="N19" s="2"/>
      <c r="O19" s="7">
        <f>SUM(O10:O11)</f>
        <v>86</v>
      </c>
      <c r="P19" s="2"/>
      <c r="Q19" s="7">
        <f>SUM(Q10:Q11)</f>
        <v>90</v>
      </c>
      <c r="R19" s="2"/>
      <c r="S19" s="7">
        <f>SUM(S10:S11)</f>
        <v>72</v>
      </c>
      <c r="T19" s="2"/>
      <c r="U19" s="7">
        <f>SUM(U10:U11)</f>
        <v>120</v>
      </c>
      <c r="V19" s="2"/>
      <c r="W19" s="7">
        <f>SUM(W10:W11)</f>
        <v>75</v>
      </c>
      <c r="X19" s="2"/>
      <c r="Y19" s="7">
        <f>SUM(Y10:Y11)</f>
        <v>293</v>
      </c>
      <c r="Z19" s="2"/>
      <c r="AA19" s="7">
        <f>SUM(AA10:AA11)</f>
        <v>277</v>
      </c>
      <c r="AB19" s="2"/>
      <c r="AC19" s="7">
        <f>SUM(AC10:AC11)</f>
        <v>253</v>
      </c>
      <c r="AD19" s="2"/>
      <c r="AE19" s="7">
        <f>SUM(AE10:AE11)</f>
        <v>319</v>
      </c>
    </row>
    <row r="21" spans="1:31" ht="15">
      <c r="A21" s="1" t="s">
        <v>61</v>
      </c>
      <c r="B21" s="1" t="s">
        <v>21</v>
      </c>
      <c r="D21" s="1" t="s">
        <v>66</v>
      </c>
      <c r="E21" s="1" t="s">
        <v>67</v>
      </c>
      <c r="F21" s="1" t="s">
        <v>74</v>
      </c>
      <c r="G21" s="1" t="s">
        <v>134</v>
      </c>
      <c r="H21" s="1" t="s">
        <v>135</v>
      </c>
    </row>
    <row r="22" spans="1:31" ht="15">
      <c r="A22" s="1" t="s">
        <v>20</v>
      </c>
      <c r="B22" s="1">
        <v>36</v>
      </c>
      <c r="D22" s="1" t="s">
        <v>68</v>
      </c>
      <c r="E22" s="10" t="s">
        <v>70</v>
      </c>
      <c r="F22" s="5">
        <f>90*5/60</f>
        <v>7.5</v>
      </c>
      <c r="G22" s="1"/>
      <c r="H22" s="1"/>
    </row>
    <row r="23" spans="1:31" ht="15">
      <c r="A23" s="1" t="s">
        <v>22</v>
      </c>
      <c r="B23" s="1">
        <v>17</v>
      </c>
      <c r="D23" s="1" t="s">
        <v>69</v>
      </c>
      <c r="E23" s="10" t="s">
        <v>71</v>
      </c>
      <c r="F23" s="5">
        <f>12*90/60</f>
        <v>18</v>
      </c>
      <c r="G23" s="1"/>
      <c r="H23" s="1"/>
      <c r="AB23" s="2"/>
    </row>
    <row r="24" spans="1:31" ht="15">
      <c r="A24" s="1" t="s">
        <v>62</v>
      </c>
      <c r="B24" s="1">
        <f>SUM(B22:B23)</f>
        <v>53</v>
      </c>
      <c r="D24" s="1" t="s">
        <v>2</v>
      </c>
      <c r="E24" s="10" t="s">
        <v>72</v>
      </c>
      <c r="F24" s="5" t="s">
        <v>73</v>
      </c>
      <c r="G24" s="1"/>
      <c r="H24" s="1"/>
    </row>
    <row r="28" spans="1:31" ht="15">
      <c r="A28" s="1" t="s">
        <v>28</v>
      </c>
      <c r="B28" s="1" t="s">
        <v>29</v>
      </c>
      <c r="C28" s="1" t="s">
        <v>30</v>
      </c>
      <c r="D28" s="1" t="s">
        <v>41</v>
      </c>
      <c r="E28" s="1" t="s">
        <v>42</v>
      </c>
      <c r="G28" s="1" t="s">
        <v>63</v>
      </c>
      <c r="H28" s="1" t="s">
        <v>23</v>
      </c>
      <c r="I28" s="1"/>
      <c r="J28" s="1" t="s">
        <v>31</v>
      </c>
      <c r="L28" s="5" t="s">
        <v>64</v>
      </c>
      <c r="M28" s="5" t="s">
        <v>6</v>
      </c>
      <c r="N28" s="5" t="s">
        <v>7</v>
      </c>
      <c r="O28" s="5" t="s">
        <v>65</v>
      </c>
      <c r="P28" s="5" t="s">
        <v>31</v>
      </c>
      <c r="Q28" s="5" t="s">
        <v>32</v>
      </c>
      <c r="R28" s="5" t="s">
        <v>34</v>
      </c>
      <c r="S28" s="5" t="s">
        <v>35</v>
      </c>
      <c r="T28" s="5" t="s">
        <v>37</v>
      </c>
      <c r="U28" s="5" t="s">
        <v>31</v>
      </c>
      <c r="V28" s="5" t="s">
        <v>40</v>
      </c>
    </row>
    <row r="29" spans="1:31" ht="15">
      <c r="A29" s="2" t="s">
        <v>20</v>
      </c>
      <c r="B29" s="3">
        <f>36/53</f>
        <v>0.67924528301886788</v>
      </c>
      <c r="C29" s="2">
        <v>1</v>
      </c>
      <c r="D29" s="2" t="s">
        <v>44</v>
      </c>
      <c r="E29" s="7">
        <f>C29</f>
        <v>1</v>
      </c>
      <c r="G29" s="1" t="s">
        <v>22</v>
      </c>
      <c r="H29" s="1">
        <v>6</v>
      </c>
      <c r="I29" s="6">
        <f>H29/$B$23</f>
        <v>0.35294117647058826</v>
      </c>
      <c r="J29" s="9">
        <f>$B$22/H29</f>
        <v>6</v>
      </c>
      <c r="L29" s="5" t="s">
        <v>75</v>
      </c>
      <c r="M29" s="5" t="s">
        <v>84</v>
      </c>
      <c r="N29" s="5" t="s">
        <v>43</v>
      </c>
      <c r="O29" s="8" t="s">
        <v>68</v>
      </c>
      <c r="P29" s="8">
        <f>6*4+4</f>
        <v>28</v>
      </c>
      <c r="Q29" s="5" t="s">
        <v>33</v>
      </c>
      <c r="R29" s="5" t="s">
        <v>12</v>
      </c>
      <c r="S29" s="5" t="s">
        <v>36</v>
      </c>
      <c r="T29" s="5">
        <v>1</v>
      </c>
      <c r="U29" s="5">
        <v>10</v>
      </c>
      <c r="V29" s="8">
        <v>10</v>
      </c>
    </row>
    <row r="30" spans="1:31" ht="15">
      <c r="A30" s="2" t="s">
        <v>22</v>
      </c>
      <c r="B30" s="3">
        <v>0.35294117647058826</v>
      </c>
      <c r="C30" s="2">
        <v>6</v>
      </c>
      <c r="D30" s="2" t="s">
        <v>44</v>
      </c>
      <c r="E30" s="7">
        <f t="shared" ref="E30:E33" si="0">C30</f>
        <v>6</v>
      </c>
      <c r="G30" s="1" t="s">
        <v>24</v>
      </c>
      <c r="H30" s="1">
        <v>1</v>
      </c>
      <c r="I30" s="6">
        <f t="shared" ref="I30:I33" si="1">H30/$B$23</f>
        <v>5.8823529411764705E-2</v>
      </c>
      <c r="J30" s="9">
        <f t="shared" ref="J30:J33" si="2">$B$22/H30</f>
        <v>36</v>
      </c>
      <c r="L30" s="5" t="s">
        <v>76</v>
      </c>
      <c r="M30" s="5" t="s">
        <v>89</v>
      </c>
      <c r="N30" s="5" t="s">
        <v>85</v>
      </c>
      <c r="O30" s="22" t="s">
        <v>82</v>
      </c>
      <c r="P30" s="8">
        <f>100+18</f>
        <v>118</v>
      </c>
      <c r="Q30" s="5" t="s">
        <v>38</v>
      </c>
      <c r="R30" s="5" t="s">
        <v>39</v>
      </c>
      <c r="S30" s="1" t="s">
        <v>43</v>
      </c>
      <c r="T30" s="5">
        <v>4</v>
      </c>
      <c r="U30" s="5">
        <v>30</v>
      </c>
      <c r="V30" s="8">
        <f>U30/T30</f>
        <v>7.5</v>
      </c>
    </row>
    <row r="31" spans="1:31" ht="15">
      <c r="A31" s="2" t="s">
        <v>45</v>
      </c>
      <c r="B31" s="2" t="s">
        <v>46</v>
      </c>
      <c r="C31" s="2">
        <v>10</v>
      </c>
      <c r="D31" s="4">
        <v>7.5</v>
      </c>
      <c r="E31" s="7">
        <f>AVERAGE(C31:D31)</f>
        <v>8.75</v>
      </c>
      <c r="G31" s="1" t="s">
        <v>25</v>
      </c>
      <c r="H31" s="1">
        <v>2</v>
      </c>
      <c r="I31" s="6">
        <f t="shared" si="1"/>
        <v>0.11764705882352941</v>
      </c>
      <c r="J31" s="9">
        <f t="shared" si="2"/>
        <v>18</v>
      </c>
      <c r="L31" s="5" t="s">
        <v>81</v>
      </c>
      <c r="M31" s="5" t="s">
        <v>48</v>
      </c>
      <c r="N31" s="5" t="s">
        <v>86</v>
      </c>
      <c r="O31" s="22" t="s">
        <v>82</v>
      </c>
      <c r="P31" s="8">
        <f>36+30*3</f>
        <v>126</v>
      </c>
      <c r="Q31" s="5" t="s">
        <v>47</v>
      </c>
      <c r="R31" s="5" t="s">
        <v>48</v>
      </c>
      <c r="S31" s="1" t="s">
        <v>87</v>
      </c>
      <c r="T31" s="5">
        <v>1</v>
      </c>
      <c r="U31" s="5">
        <f>36+3*5</f>
        <v>51</v>
      </c>
      <c r="V31" s="8">
        <v>51</v>
      </c>
    </row>
    <row r="32" spans="1:31" ht="15">
      <c r="A32" s="2" t="s">
        <v>26</v>
      </c>
      <c r="B32" s="3">
        <v>0.17647058823529413</v>
      </c>
      <c r="C32" s="2">
        <v>12</v>
      </c>
      <c r="D32" s="2" t="s">
        <v>44</v>
      </c>
      <c r="E32" s="7">
        <f>C32</f>
        <v>12</v>
      </c>
      <c r="G32" s="1" t="s">
        <v>26</v>
      </c>
      <c r="H32" s="1">
        <v>3</v>
      </c>
      <c r="I32" s="6">
        <f t="shared" si="1"/>
        <v>0.17647058823529413</v>
      </c>
      <c r="J32" s="9">
        <f t="shared" si="2"/>
        <v>12</v>
      </c>
      <c r="L32" s="5" t="s">
        <v>78</v>
      </c>
      <c r="M32" s="5" t="s">
        <v>88</v>
      </c>
      <c r="N32" s="5" t="s">
        <v>87</v>
      </c>
      <c r="O32" s="8" t="s">
        <v>68</v>
      </c>
      <c r="P32" s="8">
        <f>1*36+3*6</f>
        <v>54</v>
      </c>
      <c r="Q32" s="5" t="s">
        <v>53</v>
      </c>
      <c r="R32" s="5" t="s">
        <v>56</v>
      </c>
      <c r="S32" s="1" t="s">
        <v>57</v>
      </c>
      <c r="T32" s="5">
        <v>3</v>
      </c>
      <c r="U32" s="2">
        <f>18*2+9*6</f>
        <v>90</v>
      </c>
      <c r="V32" s="7">
        <f>U32/T32</f>
        <v>30</v>
      </c>
    </row>
    <row r="33" spans="1:27" ht="15">
      <c r="A33" s="2" t="s">
        <v>25</v>
      </c>
      <c r="B33" s="3">
        <v>0.11764705882352941</v>
      </c>
      <c r="C33" s="2">
        <v>18</v>
      </c>
      <c r="D33" s="2" t="s">
        <v>44</v>
      </c>
      <c r="E33" s="7">
        <f t="shared" si="0"/>
        <v>18</v>
      </c>
      <c r="G33" s="1" t="s">
        <v>27</v>
      </c>
      <c r="H33" s="1">
        <v>1</v>
      </c>
      <c r="I33" s="6">
        <f t="shared" si="1"/>
        <v>5.8823529411764705E-2</v>
      </c>
      <c r="J33" s="9">
        <f t="shared" si="2"/>
        <v>36</v>
      </c>
      <c r="L33" s="5" t="s">
        <v>79</v>
      </c>
      <c r="M33" s="5" t="s">
        <v>58</v>
      </c>
      <c r="N33" s="5" t="s">
        <v>90</v>
      </c>
      <c r="O33" s="22" t="s">
        <v>82</v>
      </c>
      <c r="P33" s="8">
        <f>51*2+2*30</f>
        <v>162</v>
      </c>
      <c r="Q33" s="5" t="s">
        <v>50</v>
      </c>
      <c r="R33" s="5" t="s">
        <v>54</v>
      </c>
      <c r="S33" s="1" t="s">
        <v>55</v>
      </c>
      <c r="T33" s="5">
        <v>1</v>
      </c>
      <c r="U33" s="2">
        <f>51 * 3 +3 * 36</f>
        <v>261</v>
      </c>
      <c r="V33" s="7">
        <v>261</v>
      </c>
    </row>
    <row r="34" spans="1:27" ht="15">
      <c r="A34" s="2" t="s">
        <v>24</v>
      </c>
      <c r="B34" s="3">
        <v>5.8823529411764698E-2</v>
      </c>
      <c r="C34" s="2">
        <v>36</v>
      </c>
      <c r="D34" s="2">
        <v>30</v>
      </c>
      <c r="E34" s="7">
        <f>AVERAGE(C34:D34)</f>
        <v>33</v>
      </c>
      <c r="L34" s="5" t="s">
        <v>80</v>
      </c>
      <c r="M34" s="5" t="s">
        <v>94</v>
      </c>
      <c r="N34" s="5" t="s">
        <v>93</v>
      </c>
      <c r="O34" s="23" t="s">
        <v>83</v>
      </c>
      <c r="P34" s="8">
        <f>283*1+6*30</f>
        <v>463</v>
      </c>
      <c r="Q34" s="5" t="s">
        <v>50</v>
      </c>
      <c r="R34" s="5" t="s">
        <v>59</v>
      </c>
      <c r="S34" s="1" t="s">
        <v>60</v>
      </c>
      <c r="T34" s="5">
        <v>2</v>
      </c>
      <c r="U34" s="2">
        <f>51 * 4 +4 * 36</f>
        <v>348</v>
      </c>
      <c r="V34" s="7">
        <f>U34/T34</f>
        <v>174</v>
      </c>
    </row>
    <row r="35" spans="1:27" ht="15">
      <c r="A35" s="2" t="s">
        <v>27</v>
      </c>
      <c r="B35" s="3">
        <v>5.8823529411764705E-2</v>
      </c>
      <c r="C35" s="2">
        <v>36</v>
      </c>
      <c r="D35" s="2" t="s">
        <v>44</v>
      </c>
      <c r="E35" s="7">
        <f>C35</f>
        <v>36</v>
      </c>
      <c r="L35" s="5" t="s">
        <v>77</v>
      </c>
      <c r="M35" s="5" t="s">
        <v>92</v>
      </c>
      <c r="N35" s="5" t="s">
        <v>91</v>
      </c>
      <c r="O35" s="23" t="s">
        <v>83</v>
      </c>
      <c r="P35" s="8">
        <f>12*10+6*30</f>
        <v>300</v>
      </c>
      <c r="Q35" s="5" t="s">
        <v>49</v>
      </c>
      <c r="R35" s="5" t="s">
        <v>51</v>
      </c>
      <c r="S35" s="1" t="s">
        <v>52</v>
      </c>
      <c r="T35" s="5">
        <v>1</v>
      </c>
      <c r="U35" s="2">
        <f>217*1+2*33</f>
        <v>283</v>
      </c>
      <c r="V35" s="7">
        <f>217*1+2*33</f>
        <v>283</v>
      </c>
    </row>
    <row r="36" spans="1:27" ht="15">
      <c r="A36" s="2" t="s">
        <v>47</v>
      </c>
      <c r="B36" s="2" t="s">
        <v>46</v>
      </c>
      <c r="C36" s="5">
        <v>66</v>
      </c>
      <c r="D36" s="2" t="s">
        <v>44</v>
      </c>
      <c r="E36" s="8">
        <v>51</v>
      </c>
    </row>
    <row r="37" spans="1:27" ht="15">
      <c r="A37" s="2" t="s">
        <v>50</v>
      </c>
      <c r="B37" s="5" t="s">
        <v>46</v>
      </c>
      <c r="C37" s="5">
        <v>261</v>
      </c>
      <c r="D37" s="5">
        <v>174</v>
      </c>
      <c r="E37" s="8">
        <f>AVERAGE(C37:D37)</f>
        <v>217.5</v>
      </c>
    </row>
    <row r="38" spans="1:27" ht="15">
      <c r="A38" s="2" t="s">
        <v>49</v>
      </c>
      <c r="B38" s="5" t="s">
        <v>46</v>
      </c>
      <c r="C38" s="2">
        <f>217*1+2*33</f>
        <v>283</v>
      </c>
      <c r="D38" s="2" t="s">
        <v>44</v>
      </c>
      <c r="E38" s="7">
        <f>C38</f>
        <v>283</v>
      </c>
    </row>
    <row r="42" spans="1:27" ht="15">
      <c r="D42" s="2" t="s">
        <v>102</v>
      </c>
      <c r="E42" s="8" t="s">
        <v>0</v>
      </c>
      <c r="F42" s="5" t="s">
        <v>103</v>
      </c>
      <c r="G42" s="2" t="s">
        <v>102</v>
      </c>
      <c r="H42" s="8" t="s">
        <v>0</v>
      </c>
      <c r="I42" s="5" t="s">
        <v>103</v>
      </c>
      <c r="J42" s="2" t="s">
        <v>102</v>
      </c>
      <c r="K42" s="8" t="s">
        <v>143</v>
      </c>
      <c r="L42" s="5" t="s">
        <v>103</v>
      </c>
      <c r="M42" s="2" t="s">
        <v>102</v>
      </c>
      <c r="N42" s="22" t="s">
        <v>82</v>
      </c>
      <c r="O42" s="5" t="s">
        <v>103</v>
      </c>
      <c r="P42" s="2" t="s">
        <v>102</v>
      </c>
      <c r="Q42" s="22" t="s">
        <v>82</v>
      </c>
      <c r="R42" s="5" t="s">
        <v>103</v>
      </c>
      <c r="S42" s="2" t="s">
        <v>102</v>
      </c>
      <c r="T42" s="22" t="s">
        <v>153</v>
      </c>
      <c r="U42" s="5" t="s">
        <v>103</v>
      </c>
      <c r="V42" s="2" t="s">
        <v>102</v>
      </c>
      <c r="W42" s="23" t="s">
        <v>83</v>
      </c>
      <c r="X42" s="5" t="s">
        <v>103</v>
      </c>
      <c r="Y42" s="2" t="s">
        <v>102</v>
      </c>
      <c r="Z42" s="23" t="s">
        <v>83</v>
      </c>
      <c r="AA42" s="5" t="s">
        <v>103</v>
      </c>
    </row>
    <row r="43" spans="1:27" ht="15">
      <c r="D43" s="2" t="s">
        <v>133</v>
      </c>
      <c r="E43" s="5" t="s">
        <v>136</v>
      </c>
      <c r="F43" s="5"/>
      <c r="G43" s="2" t="s">
        <v>133</v>
      </c>
      <c r="H43" s="5" t="s">
        <v>140</v>
      </c>
      <c r="I43" s="5"/>
      <c r="J43" s="2" t="s">
        <v>133</v>
      </c>
      <c r="K43" s="5" t="s">
        <v>142</v>
      </c>
      <c r="L43" s="5"/>
      <c r="M43" s="2" t="s">
        <v>133</v>
      </c>
      <c r="N43" s="5" t="s">
        <v>144</v>
      </c>
      <c r="O43" s="5"/>
      <c r="P43" s="2" t="s">
        <v>133</v>
      </c>
      <c r="Q43" s="5" t="s">
        <v>146</v>
      </c>
      <c r="R43" s="5"/>
      <c r="S43" s="2" t="s">
        <v>133</v>
      </c>
      <c r="T43" s="5" t="s">
        <v>149</v>
      </c>
      <c r="U43" s="5"/>
      <c r="V43" s="2" t="s">
        <v>133</v>
      </c>
      <c r="W43" s="5" t="s">
        <v>72</v>
      </c>
      <c r="X43" s="5"/>
      <c r="Y43" s="2" t="s">
        <v>133</v>
      </c>
      <c r="Z43" s="5" t="s">
        <v>151</v>
      </c>
      <c r="AA43" s="5"/>
    </row>
    <row r="44" spans="1:27" ht="15">
      <c r="D44" s="2" t="s">
        <v>3</v>
      </c>
      <c r="E44" s="11" t="s">
        <v>132</v>
      </c>
      <c r="F44" s="11"/>
      <c r="G44" s="2" t="s">
        <v>3</v>
      </c>
      <c r="H44" s="11" t="s">
        <v>139</v>
      </c>
      <c r="I44" s="11"/>
      <c r="J44" s="2" t="s">
        <v>3</v>
      </c>
      <c r="K44" s="11" t="s">
        <v>141</v>
      </c>
      <c r="L44" s="11"/>
      <c r="M44" s="2" t="s">
        <v>3</v>
      </c>
      <c r="N44" s="11" t="s">
        <v>147</v>
      </c>
      <c r="O44" s="11"/>
      <c r="P44" s="2" t="s">
        <v>3</v>
      </c>
      <c r="Q44" s="11" t="s">
        <v>145</v>
      </c>
      <c r="R44" s="11"/>
      <c r="S44" s="2" t="s">
        <v>3</v>
      </c>
      <c r="T44" s="11" t="s">
        <v>152</v>
      </c>
      <c r="U44" s="11"/>
      <c r="V44" s="2" t="s">
        <v>3</v>
      </c>
      <c r="W44" s="11" t="s">
        <v>148</v>
      </c>
      <c r="X44" s="11"/>
      <c r="Y44" s="2" t="s">
        <v>3</v>
      </c>
      <c r="Z44" s="11" t="s">
        <v>150</v>
      </c>
      <c r="AA44" s="11"/>
    </row>
    <row r="45" spans="1:27" ht="15">
      <c r="D45" s="2" t="s">
        <v>8</v>
      </c>
      <c r="E45" s="2">
        <f>1/1</f>
        <v>1</v>
      </c>
      <c r="F45" s="2">
        <f>E45/1</f>
        <v>1</v>
      </c>
      <c r="G45" s="2" t="s">
        <v>8</v>
      </c>
      <c r="H45" s="2">
        <f>6/2</f>
        <v>3</v>
      </c>
      <c r="I45" s="2">
        <f>H45/1</f>
        <v>3</v>
      </c>
      <c r="J45" s="2" t="s">
        <v>8</v>
      </c>
      <c r="K45" s="4">
        <f>12/3.5</f>
        <v>3.4285714285714284</v>
      </c>
      <c r="L45" s="4">
        <f>K45/1</f>
        <v>3.4285714285714284</v>
      </c>
      <c r="M45" s="2" t="s">
        <v>8</v>
      </c>
      <c r="N45" s="2">
        <v>4</v>
      </c>
      <c r="O45" s="2">
        <f>N45/1</f>
        <v>4</v>
      </c>
      <c r="P45" s="2" t="s">
        <v>8</v>
      </c>
      <c r="Q45" s="2">
        <v>0</v>
      </c>
      <c r="R45" s="2">
        <f>Q45/1</f>
        <v>0</v>
      </c>
      <c r="S45" s="2" t="s">
        <v>8</v>
      </c>
      <c r="T45" s="2">
        <v>8</v>
      </c>
      <c r="U45" s="2">
        <f>T45/1</f>
        <v>8</v>
      </c>
      <c r="V45" s="2" t="s">
        <v>8</v>
      </c>
      <c r="W45" s="2">
        <f>15/1.5</f>
        <v>10</v>
      </c>
      <c r="X45" s="2">
        <f>W45/1</f>
        <v>10</v>
      </c>
      <c r="Y45" s="2" t="s">
        <v>8</v>
      </c>
      <c r="Z45" s="2">
        <v>10</v>
      </c>
      <c r="AA45" s="2">
        <f>Z45/1</f>
        <v>10</v>
      </c>
    </row>
    <row r="46" spans="1:27" ht="15">
      <c r="D46" s="2" t="s">
        <v>4</v>
      </c>
      <c r="E46" s="2">
        <v>15</v>
      </c>
      <c r="F46" s="2">
        <f>E46/5</f>
        <v>3</v>
      </c>
      <c r="G46" s="2" t="s">
        <v>4</v>
      </c>
      <c r="H46" s="2">
        <v>25</v>
      </c>
      <c r="I46" s="2">
        <f>H46/5</f>
        <v>5</v>
      </c>
      <c r="J46" s="2" t="s">
        <v>4</v>
      </c>
      <c r="K46" s="2">
        <v>20</v>
      </c>
      <c r="L46" s="2">
        <f>K46/5</f>
        <v>4</v>
      </c>
      <c r="M46" s="2" t="s">
        <v>4</v>
      </c>
      <c r="N46" s="2">
        <v>45</v>
      </c>
      <c r="O46" s="2">
        <f>N46/5</f>
        <v>9</v>
      </c>
      <c r="P46" s="2" t="s">
        <v>4</v>
      </c>
      <c r="Q46" s="2">
        <v>30</v>
      </c>
      <c r="R46" s="2">
        <f>Q46/5</f>
        <v>6</v>
      </c>
      <c r="S46" s="2" t="s">
        <v>4</v>
      </c>
      <c r="T46" s="2">
        <v>35</v>
      </c>
      <c r="U46" s="2">
        <f>T46/5</f>
        <v>7</v>
      </c>
      <c r="V46" s="2" t="s">
        <v>4</v>
      </c>
      <c r="W46" s="2">
        <v>60</v>
      </c>
      <c r="X46" s="2">
        <f>W46/5</f>
        <v>12</v>
      </c>
      <c r="Y46" s="2" t="s">
        <v>4</v>
      </c>
      <c r="Z46" s="2">
        <v>100</v>
      </c>
      <c r="AA46" s="2">
        <f>Z46/5</f>
        <v>20</v>
      </c>
    </row>
    <row r="47" spans="1:27" ht="15">
      <c r="D47" s="2" t="s">
        <v>100</v>
      </c>
      <c r="E47" s="2">
        <v>30</v>
      </c>
      <c r="F47" s="2">
        <f>E47/20</f>
        <v>1.5</v>
      </c>
      <c r="G47" s="2" t="s">
        <v>100</v>
      </c>
      <c r="H47" s="2">
        <v>30</v>
      </c>
      <c r="I47" s="2">
        <f>H47/20</f>
        <v>1.5</v>
      </c>
      <c r="J47" s="2" t="s">
        <v>100</v>
      </c>
      <c r="K47" s="2">
        <v>100</v>
      </c>
      <c r="L47" s="2">
        <f>K47/20</f>
        <v>5</v>
      </c>
      <c r="M47" s="2" t="s">
        <v>100</v>
      </c>
      <c r="N47" s="2">
        <v>30</v>
      </c>
      <c r="O47" s="2">
        <f>N47/20</f>
        <v>1.5</v>
      </c>
      <c r="P47" s="2" t="s">
        <v>100</v>
      </c>
      <c r="Q47" s="2">
        <v>300</v>
      </c>
      <c r="R47" s="2">
        <f>Q47/20</f>
        <v>15</v>
      </c>
      <c r="S47" s="2" t="s">
        <v>100</v>
      </c>
      <c r="T47" s="2">
        <v>200</v>
      </c>
      <c r="U47" s="2">
        <f>T47/20</f>
        <v>10</v>
      </c>
      <c r="V47" s="2" t="s">
        <v>100</v>
      </c>
      <c r="W47" s="2">
        <v>30</v>
      </c>
      <c r="X47" s="2">
        <f>W47/20</f>
        <v>1.5</v>
      </c>
      <c r="Y47" s="2" t="s">
        <v>100</v>
      </c>
      <c r="Z47" s="2">
        <v>30</v>
      </c>
      <c r="AA47" s="2">
        <f>Z47/20</f>
        <v>1.5</v>
      </c>
    </row>
    <row r="48" spans="1:27" ht="15">
      <c r="D48" s="2" t="s">
        <v>14</v>
      </c>
      <c r="E48" s="2">
        <v>75</v>
      </c>
      <c r="F48" s="2">
        <f>E48/10</f>
        <v>7.5</v>
      </c>
      <c r="G48" s="2" t="s">
        <v>14</v>
      </c>
      <c r="H48" s="2">
        <v>50</v>
      </c>
      <c r="I48" s="2">
        <f>H48/10</f>
        <v>5</v>
      </c>
      <c r="J48" s="2" t="s">
        <v>14</v>
      </c>
      <c r="K48" s="2">
        <v>70</v>
      </c>
      <c r="L48" s="2">
        <f>K48/10</f>
        <v>7</v>
      </c>
      <c r="M48" s="2" t="s">
        <v>14</v>
      </c>
      <c r="N48" s="2">
        <v>60</v>
      </c>
      <c r="O48" s="2">
        <f>N48/10</f>
        <v>6</v>
      </c>
      <c r="P48" s="2" t="s">
        <v>14</v>
      </c>
      <c r="Q48" s="2">
        <v>50</v>
      </c>
      <c r="R48" s="2">
        <f>Q48/10</f>
        <v>5</v>
      </c>
      <c r="S48" s="2" t="s">
        <v>14</v>
      </c>
      <c r="T48" s="2">
        <v>50</v>
      </c>
      <c r="U48" s="2">
        <f>T48/10</f>
        <v>5</v>
      </c>
      <c r="V48" s="2" t="s">
        <v>14</v>
      </c>
      <c r="W48" s="2">
        <v>50</v>
      </c>
      <c r="X48" s="2">
        <f>W48/10</f>
        <v>5</v>
      </c>
      <c r="Y48" s="2" t="s">
        <v>14</v>
      </c>
      <c r="Z48" s="2">
        <v>100</v>
      </c>
      <c r="AA48" s="2">
        <f>Z48/10</f>
        <v>10</v>
      </c>
    </row>
    <row r="49" spans="1:27" ht="15">
      <c r="D49" s="2" t="s">
        <v>137</v>
      </c>
      <c r="E49" s="20">
        <f>AVERAGE($B$6,$D$6,$F$6,$H$6)/F45</f>
        <v>21.25</v>
      </c>
      <c r="F49" s="21"/>
      <c r="G49" s="2" t="s">
        <v>137</v>
      </c>
      <c r="H49" s="20">
        <f>AVERAGE($B$6,$D$6,$F$6,$H$6)/I45</f>
        <v>7.083333333333333</v>
      </c>
      <c r="I49" s="21"/>
      <c r="J49" s="2" t="s">
        <v>137</v>
      </c>
      <c r="K49" s="20">
        <f>AVERAGE($B$6,$D$6,$F$6,$H$6)/L45</f>
        <v>6.197916666666667</v>
      </c>
      <c r="L49" s="21"/>
      <c r="M49" s="2" t="s">
        <v>137</v>
      </c>
      <c r="N49" s="20">
        <f>AVERAGE($J$6,$L$6,$N$6,$P$6,$R$6,$T$6,$T$6)/N45</f>
        <v>15.178571428571429</v>
      </c>
      <c r="O49" s="21"/>
      <c r="P49" s="2" t="s">
        <v>137</v>
      </c>
      <c r="Q49" s="20" t="e">
        <f>AVERAGE($J$6,$L$6,$N$6,$P$6,$R$6,$T$6,$T$6)/Q45</f>
        <v>#DIV/0!</v>
      </c>
      <c r="R49" s="21"/>
      <c r="S49" s="2" t="s">
        <v>137</v>
      </c>
      <c r="T49" s="20">
        <f>AVERAGE($J$6,$L$6,$N$6,$P$6,$R$6,$T$6,$T$6)/T45</f>
        <v>7.5892857142857144</v>
      </c>
      <c r="U49" s="21"/>
      <c r="V49" s="2" t="s">
        <v>137</v>
      </c>
      <c r="W49" s="20">
        <f>AVERAGE($T$6,$Z$6,$AB$6,$AD$6)/X45</f>
        <v>10.050000000000001</v>
      </c>
      <c r="X49" s="21"/>
      <c r="Y49" s="2" t="s">
        <v>137</v>
      </c>
      <c r="Z49" s="20">
        <f>AVERAGE($T$6,$Z$6,$AB$6,$AD$6)/AA45</f>
        <v>10.050000000000001</v>
      </c>
      <c r="AA49" s="21"/>
    </row>
    <row r="50" spans="1:27" ht="15">
      <c r="D50" s="2" t="s">
        <v>138</v>
      </c>
      <c r="E50" s="20">
        <f>E46/AVERAGE($B$5,$D$5,$F$5)</f>
        <v>6.279069767441861</v>
      </c>
      <c r="F50" s="21"/>
      <c r="G50" s="2" t="s">
        <v>138</v>
      </c>
      <c r="H50" s="20">
        <f>H46/AVERAGE($B$5,$D$5,$F$5)</f>
        <v>10.465116279069768</v>
      </c>
      <c r="I50" s="21"/>
      <c r="J50" s="2" t="s">
        <v>138</v>
      </c>
      <c r="K50" s="20">
        <f>N46/AVERAGE($J$5,$L$5,$N$5,$R$5)</f>
        <v>6.0902255639097742</v>
      </c>
      <c r="L50" s="21"/>
      <c r="M50" s="2" t="s">
        <v>138</v>
      </c>
      <c r="N50" s="20">
        <f>N46/AVERAGE($B$5,$D$5,$F$5)</f>
        <v>18.837209302325583</v>
      </c>
      <c r="O50" s="21"/>
      <c r="P50" s="2" t="s">
        <v>138</v>
      </c>
      <c r="Q50" s="20">
        <f>Q46/AVERAGE($B$5,$D$5,$F$5)</f>
        <v>12.558139534883722</v>
      </c>
      <c r="R50" s="21"/>
      <c r="S50" s="2" t="s">
        <v>138</v>
      </c>
      <c r="T50" s="20">
        <f>T46/AVERAGE($B$5,$D$5,$F$5)</f>
        <v>14.651162790697676</v>
      </c>
      <c r="U50" s="21"/>
      <c r="V50" s="2" t="s">
        <v>138</v>
      </c>
      <c r="W50" s="20">
        <f>W46/AVERAGE($T$5,$Z$5,$AB$5,$AD$5)</f>
        <v>4</v>
      </c>
      <c r="X50" s="21"/>
      <c r="Y50" s="2" t="s">
        <v>138</v>
      </c>
      <c r="Z50" s="20">
        <f>Z46/AVERAGE($T$5,$Z$5,$AB$5,$AD$5)</f>
        <v>6.666666666666667</v>
      </c>
      <c r="AA50" s="21"/>
    </row>
    <row r="51" spans="1:27" ht="15">
      <c r="D51" s="2" t="s">
        <v>105</v>
      </c>
      <c r="E51" s="13">
        <f>SUM(F45:F48)</f>
        <v>13</v>
      </c>
      <c r="F51" s="13"/>
      <c r="G51" s="2" t="s">
        <v>105</v>
      </c>
      <c r="H51" s="13">
        <f>SUM(I45:I48)</f>
        <v>14.5</v>
      </c>
      <c r="I51" s="13"/>
      <c r="J51" s="2" t="s">
        <v>105</v>
      </c>
      <c r="K51" s="15">
        <f>SUM(L45:L48)</f>
        <v>19.428571428571431</v>
      </c>
      <c r="L51" s="15"/>
      <c r="M51" s="2" t="s">
        <v>105</v>
      </c>
      <c r="N51" s="13">
        <f>SUM(O45:O48)</f>
        <v>20.5</v>
      </c>
      <c r="O51" s="13"/>
      <c r="P51" s="2" t="s">
        <v>105</v>
      </c>
      <c r="Q51" s="13">
        <f>SUM(R45:R48)</f>
        <v>26</v>
      </c>
      <c r="R51" s="13"/>
      <c r="S51" s="2" t="s">
        <v>105</v>
      </c>
      <c r="T51" s="13">
        <f>SUM(U45:U48)</f>
        <v>30</v>
      </c>
      <c r="U51" s="13"/>
      <c r="V51" s="2" t="s">
        <v>105</v>
      </c>
      <c r="W51" s="13">
        <f>SUM(X45:X48)</f>
        <v>28.5</v>
      </c>
      <c r="X51" s="13"/>
      <c r="Y51" s="2" t="s">
        <v>105</v>
      </c>
      <c r="Z51" s="13">
        <f>SUM(AA45:AA48)</f>
        <v>41.5</v>
      </c>
      <c r="AA51" s="13"/>
    </row>
    <row r="52" spans="1:27" ht="15">
      <c r="A52" t="s">
        <v>104</v>
      </c>
      <c r="B52" t="s">
        <v>95</v>
      </c>
      <c r="D52" s="2" t="s">
        <v>9</v>
      </c>
      <c r="E52" s="2" t="s">
        <v>44</v>
      </c>
      <c r="F52" s="2"/>
      <c r="G52" s="2" t="s">
        <v>9</v>
      </c>
      <c r="H52" s="2" t="s">
        <v>44</v>
      </c>
      <c r="I52" s="2"/>
      <c r="J52" s="2" t="s">
        <v>9</v>
      </c>
      <c r="K52" s="2" t="s">
        <v>154</v>
      </c>
      <c r="L52" s="2"/>
      <c r="M52" s="2" t="s">
        <v>9</v>
      </c>
      <c r="N52" s="2" t="s">
        <v>44</v>
      </c>
      <c r="O52" s="2"/>
      <c r="P52" s="2" t="s">
        <v>9</v>
      </c>
      <c r="Q52" s="2" t="s">
        <v>128</v>
      </c>
      <c r="R52" s="2"/>
      <c r="S52" s="2" t="s">
        <v>9</v>
      </c>
      <c r="T52" s="2" t="s">
        <v>44</v>
      </c>
      <c r="U52" s="2"/>
      <c r="V52" s="2" t="s">
        <v>9</v>
      </c>
      <c r="W52" s="2" t="s">
        <v>44</v>
      </c>
      <c r="X52" s="2"/>
      <c r="Y52" s="2" t="s">
        <v>9</v>
      </c>
      <c r="Z52" s="2" t="s">
        <v>44</v>
      </c>
      <c r="AA52" s="2"/>
    </row>
    <row r="53" spans="1:27" ht="15">
      <c r="A53" t="s">
        <v>96</v>
      </c>
      <c r="D53" s="2" t="s">
        <v>13</v>
      </c>
      <c r="E53" s="2"/>
      <c r="F53" s="2"/>
      <c r="G53" s="2" t="s">
        <v>13</v>
      </c>
      <c r="H53" s="2"/>
      <c r="I53" s="2"/>
      <c r="J53" s="2" t="s">
        <v>13</v>
      </c>
      <c r="K53" s="2"/>
      <c r="L53" s="2"/>
      <c r="M53" s="2" t="s">
        <v>13</v>
      </c>
      <c r="N53" s="2"/>
      <c r="O53" s="2"/>
      <c r="P53" s="2" t="s">
        <v>13</v>
      </c>
      <c r="Q53" s="2" t="s">
        <v>187</v>
      </c>
      <c r="R53" s="2">
        <v>6</v>
      </c>
      <c r="S53" s="2" t="s">
        <v>13</v>
      </c>
      <c r="T53" s="2"/>
      <c r="U53" s="2"/>
      <c r="V53" s="2" t="s">
        <v>13</v>
      </c>
      <c r="W53" s="2"/>
      <c r="X53" s="2"/>
      <c r="Y53" s="2" t="s">
        <v>13</v>
      </c>
      <c r="Z53" s="2"/>
      <c r="AA53" s="2"/>
    </row>
    <row r="54" spans="1:27" ht="15">
      <c r="A54" t="s">
        <v>97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>
      <c r="A55" t="s">
        <v>98</v>
      </c>
      <c r="D55" s="2" t="s">
        <v>117</v>
      </c>
      <c r="E55" s="2"/>
      <c r="F55" s="2"/>
      <c r="G55" s="2" t="s">
        <v>117</v>
      </c>
      <c r="H55" s="2"/>
      <c r="I55" s="2"/>
      <c r="J55" s="2" t="s">
        <v>117</v>
      </c>
      <c r="K55" s="2"/>
      <c r="L55" s="2"/>
      <c r="M55" s="2" t="s">
        <v>117</v>
      </c>
      <c r="N55" s="2"/>
      <c r="O55" s="2"/>
      <c r="P55" s="2" t="s">
        <v>117</v>
      </c>
      <c r="Q55" s="2"/>
      <c r="R55" s="2"/>
      <c r="S55" s="2" t="s">
        <v>117</v>
      </c>
      <c r="T55" s="2"/>
      <c r="U55" s="2"/>
      <c r="V55" s="2" t="s">
        <v>117</v>
      </c>
      <c r="W55" s="2"/>
      <c r="X55" s="2"/>
      <c r="Y55" s="2" t="s">
        <v>117</v>
      </c>
      <c r="Z55" s="2"/>
      <c r="AA55" s="2"/>
    </row>
    <row r="56" spans="1:27" ht="15">
      <c r="A56" t="s">
        <v>99</v>
      </c>
      <c r="D56" s="2" t="s">
        <v>106</v>
      </c>
      <c r="E56" s="2"/>
      <c r="F56" s="2">
        <v>0</v>
      </c>
      <c r="G56" s="2" t="s">
        <v>106</v>
      </c>
      <c r="H56" s="2"/>
      <c r="I56" s="2"/>
      <c r="J56" s="2" t="s">
        <v>106</v>
      </c>
      <c r="K56" s="2"/>
      <c r="L56" s="2"/>
      <c r="M56" s="2" t="s">
        <v>106</v>
      </c>
      <c r="N56" s="2"/>
      <c r="O56" s="2"/>
      <c r="P56" s="2" t="s">
        <v>106</v>
      </c>
      <c r="Q56" s="2"/>
      <c r="R56" s="2">
        <f>SUM(R52:R55)</f>
        <v>6</v>
      </c>
      <c r="S56" s="2" t="s">
        <v>106</v>
      </c>
      <c r="T56" s="2"/>
      <c r="U56" s="2"/>
      <c r="V56" s="2" t="s">
        <v>106</v>
      </c>
      <c r="W56" s="2"/>
      <c r="X56" s="2"/>
      <c r="Y56" s="2" t="s">
        <v>106</v>
      </c>
      <c r="Z56" s="2"/>
      <c r="AA56" s="2"/>
    </row>
    <row r="57" spans="1:27" ht="15">
      <c r="A57" t="s">
        <v>101</v>
      </c>
      <c r="D57" s="2" t="s">
        <v>110</v>
      </c>
      <c r="E57" s="2"/>
      <c r="F57" s="7">
        <f>F56+E51</f>
        <v>13</v>
      </c>
      <c r="G57" s="2" t="s">
        <v>110</v>
      </c>
      <c r="H57" s="2"/>
      <c r="I57" s="7">
        <f>I56+H51</f>
        <v>14.5</v>
      </c>
      <c r="J57" s="2" t="s">
        <v>110</v>
      </c>
      <c r="K57" s="2"/>
      <c r="L57" s="7">
        <f>L56+K51</f>
        <v>19.428571428571431</v>
      </c>
      <c r="M57" s="2" t="s">
        <v>110</v>
      </c>
      <c r="N57" s="2"/>
      <c r="O57" s="7">
        <f>O56+N51</f>
        <v>20.5</v>
      </c>
      <c r="P57" s="2" t="s">
        <v>110</v>
      </c>
      <c r="Q57" s="2"/>
      <c r="R57" s="7">
        <f>R56+Q51</f>
        <v>32</v>
      </c>
      <c r="S57" s="2" t="s">
        <v>110</v>
      </c>
      <c r="T57" s="2"/>
      <c r="U57" s="7">
        <f>U56+T51</f>
        <v>30</v>
      </c>
      <c r="V57" s="2" t="s">
        <v>110</v>
      </c>
      <c r="W57" s="2"/>
      <c r="X57" s="7">
        <f>X56+W51</f>
        <v>28.5</v>
      </c>
      <c r="Y57" s="2" t="s">
        <v>110</v>
      </c>
      <c r="Z57" s="2"/>
      <c r="AA57" s="7">
        <f>AA56+Z51</f>
        <v>41.5</v>
      </c>
    </row>
  </sheetData>
  <mergeCells count="77">
    <mergeCell ref="AD2:AE2"/>
    <mergeCell ref="AE3:AE4"/>
    <mergeCell ref="AD12:AE12"/>
    <mergeCell ref="AB12:AC12"/>
    <mergeCell ref="Z12:AA12"/>
    <mergeCell ref="X12:Y12"/>
    <mergeCell ref="Z2:AA2"/>
    <mergeCell ref="AA3:AA4"/>
    <mergeCell ref="X2:Y2"/>
    <mergeCell ref="Y3:Y4"/>
    <mergeCell ref="AB2:AC2"/>
    <mergeCell ref="AC3:AC4"/>
    <mergeCell ref="V2:W2"/>
    <mergeCell ref="W3:W4"/>
    <mergeCell ref="S3:S4"/>
    <mergeCell ref="N12:O12"/>
    <mergeCell ref="P12:Q12"/>
    <mergeCell ref="R12:S12"/>
    <mergeCell ref="V12:W12"/>
    <mergeCell ref="T12:U12"/>
    <mergeCell ref="J2:K2"/>
    <mergeCell ref="K3:K4"/>
    <mergeCell ref="J12:K12"/>
    <mergeCell ref="R2:S2"/>
    <mergeCell ref="T2:U2"/>
    <mergeCell ref="U3:U4"/>
    <mergeCell ref="N2:O2"/>
    <mergeCell ref="O3:O4"/>
    <mergeCell ref="P2:Q2"/>
    <mergeCell ref="Q3:Q4"/>
    <mergeCell ref="L2:M2"/>
    <mergeCell ref="M3:M4"/>
    <mergeCell ref="L12:M12"/>
    <mergeCell ref="W44:X44"/>
    <mergeCell ref="W49:X49"/>
    <mergeCell ref="W50:X50"/>
    <mergeCell ref="W51:X51"/>
    <mergeCell ref="Z44:AA44"/>
    <mergeCell ref="Z49:AA49"/>
    <mergeCell ref="Z50:AA50"/>
    <mergeCell ref="Z51:AA51"/>
    <mergeCell ref="Q44:R44"/>
    <mergeCell ref="Q49:R49"/>
    <mergeCell ref="Q50:R50"/>
    <mergeCell ref="Q51:R51"/>
    <mergeCell ref="T44:U44"/>
    <mergeCell ref="T49:U49"/>
    <mergeCell ref="T50:U50"/>
    <mergeCell ref="T51:U51"/>
    <mergeCell ref="K44:L44"/>
    <mergeCell ref="K49:L49"/>
    <mergeCell ref="K50:L50"/>
    <mergeCell ref="K51:L51"/>
    <mergeCell ref="N44:O44"/>
    <mergeCell ref="N49:O49"/>
    <mergeCell ref="N50:O50"/>
    <mergeCell ref="N51:O51"/>
    <mergeCell ref="E51:F51"/>
    <mergeCell ref="E50:F50"/>
    <mergeCell ref="E49:F49"/>
    <mergeCell ref="H44:I44"/>
    <mergeCell ref="H49:I49"/>
    <mergeCell ref="H50:I50"/>
    <mergeCell ref="H51:I51"/>
    <mergeCell ref="F12:G12"/>
    <mergeCell ref="H2:I2"/>
    <mergeCell ref="I3:I4"/>
    <mergeCell ref="H12:I12"/>
    <mergeCell ref="E44:F44"/>
    <mergeCell ref="B12:C12"/>
    <mergeCell ref="C3:C4"/>
    <mergeCell ref="B2:C2"/>
    <mergeCell ref="D2:E2"/>
    <mergeCell ref="E3:E4"/>
    <mergeCell ref="D12:E12"/>
    <mergeCell ref="F2:G2"/>
    <mergeCell ref="G3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Creature 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2024-09-13T13:14:41Z</dcterms:created>
  <dcterms:modified xsi:type="dcterms:W3CDTF">2024-09-13T20:46:40Z</dcterms:modified>
</cp:coreProperties>
</file>