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SR2025_Talal_CodeGenMetricsEval\"/>
    </mc:Choice>
  </mc:AlternateContent>
  <xr:revisionPtr revIDLastSave="0" documentId="8_{014D6CFF-5DCE-4534-B6FA-FDF3F1D2538A}" xr6:coauthVersionLast="47" xr6:coauthVersionMax="47" xr10:uidLastSave="{00000000-0000-0000-0000-000000000000}"/>
  <bookViews>
    <workbookView xWindow="-108" yWindow="-108" windowWidth="23256" windowHeight="12456" xr2:uid="{E7350194-7413-4787-A97F-010A6C6B33E1}"/>
  </bookViews>
  <sheets>
    <sheet name="Human Quality Factors TOPSIS" sheetId="1" r:id="rId1"/>
    <sheet name="Critical Quality Factors TOP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  <c r="B20" i="2"/>
  <c r="B19" i="2"/>
  <c r="B18" i="2"/>
  <c r="B17" i="2"/>
  <c r="B16" i="2"/>
  <c r="B15" i="2"/>
  <c r="F9" i="2"/>
  <c r="E9" i="2"/>
  <c r="D9" i="2"/>
  <c r="C9" i="2"/>
  <c r="F8" i="2"/>
  <c r="E8" i="2"/>
  <c r="D8" i="2"/>
  <c r="C8" i="2"/>
  <c r="F7" i="2"/>
  <c r="E7" i="2"/>
  <c r="D7" i="2"/>
  <c r="C7" i="2"/>
  <c r="F6" i="2"/>
  <c r="E6" i="2"/>
  <c r="D6" i="2"/>
  <c r="C6" i="2"/>
  <c r="F5" i="2"/>
  <c r="E5" i="2"/>
  <c r="D5" i="2"/>
  <c r="C5" i="2"/>
  <c r="F4" i="2"/>
  <c r="E4" i="2"/>
  <c r="D4" i="2"/>
  <c r="C4" i="2"/>
  <c r="F3" i="2"/>
  <c r="E3" i="2"/>
  <c r="D3" i="2"/>
  <c r="C3" i="2"/>
  <c r="K21" i="1"/>
  <c r="J21" i="1"/>
  <c r="I21" i="1"/>
  <c r="H21" i="1"/>
  <c r="G21" i="1"/>
  <c r="F21" i="1"/>
  <c r="E21" i="1"/>
  <c r="D21" i="1"/>
  <c r="C21" i="1"/>
  <c r="B21" i="1"/>
  <c r="K20" i="1"/>
  <c r="J20" i="1"/>
  <c r="I20" i="1"/>
  <c r="H20" i="1"/>
  <c r="G20" i="1"/>
  <c r="F20" i="1"/>
  <c r="E20" i="1"/>
  <c r="D20" i="1"/>
  <c r="C20" i="1"/>
  <c r="B20" i="1"/>
  <c r="K19" i="1"/>
  <c r="J19" i="1"/>
  <c r="I19" i="1"/>
  <c r="H19" i="1"/>
  <c r="G19" i="1"/>
  <c r="F19" i="1"/>
  <c r="E19" i="1"/>
  <c r="D19" i="1"/>
  <c r="C19" i="1"/>
  <c r="B19" i="1"/>
  <c r="K18" i="1"/>
  <c r="J18" i="1"/>
  <c r="I18" i="1"/>
  <c r="H18" i="1"/>
  <c r="G18" i="1"/>
  <c r="F18" i="1"/>
  <c r="E18" i="1"/>
  <c r="D18" i="1"/>
  <c r="C18" i="1"/>
  <c r="C25" i="1" s="1"/>
  <c r="B18" i="1"/>
  <c r="K17" i="1"/>
  <c r="J17" i="1"/>
  <c r="I17" i="1"/>
  <c r="H17" i="1"/>
  <c r="G17" i="1"/>
  <c r="F17" i="1"/>
  <c r="E17" i="1"/>
  <c r="D17" i="1"/>
  <c r="C17" i="1"/>
  <c r="B17" i="1"/>
  <c r="K16" i="1"/>
  <c r="J16" i="1"/>
  <c r="I16" i="1"/>
  <c r="H16" i="1"/>
  <c r="G16" i="1"/>
  <c r="F16" i="1"/>
  <c r="E16" i="1"/>
  <c r="D16" i="1"/>
  <c r="C16" i="1"/>
  <c r="B16" i="1"/>
  <c r="K15" i="1"/>
  <c r="K25" i="1" s="1"/>
  <c r="J15" i="1"/>
  <c r="I15" i="1"/>
  <c r="I25" i="1" s="1"/>
  <c r="H15" i="1"/>
  <c r="H25" i="1" s="1"/>
  <c r="G15" i="1"/>
  <c r="F15" i="1"/>
  <c r="E15" i="1"/>
  <c r="D15" i="1"/>
  <c r="C15" i="1"/>
  <c r="B15" i="1"/>
  <c r="N9" i="1"/>
  <c r="M9" i="1"/>
  <c r="M21" i="1" s="1"/>
  <c r="L9" i="1"/>
  <c r="N8" i="1"/>
  <c r="M8" i="1"/>
  <c r="L8" i="1"/>
  <c r="N7" i="1"/>
  <c r="M7" i="1"/>
  <c r="L7" i="1"/>
  <c r="N6" i="1"/>
  <c r="N18" i="1" s="1"/>
  <c r="M6" i="1"/>
  <c r="L6" i="1"/>
  <c r="N5" i="1"/>
  <c r="M5" i="1"/>
  <c r="L5" i="1"/>
  <c r="N4" i="1"/>
  <c r="M4" i="1"/>
  <c r="L4" i="1"/>
  <c r="L15" i="1" s="1"/>
  <c r="N3" i="1"/>
  <c r="M3" i="1"/>
  <c r="L3" i="1"/>
  <c r="F17" i="2" l="1"/>
  <c r="F15" i="2"/>
  <c r="E15" i="2"/>
  <c r="C21" i="2"/>
  <c r="C16" i="2"/>
  <c r="C19" i="2"/>
  <c r="D16" i="2"/>
  <c r="D17" i="2"/>
  <c r="F20" i="2"/>
  <c r="E17" i="2"/>
  <c r="D19" i="2"/>
  <c r="E19" i="2"/>
  <c r="F21" i="2"/>
  <c r="C18" i="2"/>
  <c r="C20" i="2"/>
  <c r="E18" i="2"/>
  <c r="E20" i="2"/>
  <c r="D21" i="2"/>
  <c r="E21" i="2"/>
  <c r="D20" i="2"/>
  <c r="F19" i="2"/>
  <c r="F18" i="2"/>
  <c r="D18" i="2"/>
  <c r="C15" i="2"/>
  <c r="C17" i="2"/>
  <c r="F16" i="2"/>
  <c r="E16" i="2"/>
  <c r="B25" i="2"/>
  <c r="D15" i="2"/>
  <c r="B24" i="2"/>
  <c r="M16" i="1"/>
  <c r="M17" i="1"/>
  <c r="L20" i="1"/>
  <c r="D24" i="1"/>
  <c r="N21" i="1"/>
  <c r="E24" i="1"/>
  <c r="M20" i="1"/>
  <c r="L18" i="1"/>
  <c r="N15" i="1"/>
  <c r="F24" i="1"/>
  <c r="L19" i="1"/>
  <c r="N19" i="1"/>
  <c r="M18" i="1"/>
  <c r="L21" i="1"/>
  <c r="G25" i="1"/>
  <c r="H24" i="1"/>
  <c r="N16" i="1"/>
  <c r="B24" i="1"/>
  <c r="J24" i="1"/>
  <c r="M15" i="1"/>
  <c r="G24" i="1"/>
  <c r="B25" i="1"/>
  <c r="J25" i="1"/>
  <c r="N20" i="1"/>
  <c r="I24" i="1"/>
  <c r="D25" i="1"/>
  <c r="N17" i="1"/>
  <c r="N25" i="1" s="1"/>
  <c r="E25" i="1"/>
  <c r="M19" i="1"/>
  <c r="K24" i="1"/>
  <c r="L17" i="1"/>
  <c r="L16" i="1"/>
  <c r="C24" i="1"/>
  <c r="F25" i="1"/>
  <c r="F25" i="2" l="1"/>
  <c r="C25" i="2"/>
  <c r="E24" i="2"/>
  <c r="E25" i="2"/>
  <c r="C24" i="2"/>
  <c r="F24" i="2"/>
  <c r="D24" i="2"/>
  <c r="B31" i="2" s="1" a="1"/>
  <c r="B31" i="2" s="1"/>
  <c r="D25" i="2"/>
  <c r="L24" i="1"/>
  <c r="N24" i="1"/>
  <c r="M24" i="1"/>
  <c r="B29" i="1" s="1" a="1"/>
  <c r="B29" i="1" s="1"/>
  <c r="M25" i="1"/>
  <c r="C31" i="1" s="1" a="1"/>
  <c r="C31" i="1" s="1"/>
  <c r="L25" i="1"/>
  <c r="C31" i="2" l="1" a="1"/>
  <c r="C31" i="2" s="1"/>
  <c r="D31" i="2" s="1"/>
  <c r="C32" i="2" a="1"/>
  <c r="C32" i="2" s="1"/>
  <c r="C30" i="2" a="1"/>
  <c r="C30" i="2" s="1"/>
  <c r="C33" i="2" a="1"/>
  <c r="C33" i="2" s="1"/>
  <c r="B29" i="2" a="1"/>
  <c r="B29" i="2" s="1"/>
  <c r="B33" i="2" a="1"/>
  <c r="B33" i="2" s="1"/>
  <c r="C28" i="2" a="1"/>
  <c r="C28" i="2" s="1"/>
  <c r="B32" i="2" a="1"/>
  <c r="B32" i="2" s="1"/>
  <c r="C29" i="2" a="1"/>
  <c r="C29" i="2" s="1"/>
  <c r="C34" i="2" a="1"/>
  <c r="C34" i="2" s="1"/>
  <c r="B28" i="2" a="1"/>
  <c r="B28" i="2" s="1"/>
  <c r="B34" i="2" a="1"/>
  <c r="B34" i="2" s="1"/>
  <c r="B30" i="2" a="1"/>
  <c r="B30" i="2" s="1"/>
  <c r="D30" i="2" s="1"/>
  <c r="C28" i="1" a="1"/>
  <c r="C28" i="1" s="1"/>
  <c r="B28" i="1" a="1"/>
  <c r="B28" i="1" s="1"/>
  <c r="B30" i="1" a="1"/>
  <c r="B30" i="1" s="1"/>
  <c r="B32" i="1" a="1"/>
  <c r="B32" i="1" s="1"/>
  <c r="C30" i="1" a="1"/>
  <c r="C30" i="1" s="1"/>
  <c r="D30" i="1" s="1"/>
  <c r="C32" i="1" a="1"/>
  <c r="C32" i="1" s="1"/>
  <c r="D32" i="1" s="1"/>
  <c r="C34" i="1" a="1"/>
  <c r="C34" i="1" s="1"/>
  <c r="C29" i="1" a="1"/>
  <c r="C29" i="1" s="1"/>
  <c r="D29" i="1" s="1"/>
  <c r="B31" i="1" a="1"/>
  <c r="B31" i="1" s="1"/>
  <c r="D31" i="1" s="1"/>
  <c r="B34" i="1" a="1"/>
  <c r="B34" i="1" s="1"/>
  <c r="C33" i="1" a="1"/>
  <c r="C33" i="1" s="1"/>
  <c r="B33" i="1" a="1"/>
  <c r="B33" i="1" s="1"/>
  <c r="D29" i="2" l="1"/>
  <c r="D32" i="2"/>
  <c r="D33" i="2"/>
  <c r="D28" i="2"/>
  <c r="D34" i="2"/>
  <c r="D28" i="1"/>
  <c r="D34" i="1"/>
  <c r="D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<sst xmlns="http://schemas.openxmlformats.org/spreadsheetml/2006/main" count="139" uniqueCount="36">
  <si>
    <t>Average Results</t>
  </si>
  <si>
    <t>Dataset</t>
  </si>
  <si>
    <t>LOC</t>
  </si>
  <si>
    <t>Cyclomatic Complexity</t>
  </si>
  <si>
    <t>Maintainability Index</t>
  </si>
  <si>
    <t>N</t>
  </si>
  <si>
    <t>Vocabulary</t>
  </si>
  <si>
    <t>Volume</t>
  </si>
  <si>
    <t>Difficulty</t>
  </si>
  <si>
    <t>Effort</t>
  </si>
  <si>
    <t>Time</t>
  </si>
  <si>
    <t>Cognitive Complexity</t>
  </si>
  <si>
    <t xml:space="preserve">refactorings </t>
  </si>
  <si>
    <t xml:space="preserve">warnings </t>
  </si>
  <si>
    <t>conventions</t>
  </si>
  <si>
    <t>HumanEval</t>
  </si>
  <si>
    <t>GPT 3.5 Turbo Simple Prompt</t>
  </si>
  <si>
    <t>GPT 3.5 Turbo Instruction Tone Prompt</t>
  </si>
  <si>
    <t>GPT 3.5 Turbo Improved Prompt</t>
  </si>
  <si>
    <t>GPT 4 Simple Prompt</t>
  </si>
  <si>
    <t>GPT 4 Instruction Tone Prompt</t>
  </si>
  <si>
    <t>GPT 4 Improved Prompt</t>
  </si>
  <si>
    <t>Data After Vector Normalization</t>
  </si>
  <si>
    <t>Min,</t>
  </si>
  <si>
    <t>Max,</t>
  </si>
  <si>
    <t>Min</t>
  </si>
  <si>
    <t>Ideal Best</t>
  </si>
  <si>
    <t>Ideal Worst</t>
  </si>
  <si>
    <t>D best</t>
  </si>
  <si>
    <t>D worst</t>
  </si>
  <si>
    <t>relative closeness</t>
  </si>
  <si>
    <t>Ranking by relative closeness</t>
  </si>
  <si>
    <t>Bugs</t>
  </si>
  <si>
    <t>Test Cases Passed</t>
  </si>
  <si>
    <t>Security Issues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</si>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</sst>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Fill="1" applyBorder="1"/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8" xfId="0" applyFill="1" applyBorder="1"/>
    <xf numFmtId="2" fontId="0" fillId="0" borderId="9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0" borderId="7" xfId="0" applyFill="1" applyBorder="1"/>
    <xf numFmtId="0" fontId="1" fillId="0" borderId="0" xfId="0" applyFont="1" applyFill="1"/>
    <xf numFmtId="2" fontId="0" fillId="0" borderId="0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13" xfId="0" applyFont="1" applyFill="1" applyBorder="1"/>
    <xf numFmtId="0" fontId="1" fillId="0" borderId="14" xfId="0" applyFont="1" applyFill="1" applyBorder="1"/>
    <xf numFmtId="0" fontId="1" fillId="0" borderId="7" xfId="0" applyFont="1" applyFill="1" applyBorder="1"/>
    <xf numFmtId="2" fontId="1" fillId="0" borderId="7" xfId="0" applyNumberFormat="1" applyFont="1" applyFill="1" applyBorder="1"/>
    <xf numFmtId="2" fontId="0" fillId="0" borderId="7" xfId="0" applyNumberFormat="1" applyFill="1" applyBorder="1"/>
    <xf numFmtId="2" fontId="0" fillId="0" borderId="19" xfId="0" applyNumberFormat="1" applyFill="1" applyBorder="1" applyAlignment="1">
      <alignment horizontal="center"/>
    </xf>
    <xf numFmtId="0" fontId="1" fillId="0" borderId="2" xfId="0" applyFont="1" applyFill="1" applyBorder="1" applyAlignment="1"/>
    <xf numFmtId="0" fontId="0" fillId="0" borderId="3" xfId="0" applyFill="1" applyBorder="1" applyAlignment="1"/>
    <xf numFmtId="0" fontId="1" fillId="0" borderId="7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D658-D741-4E67-B8E0-CC39290772E3}">
  <dimension ref="A1:R45"/>
  <sheetViews>
    <sheetView tabSelected="1" workbookViewId="0">
      <selection activeCell="A37" sqref="A37:D44"/>
    </sheetView>
  </sheetViews>
  <sheetFormatPr defaultRowHeight="14.4" x14ac:dyDescent="0.3"/>
  <cols>
    <col min="1" max="1" width="33.21875" style="6" bestFit="1" customWidth="1"/>
    <col min="2" max="2" width="9.5546875" style="6" bestFit="1" customWidth="1"/>
    <col min="3" max="3" width="19.33203125" style="6" bestFit="1" customWidth="1"/>
    <col min="4" max="4" width="17.33203125" style="6" bestFit="1" customWidth="1"/>
    <col min="5" max="5" width="8.88671875" style="6"/>
    <col min="6" max="6" width="18.21875" style="6" bestFit="1" customWidth="1"/>
    <col min="7" max="10" width="8.88671875" style="6"/>
    <col min="11" max="11" width="17.6640625" style="6" bestFit="1" customWidth="1"/>
    <col min="12" max="14" width="12" style="6" bestFit="1" customWidth="1"/>
    <col min="15" max="18" width="8.88671875" style="6"/>
  </cols>
  <sheetData>
    <row r="1" spans="1:17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</row>
    <row r="2" spans="1:17" x14ac:dyDescent="0.3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0" t="s">
        <v>11</v>
      </c>
      <c r="L2" s="9" t="s">
        <v>12</v>
      </c>
      <c r="M2" s="9" t="s">
        <v>13</v>
      </c>
      <c r="N2" s="9" t="s">
        <v>14</v>
      </c>
    </row>
    <row r="3" spans="1:17" x14ac:dyDescent="0.3">
      <c r="A3" s="1" t="s">
        <v>15</v>
      </c>
      <c r="B3" s="12">
        <v>8.4085365853658534</v>
      </c>
      <c r="C3" s="13">
        <v>3.6707317073170733</v>
      </c>
      <c r="D3" s="13">
        <v>73.900012109767886</v>
      </c>
      <c r="E3" s="13">
        <v>13.085365853658537</v>
      </c>
      <c r="F3" s="13">
        <v>9.1463414634146343</v>
      </c>
      <c r="G3" s="13">
        <v>48.369927100810465</v>
      </c>
      <c r="H3" s="13">
        <v>1.9440338846252572</v>
      </c>
      <c r="I3" s="13">
        <v>161.76440557421964</v>
      </c>
      <c r="J3" s="13">
        <v>8.9869114207899887</v>
      </c>
      <c r="K3" s="28">
        <v>3.14</v>
      </c>
      <c r="L3" s="9">
        <f>33/164</f>
        <v>0.20121951219512196</v>
      </c>
      <c r="M3" s="9">
        <f>9/164</f>
        <v>5.4878048780487805E-2</v>
      </c>
      <c r="N3" s="9">
        <f>537/164</f>
        <v>3.274390243902439</v>
      </c>
    </row>
    <row r="4" spans="1:17" x14ac:dyDescent="0.3">
      <c r="A4" s="1" t="s">
        <v>16</v>
      </c>
      <c r="B4" s="12">
        <v>15.585365853658537</v>
      </c>
      <c r="C4" s="13">
        <v>3.8170731707317072</v>
      </c>
      <c r="D4" s="13">
        <v>88.482227197136424</v>
      </c>
      <c r="E4" s="13">
        <v>14.103658536585366</v>
      </c>
      <c r="F4" s="13">
        <v>9.8353658536585371</v>
      </c>
      <c r="G4" s="13">
        <v>54.143572502807409</v>
      </c>
      <c r="H4" s="13">
        <v>2.148341317844991</v>
      </c>
      <c r="I4" s="13">
        <v>202.06267739826083</v>
      </c>
      <c r="J4" s="14">
        <v>11.2257042999034</v>
      </c>
      <c r="K4" s="14">
        <v>3.1206896551724137</v>
      </c>
      <c r="L4" s="9">
        <f>39/164</f>
        <v>0.23780487804878048</v>
      </c>
      <c r="M4" s="9">
        <f>17/164</f>
        <v>0.10365853658536585</v>
      </c>
      <c r="N4" s="9">
        <f>513/164</f>
        <v>3.1280487804878048</v>
      </c>
    </row>
    <row r="5" spans="1:17" x14ac:dyDescent="0.3">
      <c r="A5" s="1" t="s">
        <v>17</v>
      </c>
      <c r="B5" s="12">
        <v>8.9512195121951219</v>
      </c>
      <c r="C5" s="13">
        <v>3.5731707317073171</v>
      </c>
      <c r="D5" s="13">
        <v>75.245245362904797</v>
      </c>
      <c r="E5" s="13">
        <v>12.615853658536585</v>
      </c>
      <c r="F5" s="13">
        <v>9</v>
      </c>
      <c r="G5" s="13">
        <v>46.334432054632579</v>
      </c>
      <c r="H5" s="13">
        <v>2.039304103441006</v>
      </c>
      <c r="I5" s="13">
        <v>162.84478618428625</v>
      </c>
      <c r="J5" s="14">
        <v>9.0469325657936928</v>
      </c>
      <c r="K5" s="14">
        <v>2.9700598802395208</v>
      </c>
      <c r="L5" s="9">
        <f>34/164</f>
        <v>0.2073170731707317</v>
      </c>
      <c r="M5" s="9">
        <f>9/164</f>
        <v>5.4878048780487805E-2</v>
      </c>
      <c r="N5" s="9">
        <f>522/164</f>
        <v>3.1829268292682928</v>
      </c>
    </row>
    <row r="6" spans="1:17" x14ac:dyDescent="0.3">
      <c r="A6" s="1" t="s">
        <v>18</v>
      </c>
      <c r="B6" s="12">
        <v>8.1768292682926838</v>
      </c>
      <c r="C6" s="13">
        <v>3.3353658536585367</v>
      </c>
      <c r="D6" s="13">
        <v>77.698018655188392</v>
      </c>
      <c r="E6" s="13">
        <v>10.634146341463415</v>
      </c>
      <c r="F6" s="13">
        <v>7.9939024390243905</v>
      </c>
      <c r="G6" s="13">
        <v>37.779025395233226</v>
      </c>
      <c r="H6" s="13">
        <v>1.7679532286640756</v>
      </c>
      <c r="I6" s="13">
        <v>127.97978122347476</v>
      </c>
      <c r="J6" s="14">
        <v>7.1099878457486039</v>
      </c>
      <c r="K6" s="14">
        <v>1.9064327485380117</v>
      </c>
      <c r="L6" s="9">
        <f>11/164</f>
        <v>6.7073170731707321E-2</v>
      </c>
      <c r="M6" s="9">
        <f>8/164</f>
        <v>4.878048780487805E-2</v>
      </c>
      <c r="N6" s="9">
        <f>521/164</f>
        <v>3.1768292682926829</v>
      </c>
    </row>
    <row r="7" spans="1:17" x14ac:dyDescent="0.3">
      <c r="A7" s="1" t="s">
        <v>19</v>
      </c>
      <c r="B7" s="12">
        <v>10.615853658536585</v>
      </c>
      <c r="C7" s="13">
        <v>3.4146341463414633</v>
      </c>
      <c r="D7" s="13">
        <v>81.061010544380736</v>
      </c>
      <c r="E7" s="13">
        <v>11.475609756097562</v>
      </c>
      <c r="F7" s="13">
        <v>8.3231707317073162</v>
      </c>
      <c r="G7" s="13">
        <v>42.162583172753898</v>
      </c>
      <c r="H7" s="13">
        <v>1.8519166864312278</v>
      </c>
      <c r="I7" s="13">
        <v>149.57107560232586</v>
      </c>
      <c r="J7" s="14">
        <v>8.3095042001292221</v>
      </c>
      <c r="K7" s="14">
        <v>2.5029940119760479</v>
      </c>
      <c r="L7" s="9">
        <f>47/164</f>
        <v>0.28658536585365851</v>
      </c>
      <c r="M7" s="9">
        <f>6/164</f>
        <v>3.6585365853658534E-2</v>
      </c>
      <c r="N7" s="9">
        <f>486/164</f>
        <v>2.9634146341463414</v>
      </c>
    </row>
    <row r="8" spans="1:17" x14ac:dyDescent="0.3">
      <c r="A8" s="1" t="s">
        <v>20</v>
      </c>
      <c r="B8" s="12">
        <v>7.2987804878048781</v>
      </c>
      <c r="C8" s="13">
        <v>3.2926829268292681</v>
      </c>
      <c r="D8" s="13">
        <v>78.460344341375219</v>
      </c>
      <c r="E8" s="13">
        <v>11.134146341463415</v>
      </c>
      <c r="F8" s="13">
        <v>8.0670731707317067</v>
      </c>
      <c r="G8" s="13">
        <v>39.895913853172729</v>
      </c>
      <c r="H8" s="13">
        <v>1.7950297057676903</v>
      </c>
      <c r="I8" s="13">
        <v>133.50063781928372</v>
      </c>
      <c r="J8" s="14">
        <v>7.4167021010713192</v>
      </c>
      <c r="K8" s="14">
        <v>2.1736526946107784</v>
      </c>
      <c r="L8" s="9">
        <f>42/164</f>
        <v>0.25609756097560976</v>
      </c>
      <c r="M8" s="9">
        <f>5/164</f>
        <v>3.048780487804878E-2</v>
      </c>
      <c r="N8" s="9">
        <f>522/164</f>
        <v>3.1829268292682928</v>
      </c>
    </row>
    <row r="9" spans="1:17" ht="15" thickBot="1" x14ac:dyDescent="0.35">
      <c r="A9" s="15" t="s">
        <v>21</v>
      </c>
      <c r="B9" s="16">
        <v>6.4146341463414638</v>
      </c>
      <c r="C9" s="17">
        <v>3.2012195121951219</v>
      </c>
      <c r="D9" s="17">
        <v>79.500993258964215</v>
      </c>
      <c r="E9" s="17">
        <v>11.146341463414634</v>
      </c>
      <c r="F9" s="17">
        <v>7.8719512195121952</v>
      </c>
      <c r="G9" s="17">
        <v>40.456486414878476</v>
      </c>
      <c r="H9" s="17">
        <v>1.8599291619826044</v>
      </c>
      <c r="I9" s="17">
        <v>164.96360989144463</v>
      </c>
      <c r="J9" s="18">
        <v>9.1646449939691479</v>
      </c>
      <c r="K9" s="29">
        <v>1.5</v>
      </c>
      <c r="L9" s="9">
        <f>21/164</f>
        <v>0.12804878048780488</v>
      </c>
      <c r="M9" s="9">
        <f>8/164</f>
        <v>4.878048780487805E-2</v>
      </c>
      <c r="N9" s="9">
        <f>527/164</f>
        <v>3.2134146341463414</v>
      </c>
    </row>
    <row r="10" spans="1:17" x14ac:dyDescent="0.3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30"/>
      <c r="L10" s="26"/>
      <c r="M10" s="26"/>
      <c r="N10" s="26"/>
    </row>
    <row r="11" spans="1:17" ht="15" thickBot="1" x14ac:dyDescent="0.3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31"/>
      <c r="L11" s="26"/>
      <c r="M11" s="26"/>
      <c r="N11" s="26"/>
    </row>
    <row r="12" spans="1:17" ht="15" thickBot="1" x14ac:dyDescent="0.35"/>
    <row r="13" spans="1:17" ht="15" thickBot="1" x14ac:dyDescent="0.35">
      <c r="A13" s="23" t="s">
        <v>22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</row>
    <row r="14" spans="1:17" x14ac:dyDescent="0.3">
      <c r="A14" s="7" t="s">
        <v>1</v>
      </c>
      <c r="B14" s="8" t="s">
        <v>2</v>
      </c>
      <c r="C14" s="9" t="s">
        <v>3</v>
      </c>
      <c r="D14" s="9" t="s">
        <v>4</v>
      </c>
      <c r="E14" s="9" t="s">
        <v>5</v>
      </c>
      <c r="F14" s="9" t="s">
        <v>6</v>
      </c>
      <c r="G14" s="9" t="s">
        <v>7</v>
      </c>
      <c r="H14" s="9" t="s">
        <v>8</v>
      </c>
      <c r="I14" s="9" t="s">
        <v>9</v>
      </c>
      <c r="J14" s="10" t="s">
        <v>10</v>
      </c>
      <c r="K14" s="9" t="s">
        <v>11</v>
      </c>
      <c r="L14" s="11" t="s">
        <v>12</v>
      </c>
      <c r="M14" s="11" t="s">
        <v>13</v>
      </c>
      <c r="N14" s="11" t="s">
        <v>14</v>
      </c>
    </row>
    <row r="15" spans="1:17" x14ac:dyDescent="0.3">
      <c r="A15" s="1" t="s">
        <v>15</v>
      </c>
      <c r="B15" s="12">
        <f t="shared" ref="B15:N21" si="0">B3/SQRT(SUMSQ(B$3:B$9))</f>
        <v>0.32540716298481204</v>
      </c>
      <c r="C15" s="12">
        <f t="shared" si="0"/>
        <v>0.39888460685113264</v>
      </c>
      <c r="D15" s="12">
        <f t="shared" si="0"/>
        <v>0.35215858350128326</v>
      </c>
      <c r="E15" s="12">
        <f t="shared" si="0"/>
        <v>0.40926062682505171</v>
      </c>
      <c r="F15" s="12">
        <f t="shared" si="0"/>
        <v>0.40047300122278795</v>
      </c>
      <c r="G15" s="12">
        <f t="shared" si="0"/>
        <v>0.41098740638293024</v>
      </c>
      <c r="H15" s="12">
        <f t="shared" si="0"/>
        <v>0.38280458946067092</v>
      </c>
      <c r="I15" s="12">
        <f t="shared" si="0"/>
        <v>0.38417323801851178</v>
      </c>
      <c r="J15" s="12">
        <f t="shared" si="0"/>
        <v>0.38417323801851178</v>
      </c>
      <c r="K15" s="12">
        <f t="shared" si="0"/>
        <v>0.46656302121229826</v>
      </c>
      <c r="L15" s="12">
        <f t="shared" si="0"/>
        <v>0.36220023933162016</v>
      </c>
      <c r="M15" s="12">
        <f t="shared" si="0"/>
        <v>0.35575623676894269</v>
      </c>
      <c r="N15" s="12">
        <f t="shared" si="0"/>
        <v>0.39145265721312378</v>
      </c>
    </row>
    <row r="16" spans="1:17" x14ac:dyDescent="0.3">
      <c r="A16" s="1" t="s">
        <v>16</v>
      </c>
      <c r="B16" s="12">
        <f t="shared" si="0"/>
        <v>0.60314772196459721</v>
      </c>
      <c r="C16" s="12">
        <f t="shared" si="0"/>
        <v>0.4147869832040017</v>
      </c>
      <c r="D16" s="12">
        <f t="shared" si="0"/>
        <v>0.42164777657274127</v>
      </c>
      <c r="E16" s="12">
        <f t="shared" si="0"/>
        <v>0.44110896078580825</v>
      </c>
      <c r="F16" s="12">
        <f t="shared" si="0"/>
        <v>0.43064196731490462</v>
      </c>
      <c r="G16" s="12">
        <f t="shared" si="0"/>
        <v>0.46004465520193244</v>
      </c>
      <c r="H16" s="12">
        <f t="shared" si="0"/>
        <v>0.42303527870738628</v>
      </c>
      <c r="I16" s="12">
        <f t="shared" si="0"/>
        <v>0.47987734250451963</v>
      </c>
      <c r="J16" s="12">
        <f t="shared" si="0"/>
        <v>0.47987734250452002</v>
      </c>
      <c r="K16" s="12">
        <f t="shared" si="0"/>
        <v>0.46369375598191293</v>
      </c>
      <c r="L16" s="12">
        <f t="shared" si="0"/>
        <v>0.42805482830100561</v>
      </c>
      <c r="M16" s="12">
        <f t="shared" si="0"/>
        <v>0.67198400278578063</v>
      </c>
      <c r="N16" s="12">
        <f t="shared" si="0"/>
        <v>0.37395756638795624</v>
      </c>
    </row>
    <row r="17" spans="1:14" x14ac:dyDescent="0.3">
      <c r="A17" s="1" t="s">
        <v>17</v>
      </c>
      <c r="B17" s="12">
        <f t="shared" si="0"/>
        <v>0.3464087855414823</v>
      </c>
      <c r="C17" s="12">
        <f t="shared" si="0"/>
        <v>0.3882830226158866</v>
      </c>
      <c r="D17" s="12">
        <f t="shared" si="0"/>
        <v>0.35856907550769662</v>
      </c>
      <c r="E17" s="12">
        <f t="shared" si="0"/>
        <v>0.39457606565751718</v>
      </c>
      <c r="F17" s="12">
        <f t="shared" si="0"/>
        <v>0.39406543320322335</v>
      </c>
      <c r="G17" s="12">
        <f t="shared" si="0"/>
        <v>0.39369230424249441</v>
      </c>
      <c r="H17" s="12">
        <f t="shared" si="0"/>
        <v>0.40156448726390348</v>
      </c>
      <c r="I17" s="12">
        <f t="shared" si="0"/>
        <v>0.38673902692484369</v>
      </c>
      <c r="J17" s="12">
        <f t="shared" si="0"/>
        <v>0.3867390269248438</v>
      </c>
      <c r="K17" s="12">
        <f t="shared" si="0"/>
        <v>0.44131213723120621</v>
      </c>
      <c r="L17" s="12">
        <f t="shared" si="0"/>
        <v>0.37317600415985103</v>
      </c>
      <c r="M17" s="12">
        <f t="shared" si="0"/>
        <v>0.35575623676894269</v>
      </c>
      <c r="N17" s="12">
        <f t="shared" si="0"/>
        <v>0.38051822544739411</v>
      </c>
    </row>
    <row r="18" spans="1:14" x14ac:dyDescent="0.3">
      <c r="A18" s="1" t="s">
        <v>18</v>
      </c>
      <c r="B18" s="12">
        <f t="shared" si="0"/>
        <v>0.31644017807297531</v>
      </c>
      <c r="C18" s="12">
        <f t="shared" si="0"/>
        <v>0.36244166104247438</v>
      </c>
      <c r="D18" s="12">
        <f t="shared" si="0"/>
        <v>0.37025737086247101</v>
      </c>
      <c r="E18" s="12">
        <f t="shared" si="0"/>
        <v>0.33259577501532628</v>
      </c>
      <c r="F18" s="12">
        <f t="shared" si="0"/>
        <v>0.35001340306871664</v>
      </c>
      <c r="G18" s="12">
        <f t="shared" si="0"/>
        <v>0.32099911233071926</v>
      </c>
      <c r="H18" s="12">
        <f t="shared" si="0"/>
        <v>0.34813210573995684</v>
      </c>
      <c r="I18" s="12">
        <f t="shared" si="0"/>
        <v>0.30393835268640013</v>
      </c>
      <c r="J18" s="12">
        <f t="shared" si="0"/>
        <v>0.30393835268640007</v>
      </c>
      <c r="K18" s="12">
        <f t="shared" si="0"/>
        <v>0.28327102639998741</v>
      </c>
      <c r="L18" s="12">
        <f t="shared" si="0"/>
        <v>0.12073341311054006</v>
      </c>
      <c r="M18" s="12">
        <f t="shared" si="0"/>
        <v>0.31622776601683794</v>
      </c>
      <c r="N18" s="12">
        <f t="shared" si="0"/>
        <v>0.37978926332967877</v>
      </c>
    </row>
    <row r="19" spans="1:14" x14ac:dyDescent="0.3">
      <c r="A19" s="1" t="s">
        <v>19</v>
      </c>
      <c r="B19" s="12">
        <f t="shared" si="0"/>
        <v>0.41082949293441462</v>
      </c>
      <c r="C19" s="12">
        <f t="shared" si="0"/>
        <v>0.37105544823361175</v>
      </c>
      <c r="D19" s="12">
        <f t="shared" si="0"/>
        <v>0.38628316607161334</v>
      </c>
      <c r="E19" s="12">
        <f t="shared" si="0"/>
        <v>0.35891355996493352</v>
      </c>
      <c r="F19" s="12">
        <f t="shared" si="0"/>
        <v>0.36443043111273699</v>
      </c>
      <c r="G19" s="12">
        <f t="shared" si="0"/>
        <v>0.3582451275657258</v>
      </c>
      <c r="H19" s="12">
        <f t="shared" si="0"/>
        <v>0.36466556085843532</v>
      </c>
      <c r="I19" s="12">
        <f t="shared" si="0"/>
        <v>0.35521537772222206</v>
      </c>
      <c r="J19" s="12">
        <f t="shared" si="0"/>
        <v>0.35521537772222206</v>
      </c>
      <c r="K19" s="12">
        <f t="shared" si="0"/>
        <v>0.37191224468275041</v>
      </c>
      <c r="L19" s="12">
        <f t="shared" si="0"/>
        <v>0.51586094692685291</v>
      </c>
      <c r="M19" s="12">
        <f t="shared" si="0"/>
        <v>0.23717082451262844</v>
      </c>
      <c r="N19" s="12">
        <f t="shared" si="0"/>
        <v>0.35427558920964275</v>
      </c>
    </row>
    <row r="20" spans="1:14" x14ac:dyDescent="0.3">
      <c r="A20" s="1" t="s">
        <v>20</v>
      </c>
      <c r="B20" s="12">
        <f t="shared" si="0"/>
        <v>0.28246002472285714</v>
      </c>
      <c r="C20" s="12">
        <f t="shared" si="0"/>
        <v>0.3578034679395542</v>
      </c>
      <c r="D20" s="12">
        <f t="shared" si="0"/>
        <v>0.3738901109141971</v>
      </c>
      <c r="E20" s="12">
        <f t="shared" si="0"/>
        <v>0.34823387911581755</v>
      </c>
      <c r="F20" s="12">
        <f t="shared" si="0"/>
        <v>0.35321718707849892</v>
      </c>
      <c r="G20" s="12">
        <f t="shared" si="0"/>
        <v>0.33898579432668902</v>
      </c>
      <c r="H20" s="12">
        <f t="shared" si="0"/>
        <v>0.3534638027765486</v>
      </c>
      <c r="I20" s="12">
        <f t="shared" si="0"/>
        <v>0.31704979922198956</v>
      </c>
      <c r="J20" s="12">
        <f t="shared" si="0"/>
        <v>0.31704979922198928</v>
      </c>
      <c r="K20" s="12">
        <f t="shared" si="0"/>
        <v>0.32297642301396745</v>
      </c>
      <c r="L20" s="12">
        <f t="shared" si="0"/>
        <v>0.46098212278569839</v>
      </c>
      <c r="M20" s="12">
        <f t="shared" si="0"/>
        <v>0.19764235376052372</v>
      </c>
      <c r="N20" s="12">
        <f t="shared" si="0"/>
        <v>0.38051822544739411</v>
      </c>
    </row>
    <row r="21" spans="1:14" x14ac:dyDescent="0.3">
      <c r="A21" s="15" t="s">
        <v>21</v>
      </c>
      <c r="B21" s="12">
        <f t="shared" si="0"/>
        <v>0.24824389808558542</v>
      </c>
      <c r="C21" s="12">
        <f t="shared" si="0"/>
        <v>0.34786448271901105</v>
      </c>
      <c r="D21" s="12">
        <f t="shared" si="0"/>
        <v>0.37884915541605646</v>
      </c>
      <c r="E21" s="12">
        <f t="shared" si="0"/>
        <v>0.34861529628900023</v>
      </c>
      <c r="F21" s="12">
        <f t="shared" si="0"/>
        <v>0.34467376305241282</v>
      </c>
      <c r="G21" s="12">
        <f t="shared" si="0"/>
        <v>0.34374884188606852</v>
      </c>
      <c r="H21" s="12">
        <f t="shared" si="0"/>
        <v>0.36624331752114886</v>
      </c>
      <c r="I21" s="12">
        <f t="shared" si="0"/>
        <v>0.39177100760984024</v>
      </c>
      <c r="J21" s="12">
        <f t="shared" si="0"/>
        <v>0.39177100760983991</v>
      </c>
      <c r="K21" s="12">
        <f t="shared" si="0"/>
        <v>0.22288042414600234</v>
      </c>
      <c r="L21" s="12">
        <f t="shared" si="0"/>
        <v>0.23049106139284919</v>
      </c>
      <c r="M21" s="12">
        <f t="shared" si="0"/>
        <v>0.31622776601683794</v>
      </c>
      <c r="N21" s="12">
        <f t="shared" si="0"/>
        <v>0.38416303603597063</v>
      </c>
    </row>
    <row r="23" spans="1:14" x14ac:dyDescent="0.3">
      <c r="A23" s="26"/>
      <c r="B23" s="26" t="s">
        <v>23</v>
      </c>
      <c r="C23" s="26" t="s">
        <v>23</v>
      </c>
      <c r="D23" s="26" t="s">
        <v>24</v>
      </c>
      <c r="E23" s="26" t="s">
        <v>23</v>
      </c>
      <c r="F23" s="26" t="s">
        <v>23</v>
      </c>
      <c r="G23" s="26" t="s">
        <v>23</v>
      </c>
      <c r="H23" s="26" t="s">
        <v>23</v>
      </c>
      <c r="I23" s="26" t="s">
        <v>23</v>
      </c>
      <c r="J23" s="26" t="s">
        <v>23</v>
      </c>
      <c r="K23" s="26" t="s">
        <v>23</v>
      </c>
      <c r="L23" s="26" t="s">
        <v>25</v>
      </c>
      <c r="M23" s="26" t="s">
        <v>25</v>
      </c>
      <c r="N23" s="26" t="s">
        <v>25</v>
      </c>
    </row>
    <row r="24" spans="1:14" x14ac:dyDescent="0.3">
      <c r="A24" s="26" t="s">
        <v>26</v>
      </c>
      <c r="B24" s="39">
        <f>MIN(B15:B21)</f>
        <v>0.24824389808558542</v>
      </c>
      <c r="C24" s="39">
        <f>MIN(C15:C21)</f>
        <v>0.34786448271901105</v>
      </c>
      <c r="D24" s="39">
        <f>MAX(D15:D21)</f>
        <v>0.42164777657274127</v>
      </c>
      <c r="E24" s="39">
        <f>MIN(E15:E21)</f>
        <v>0.33259577501532628</v>
      </c>
      <c r="F24" s="39">
        <f>MIN(F15:F21)</f>
        <v>0.34467376305241282</v>
      </c>
      <c r="G24" s="39">
        <f>MIN(G15:G21)</f>
        <v>0.32099911233071926</v>
      </c>
      <c r="H24" s="39">
        <f>MIN(H15:H21)</f>
        <v>0.34813210573995684</v>
      </c>
      <c r="I24" s="39">
        <f>MIN(I15:I21)</f>
        <v>0.30393835268640013</v>
      </c>
      <c r="J24" s="39">
        <f>MIN(J15:J21)</f>
        <v>0.30393835268640007</v>
      </c>
      <c r="K24" s="39">
        <f>MIN(K15:K21)</f>
        <v>0.22288042414600234</v>
      </c>
      <c r="L24" s="39">
        <f>MIN(L15:L21)</f>
        <v>0.12073341311054006</v>
      </c>
      <c r="M24" s="39">
        <f>MIN(M15:M21)</f>
        <v>0.19764235376052372</v>
      </c>
      <c r="N24" s="39">
        <f>MIN(N15:N21)</f>
        <v>0.35427558920964275</v>
      </c>
    </row>
    <row r="25" spans="1:14" x14ac:dyDescent="0.3">
      <c r="A25" s="26" t="s">
        <v>27</v>
      </c>
      <c r="B25" s="39">
        <f>MAX(B15:B21)</f>
        <v>0.60314772196459721</v>
      </c>
      <c r="C25" s="39">
        <f>MAX(C15:C21)</f>
        <v>0.4147869832040017</v>
      </c>
      <c r="D25" s="39">
        <f>MIN(D15:D21)</f>
        <v>0.35215858350128326</v>
      </c>
      <c r="E25" s="39">
        <f>MAX(E15:E21)</f>
        <v>0.44110896078580825</v>
      </c>
      <c r="F25" s="39">
        <f>MAX(F15:F21)</f>
        <v>0.43064196731490462</v>
      </c>
      <c r="G25" s="39">
        <f>MAX(G15:G21)</f>
        <v>0.46004465520193244</v>
      </c>
      <c r="H25" s="39">
        <f>MAX(H15:H21)</f>
        <v>0.42303527870738628</v>
      </c>
      <c r="I25" s="39">
        <f>MAX(I15:I21)</f>
        <v>0.47987734250451963</v>
      </c>
      <c r="J25" s="39">
        <f>MAX(J15:J21)</f>
        <v>0.47987734250452002</v>
      </c>
      <c r="K25" s="39">
        <f>MAX(K15:K21)</f>
        <v>0.46656302121229826</v>
      </c>
      <c r="L25" s="39">
        <f>MAX(L15:L21)</f>
        <v>0.51586094692685291</v>
      </c>
      <c r="M25" s="39">
        <f>MAX(M15:M21)</f>
        <v>0.67198400278578063</v>
      </c>
      <c r="N25" s="39">
        <f>MAX(N15:N21)</f>
        <v>0.39145265721312378</v>
      </c>
    </row>
    <row r="27" spans="1:14" x14ac:dyDescent="0.3">
      <c r="A27" s="37" t="s">
        <v>1</v>
      </c>
      <c r="B27" s="37" t="s">
        <v>28</v>
      </c>
      <c r="C27" s="37" t="s">
        <v>29</v>
      </c>
      <c r="D27" s="37" t="s">
        <v>30</v>
      </c>
    </row>
    <row r="28" spans="1:14" x14ac:dyDescent="0.3">
      <c r="A28" s="26" t="s">
        <v>15</v>
      </c>
      <c r="B28" s="26" cm="1">
        <f t="array" ref="B28">SQRT(SUM((B15:N15 - B$24:N$24)^2))</f>
        <v>0.4343062784019881</v>
      </c>
      <c r="C28" s="26" cm="1">
        <f t="array" ref="C28">SQRT(SUM((B15:N15 - B$25:N$25)^2))</f>
        <v>0.47462877375457901</v>
      </c>
      <c r="D28" s="26">
        <f>C28/(B28+C28)</f>
        <v>0.52218117524289576</v>
      </c>
    </row>
    <row r="29" spans="1:14" x14ac:dyDescent="0.3">
      <c r="A29" s="26" t="s">
        <v>16</v>
      </c>
      <c r="B29" s="26" cm="1">
        <f t="array" ref="B29">SQRT(SUM((B16:N16 - B$24:N$24)^2))</f>
        <v>0.78375958478662022</v>
      </c>
      <c r="C29" s="26" cm="1">
        <f t="array" ref="C29">SQRT(SUM((B16:N16 - B$25:N$25)^2))</f>
        <v>0.1133709544274983</v>
      </c>
      <c r="D29" s="26">
        <f t="shared" ref="D29:D34" si="1">C29/(B29+C29)</f>
        <v>0.12637063333816573</v>
      </c>
    </row>
    <row r="30" spans="1:14" x14ac:dyDescent="0.3">
      <c r="A30" s="26" t="s">
        <v>17</v>
      </c>
      <c r="B30" s="26" cm="1">
        <f t="array" ref="B30">SQRT(SUM((B17:N17 - B$24:N$24)^2))</f>
        <v>0.42486420583653822</v>
      </c>
      <c r="C30" s="26" cm="1">
        <f t="array" ref="C30">SQRT(SUM((B17:N17 - B$25:N$25)^2))</f>
        <v>0.46205072431532623</v>
      </c>
      <c r="D30" s="26">
        <f t="shared" si="1"/>
        <v>0.5209639714106632</v>
      </c>
    </row>
    <row r="31" spans="1:14" x14ac:dyDescent="0.3">
      <c r="A31" s="26" t="s">
        <v>18</v>
      </c>
      <c r="B31" s="26" cm="1">
        <f t="array" ref="B31">SQRT(SUM((B18:N18 - B$24:N$24)^2))</f>
        <v>0.16091359387654244</v>
      </c>
      <c r="C31" s="26" cm="1">
        <f t="array" ref="C31">SQRT(SUM((B18:N18 - B$25:N$25)^2))</f>
        <v>0.71191176007091261</v>
      </c>
      <c r="D31" s="26">
        <f t="shared" si="1"/>
        <v>0.81564055953600356</v>
      </c>
    </row>
    <row r="32" spans="1:14" x14ac:dyDescent="0.3">
      <c r="A32" s="26" t="s">
        <v>19</v>
      </c>
      <c r="B32" s="26" cm="1">
        <f t="array" ref="B32">SQRT(SUM((B19:N19 - B$24:N$24)^2))</f>
        <v>0.46489089348103146</v>
      </c>
      <c r="C32" s="26" cm="1">
        <f t="array" ref="C32">SQRT(SUM((B19:N19 - B$25:N$25)^2))</f>
        <v>0.54356054818630395</v>
      </c>
      <c r="D32" s="26">
        <f t="shared" si="1"/>
        <v>0.53900517737135811</v>
      </c>
    </row>
    <row r="33" spans="1:4" x14ac:dyDescent="0.3">
      <c r="A33" s="26" t="s">
        <v>20</v>
      </c>
      <c r="B33" s="26" cm="1">
        <f t="array" ref="B33">SQRT(SUM((B20:N20 - B$24:N$24)^2))</f>
        <v>0.36199544049212928</v>
      </c>
      <c r="C33" s="26" cm="1">
        <f t="array" ref="C33">SQRT(SUM((B20:N20 - B$25:N$25)^2))</f>
        <v>0.66516897922967222</v>
      </c>
      <c r="D33" s="26">
        <f t="shared" si="1"/>
        <v>0.64757790131576731</v>
      </c>
    </row>
    <row r="34" spans="1:4" x14ac:dyDescent="0.3">
      <c r="A34" s="26" t="s">
        <v>21</v>
      </c>
      <c r="B34" s="26" cm="1">
        <f t="array" ref="B34">SQRT(SUM((B21:N21 - B$24:N$24)^2))</f>
        <v>0.21299193552300438</v>
      </c>
      <c r="C34" s="26" cm="1">
        <f t="array" ref="C34">SQRT(SUM((B21:N21 - B$25:N$25)^2))</f>
        <v>0.66843223727413636</v>
      </c>
      <c r="D34" s="26">
        <f t="shared" si="1"/>
        <v>0.75835478297913161</v>
      </c>
    </row>
    <row r="37" spans="1:4" x14ac:dyDescent="0.3">
      <c r="A37" s="37" t="s">
        <v>31</v>
      </c>
      <c r="B37" s="37" t="s">
        <v>28</v>
      </c>
      <c r="C37" s="37" t="s">
        <v>29</v>
      </c>
      <c r="D37" s="37" t="s">
        <v>30</v>
      </c>
    </row>
    <row r="38" spans="1:4" x14ac:dyDescent="0.3">
      <c r="A38" s="37" t="s">
        <v>18</v>
      </c>
      <c r="B38" s="38">
        <v>0.16091359387654247</v>
      </c>
      <c r="C38" s="38">
        <v>0.71191176007091261</v>
      </c>
      <c r="D38" s="38">
        <v>0.81564055953600356</v>
      </c>
    </row>
    <row r="39" spans="1:4" x14ac:dyDescent="0.3">
      <c r="A39" s="37" t="s">
        <v>21</v>
      </c>
      <c r="B39" s="38">
        <v>0.21299193552300441</v>
      </c>
      <c r="C39" s="38">
        <v>0.66843223727413625</v>
      </c>
      <c r="D39" s="38">
        <v>0.75835478297913161</v>
      </c>
    </row>
    <row r="40" spans="1:4" x14ac:dyDescent="0.3">
      <c r="A40" s="37" t="s">
        <v>20</v>
      </c>
      <c r="B40" s="38">
        <v>0.36199544049212928</v>
      </c>
      <c r="C40" s="38">
        <v>0.66516897922967222</v>
      </c>
      <c r="D40" s="38">
        <v>0.64757790131576731</v>
      </c>
    </row>
    <row r="41" spans="1:4" x14ac:dyDescent="0.3">
      <c r="A41" s="26" t="s">
        <v>19</v>
      </c>
      <c r="B41" s="39">
        <v>0.46489089348103152</v>
      </c>
      <c r="C41" s="39">
        <v>0.54356054818630384</v>
      </c>
      <c r="D41" s="39">
        <v>0.53900517737135811</v>
      </c>
    </row>
    <row r="42" spans="1:4" x14ac:dyDescent="0.3">
      <c r="A42" s="26" t="s">
        <v>15</v>
      </c>
      <c r="B42" s="39">
        <v>0.4343062784019881</v>
      </c>
      <c r="C42" s="39">
        <v>0.47462877375457901</v>
      </c>
      <c r="D42" s="39">
        <v>0.52218117524289576</v>
      </c>
    </row>
    <row r="43" spans="1:4" x14ac:dyDescent="0.3">
      <c r="A43" s="26" t="s">
        <v>17</v>
      </c>
      <c r="B43" s="39">
        <v>0.42486420583653822</v>
      </c>
      <c r="C43" s="39">
        <v>0.46205072431532618</v>
      </c>
      <c r="D43" s="39">
        <v>0.52096397141066308</v>
      </c>
    </row>
    <row r="44" spans="1:4" x14ac:dyDescent="0.3">
      <c r="A44" s="26" t="s">
        <v>16</v>
      </c>
      <c r="B44" s="39">
        <v>0.78375958478662011</v>
      </c>
      <c r="C44" s="39">
        <v>0.1133709544274983</v>
      </c>
      <c r="D44" s="39">
        <v>0.12637063333816576</v>
      </c>
    </row>
    <row r="45" spans="1:4" x14ac:dyDescent="0.3">
      <c r="A45" s="27"/>
      <c r="B45" s="27"/>
    </row>
  </sheetData>
  <mergeCells count="2">
    <mergeCell ref="B1:O1"/>
    <mergeCell ref="A13:Q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8726-48A3-4101-B4E6-4DFE68F68FA8}">
  <dimension ref="A1:V44"/>
  <sheetViews>
    <sheetView topLeftCell="A7" workbookViewId="0">
      <selection activeCell="A23" sqref="A23:F25"/>
    </sheetView>
  </sheetViews>
  <sheetFormatPr defaultRowHeight="14.4" x14ac:dyDescent="0.3"/>
  <cols>
    <col min="1" max="1" width="33.21875" style="6" bestFit="1" customWidth="1"/>
    <col min="2" max="2" width="8.88671875" style="6"/>
    <col min="3" max="4" width="16" style="6" bestFit="1" customWidth="1"/>
    <col min="5" max="5" width="12" style="6" bestFit="1" customWidth="1"/>
    <col min="6" max="6" width="18.21875" style="6" bestFit="1" customWidth="1"/>
    <col min="11" max="11" width="8.33203125" bestFit="1" customWidth="1"/>
    <col min="12" max="12" width="33.21875" bestFit="1" customWidth="1"/>
    <col min="19" max="19" width="11.21875" bestFit="1" customWidth="1"/>
    <col min="21" max="21" width="10.88671875" style="6" bestFit="1" customWidth="1"/>
    <col min="22" max="22" width="8.88671875" style="6"/>
  </cols>
  <sheetData>
    <row r="1" spans="1:6" x14ac:dyDescent="0.3">
      <c r="A1" s="1"/>
      <c r="B1" s="41" t="s">
        <v>0</v>
      </c>
      <c r="C1" s="42"/>
      <c r="D1" s="42"/>
      <c r="E1" s="42"/>
      <c r="F1" s="42"/>
    </row>
    <row r="2" spans="1:6" x14ac:dyDescent="0.3">
      <c r="A2" s="7" t="s">
        <v>1</v>
      </c>
      <c r="B2" s="43" t="s">
        <v>32</v>
      </c>
      <c r="C2" s="44" t="s">
        <v>33</v>
      </c>
      <c r="D2" s="43" t="s">
        <v>34</v>
      </c>
      <c r="E2" s="45" t="s">
        <v>35</v>
      </c>
      <c r="F2" s="45" t="s">
        <v>13</v>
      </c>
    </row>
    <row r="3" spans="1:6" x14ac:dyDescent="0.3">
      <c r="A3" s="1" t="s">
        <v>15</v>
      </c>
      <c r="B3" s="13">
        <v>1.612330903360347E-2</v>
      </c>
      <c r="C3" s="32">
        <f>164/164</f>
        <v>1</v>
      </c>
      <c r="D3" s="9">
        <f>3/164</f>
        <v>1.8292682926829267E-2</v>
      </c>
      <c r="E3" s="9">
        <f>0/164</f>
        <v>0</v>
      </c>
      <c r="F3" s="9">
        <f>9/164</f>
        <v>5.4878048780487805E-2</v>
      </c>
    </row>
    <row r="4" spans="1:6" x14ac:dyDescent="0.3">
      <c r="A4" s="1" t="s">
        <v>16</v>
      </c>
      <c r="B4" s="13">
        <v>1.8047857500935804E-2</v>
      </c>
      <c r="C4" s="32">
        <f>117/164</f>
        <v>0.71341463414634143</v>
      </c>
      <c r="D4" s="9">
        <f>1/164</f>
        <v>6.0975609756097563E-3</v>
      </c>
      <c r="E4" s="9">
        <f>8/164</f>
        <v>4.878048780487805E-2</v>
      </c>
      <c r="F4" s="9">
        <f>17/164</f>
        <v>0.10365853658536585</v>
      </c>
    </row>
    <row r="5" spans="1:6" x14ac:dyDescent="0.3">
      <c r="A5" s="1" t="s">
        <v>17</v>
      </c>
      <c r="B5" s="13">
        <v>1.5444810684877517E-2</v>
      </c>
      <c r="C5" s="32">
        <f>107/164</f>
        <v>0.65243902439024393</v>
      </c>
      <c r="D5" s="9">
        <f>1/164</f>
        <v>6.0975609756097563E-3</v>
      </c>
      <c r="E5" s="9">
        <f>7/164</f>
        <v>4.2682926829268296E-2</v>
      </c>
      <c r="F5" s="9">
        <f>9/164</f>
        <v>5.4878048780487805E-2</v>
      </c>
    </row>
    <row r="6" spans="1:6" x14ac:dyDescent="0.3">
      <c r="A6" s="1" t="s">
        <v>18</v>
      </c>
      <c r="B6" s="13">
        <v>1.2593008465077729E-2</v>
      </c>
      <c r="C6" s="32">
        <f>124/164</f>
        <v>0.75609756097560976</v>
      </c>
      <c r="D6" s="9">
        <f>2/164</f>
        <v>1.2195121951219513E-2</v>
      </c>
      <c r="E6" s="9">
        <f>10/164</f>
        <v>6.097560975609756E-2</v>
      </c>
      <c r="F6" s="9">
        <f>8/164</f>
        <v>4.878048780487805E-2</v>
      </c>
    </row>
    <row r="7" spans="1:6" x14ac:dyDescent="0.3">
      <c r="A7" s="1" t="s">
        <v>19</v>
      </c>
      <c r="B7" s="13">
        <v>1.4054194390917958E-2</v>
      </c>
      <c r="C7" s="32">
        <f>114/164</f>
        <v>0.69512195121951215</v>
      </c>
      <c r="D7" s="9">
        <f>1/164</f>
        <v>6.0975609756097563E-3</v>
      </c>
      <c r="E7" s="9">
        <f>25/164</f>
        <v>0.1524390243902439</v>
      </c>
      <c r="F7" s="9">
        <f>6/164</f>
        <v>3.6585365853658534E-2</v>
      </c>
    </row>
    <row r="8" spans="1:6" x14ac:dyDescent="0.3">
      <c r="A8" s="1" t="s">
        <v>20</v>
      </c>
      <c r="B8" s="13">
        <v>1.3298637951057558E-2</v>
      </c>
      <c r="C8" s="32">
        <f>118/164</f>
        <v>0.71951219512195119</v>
      </c>
      <c r="D8" s="9">
        <f>2/164</f>
        <v>1.2195121951219513E-2</v>
      </c>
      <c r="E8" s="9">
        <f>25/164</f>
        <v>0.1524390243902439</v>
      </c>
      <c r="F8" s="9">
        <f>5/164</f>
        <v>3.048780487804878E-2</v>
      </c>
    </row>
    <row r="9" spans="1:6" ht="15" thickBot="1" x14ac:dyDescent="0.35">
      <c r="A9" s="15" t="s">
        <v>21</v>
      </c>
      <c r="B9" s="17">
        <v>1.3485495471626131E-2</v>
      </c>
      <c r="C9" s="33">
        <f>143/164</f>
        <v>0.87195121951219512</v>
      </c>
      <c r="D9" s="34">
        <f>1/164</f>
        <v>6.0975609756097563E-3</v>
      </c>
      <c r="E9" s="9">
        <f>0/164</f>
        <v>0</v>
      </c>
      <c r="F9" s="9">
        <f>8/164</f>
        <v>4.878048780487805E-2</v>
      </c>
    </row>
    <row r="10" spans="1:6" x14ac:dyDescent="0.3">
      <c r="A10" s="19"/>
      <c r="B10" s="20"/>
      <c r="C10" s="20"/>
      <c r="D10" s="20"/>
      <c r="E10" s="40"/>
      <c r="F10" s="40"/>
    </row>
    <row r="11" spans="1:6" ht="15" thickBot="1" x14ac:dyDescent="0.35">
      <c r="A11" s="21"/>
      <c r="B11" s="22"/>
      <c r="C11" s="22"/>
      <c r="D11" s="22"/>
      <c r="E11" s="22"/>
      <c r="F11" s="22"/>
    </row>
    <row r="12" spans="1:6" ht="15" thickBot="1" x14ac:dyDescent="0.35"/>
    <row r="13" spans="1:6" ht="15" thickBot="1" x14ac:dyDescent="0.35">
      <c r="A13" s="35" t="s">
        <v>22</v>
      </c>
      <c r="B13" s="36"/>
      <c r="C13" s="36"/>
      <c r="D13" s="36"/>
      <c r="E13" s="36"/>
      <c r="F13" s="36"/>
    </row>
    <row r="14" spans="1:6" x14ac:dyDescent="0.3">
      <c r="A14" s="7" t="s">
        <v>1</v>
      </c>
      <c r="B14" s="43" t="s">
        <v>32</v>
      </c>
      <c r="C14" s="44" t="s">
        <v>33</v>
      </c>
      <c r="D14" s="43" t="s">
        <v>34</v>
      </c>
      <c r="E14" s="45" t="s">
        <v>35</v>
      </c>
      <c r="F14" s="45" t="s">
        <v>13</v>
      </c>
    </row>
    <row r="15" spans="1:6" x14ac:dyDescent="0.3">
      <c r="A15" s="1" t="s">
        <v>15</v>
      </c>
      <c r="B15" s="12">
        <f>B3/SQRT(SUMSQ(B$3:B$9))</f>
        <v>0.41098740638293013</v>
      </c>
      <c r="C15" s="12">
        <f>C3/SQRT(SUMSQ(C$3:C$9))</f>
        <v>0.48407497277769584</v>
      </c>
      <c r="D15" s="12">
        <f>D3/SQRT(SUMSQ(D$3:D$9))</f>
        <v>0.65465367070797709</v>
      </c>
      <c r="E15" s="12">
        <f>E3/SQRT(SUMSQ(E$3:E$9))</f>
        <v>0</v>
      </c>
      <c r="F15" s="12">
        <f>F3/SQRT(SUMSQ(F$3:F$9))</f>
        <v>0.35575623676894269</v>
      </c>
    </row>
    <row r="16" spans="1:6" x14ac:dyDescent="0.3">
      <c r="A16" s="1" t="s">
        <v>16</v>
      </c>
      <c r="B16" s="12">
        <f>B4/SQRT(SUMSQ(B$3:B$9))</f>
        <v>0.46004465520193283</v>
      </c>
      <c r="C16" s="12">
        <f>C4/SQRT(SUMSQ(C$3:C$9))</f>
        <v>0.34534616960360009</v>
      </c>
      <c r="D16" s="12">
        <f>D4/SQRT(SUMSQ(D$3:D$9))</f>
        <v>0.21821789023599239</v>
      </c>
      <c r="E16" s="12">
        <f>E4/SQRT(SUMSQ(E$3:E$9))</f>
        <v>0.20915479424640085</v>
      </c>
      <c r="F16" s="12">
        <f>F4/SQRT(SUMSQ(F$3:F$9))</f>
        <v>0.67198400278578063</v>
      </c>
    </row>
    <row r="17" spans="1:6" x14ac:dyDescent="0.3">
      <c r="A17" s="1" t="s">
        <v>17</v>
      </c>
      <c r="B17" s="12">
        <f>B5/SQRT(SUMSQ(B$3:B$9))</f>
        <v>0.39369230424249452</v>
      </c>
      <c r="C17" s="12">
        <f>C5/SQRT(SUMSQ(C$3:C$9))</f>
        <v>0.3158294029708138</v>
      </c>
      <c r="D17" s="12">
        <f>D5/SQRT(SUMSQ(D$3:D$9))</f>
        <v>0.21821789023599239</v>
      </c>
      <c r="E17" s="12">
        <f>E5/SQRT(SUMSQ(E$3:E$9))</f>
        <v>0.18301044496560076</v>
      </c>
      <c r="F17" s="12">
        <f>F5/SQRT(SUMSQ(F$3:F$9))</f>
        <v>0.35575623676894269</v>
      </c>
    </row>
    <row r="18" spans="1:6" x14ac:dyDescent="0.3">
      <c r="A18" s="1" t="s">
        <v>18</v>
      </c>
      <c r="B18" s="12">
        <f>B6/SQRT(SUMSQ(B$3:B$9))</f>
        <v>0.32099911233071921</v>
      </c>
      <c r="C18" s="12">
        <f>C6/SQRT(SUMSQ(C$3:C$9))</f>
        <v>0.36600790624655055</v>
      </c>
      <c r="D18" s="12">
        <f>D6/SQRT(SUMSQ(D$3:D$9))</f>
        <v>0.43643578047198478</v>
      </c>
      <c r="E18" s="12">
        <f>E6/SQRT(SUMSQ(E$3:E$9))</f>
        <v>0.26144349280800105</v>
      </c>
      <c r="F18" s="12">
        <f>F6/SQRT(SUMSQ(F$3:F$9))</f>
        <v>0.31622776601683794</v>
      </c>
    </row>
    <row r="19" spans="1:6" x14ac:dyDescent="0.3">
      <c r="A19" s="1" t="s">
        <v>19</v>
      </c>
      <c r="B19" s="12">
        <f>B7/SQRT(SUMSQ(B$3:B$9))</f>
        <v>0.35824512756572596</v>
      </c>
      <c r="C19" s="12">
        <f>C7/SQRT(SUMSQ(C$3:C$9))</f>
        <v>0.3364911396137642</v>
      </c>
      <c r="D19" s="12">
        <f>D7/SQRT(SUMSQ(D$3:D$9))</f>
        <v>0.21821789023599239</v>
      </c>
      <c r="E19" s="12">
        <f>E7/SQRT(SUMSQ(E$3:E$9))</f>
        <v>0.65360873202000269</v>
      </c>
      <c r="F19" s="12">
        <f>F7/SQRT(SUMSQ(F$3:F$9))</f>
        <v>0.23717082451262844</v>
      </c>
    </row>
    <row r="20" spans="1:6" x14ac:dyDescent="0.3">
      <c r="A20" s="1" t="s">
        <v>20</v>
      </c>
      <c r="B20" s="12">
        <f>B8/SQRT(SUMSQ(B$3:B$9))</f>
        <v>0.33898579432668885</v>
      </c>
      <c r="C20" s="12">
        <f>C8/SQRT(SUMSQ(C$3:C$9))</f>
        <v>0.34829784626687871</v>
      </c>
      <c r="D20" s="12">
        <f>D8/SQRT(SUMSQ(D$3:D$9))</f>
        <v>0.43643578047198478</v>
      </c>
      <c r="E20" s="12">
        <f>E8/SQRT(SUMSQ(E$3:E$9))</f>
        <v>0.65360873202000269</v>
      </c>
      <c r="F20" s="12">
        <f>F8/SQRT(SUMSQ(F$3:F$9))</f>
        <v>0.19764235376052372</v>
      </c>
    </row>
    <row r="21" spans="1:6" x14ac:dyDescent="0.3">
      <c r="A21" s="15" t="s">
        <v>21</v>
      </c>
      <c r="B21" s="12">
        <f>B9/SQRT(SUMSQ(B$3:B$9))</f>
        <v>0.34374884188606813</v>
      </c>
      <c r="C21" s="12">
        <f>C9/SQRT(SUMSQ(C$3:C$9))</f>
        <v>0.42208976284884459</v>
      </c>
      <c r="D21" s="12">
        <f>D9/SQRT(SUMSQ(D$3:D$9))</f>
        <v>0.21821789023599239</v>
      </c>
      <c r="E21" s="12">
        <f>E9/SQRT(SUMSQ(E$3:E$9))</f>
        <v>0</v>
      </c>
      <c r="F21" s="12">
        <f>F9/SQRT(SUMSQ(F$3:F$9))</f>
        <v>0.31622776601683794</v>
      </c>
    </row>
    <row r="23" spans="1:6" x14ac:dyDescent="0.3">
      <c r="A23" s="26" t="s">
        <v>23</v>
      </c>
      <c r="B23" s="26" t="s">
        <v>23</v>
      </c>
      <c r="C23" s="26" t="s">
        <v>24</v>
      </c>
      <c r="D23" s="26" t="s">
        <v>25</v>
      </c>
      <c r="E23" s="26" t="s">
        <v>25</v>
      </c>
      <c r="F23" s="26" t="s">
        <v>25</v>
      </c>
    </row>
    <row r="24" spans="1:6" x14ac:dyDescent="0.3">
      <c r="A24" s="26" t="s">
        <v>26</v>
      </c>
      <c r="B24" s="39">
        <f>MIN(B15:B21)</f>
        <v>0.32099911233071921</v>
      </c>
      <c r="C24" s="39">
        <f>MAX(C15:C21)</f>
        <v>0.48407497277769584</v>
      </c>
      <c r="D24" s="39">
        <f>MIN(D15:D21)</f>
        <v>0.21821789023599239</v>
      </c>
      <c r="E24" s="39">
        <f>MIN(E15:E21)</f>
        <v>0</v>
      </c>
      <c r="F24" s="39">
        <f>MIN(F15:F21)</f>
        <v>0.19764235376052372</v>
      </c>
    </row>
    <row r="25" spans="1:6" x14ac:dyDescent="0.3">
      <c r="A25" s="26" t="s">
        <v>27</v>
      </c>
      <c r="B25" s="39">
        <f>MAX(B15:B21)</f>
        <v>0.46004465520193283</v>
      </c>
      <c r="C25" s="39">
        <f>MIN(C15:C21)</f>
        <v>0.3158294029708138</v>
      </c>
      <c r="D25" s="39">
        <f>MAX(D15:D21)</f>
        <v>0.65465367070797709</v>
      </c>
      <c r="E25" s="39">
        <f>MAX(E15:E21)</f>
        <v>0.65360873202000269</v>
      </c>
      <c r="F25" s="39">
        <f>MAX(F15:F21)</f>
        <v>0.67198400278578063</v>
      </c>
    </row>
    <row r="27" spans="1:6" x14ac:dyDescent="0.3">
      <c r="A27" s="37" t="s">
        <v>1</v>
      </c>
      <c r="B27" s="37" t="s">
        <v>28</v>
      </c>
      <c r="C27" s="37" t="s">
        <v>29</v>
      </c>
      <c r="D27" s="37" t="s">
        <v>30</v>
      </c>
    </row>
    <row r="28" spans="1:6" x14ac:dyDescent="0.3">
      <c r="A28" s="26" t="s">
        <v>15</v>
      </c>
      <c r="B28" s="26" cm="1">
        <f t="array" ref="B28">SQRT(SUM((B15:F15 - B$24:F$24)^2))</f>
        <v>0.4728362121735365</v>
      </c>
      <c r="C28" s="26" cm="1">
        <f t="array" ref="C28">SQRT(SUM((B15:F15 - B$25:F$25)^2))</f>
        <v>0.74693879266920371</v>
      </c>
      <c r="D28" s="26">
        <f>C28/(B28+C28)</f>
        <v>0.61235784444156804</v>
      </c>
    </row>
    <row r="29" spans="1:6" x14ac:dyDescent="0.3">
      <c r="A29" s="26" t="s">
        <v>16</v>
      </c>
      <c r="B29" s="26" cm="1">
        <f t="array" ref="B29">SQRT(SUM((B16:F16 - B$24:F$24)^2))</f>
        <v>0.55436907541702019</v>
      </c>
      <c r="C29" s="26" cm="1">
        <f t="array" ref="C29">SQRT(SUM((B16:F16 - B$25:F$25)^2))</f>
        <v>0.62360783573581369</v>
      </c>
      <c r="D29" s="26">
        <f t="shared" ref="D29:D34" si="0">C29/(B29+C29)</f>
        <v>0.52938884440911183</v>
      </c>
    </row>
    <row r="30" spans="1:6" x14ac:dyDescent="0.3">
      <c r="A30" s="26" t="s">
        <v>17</v>
      </c>
      <c r="B30" s="26" cm="1">
        <f t="array" ref="B30">SQRT(SUM((B17:F17 - B$24:F$24)^2))</f>
        <v>0.30345295331644379</v>
      </c>
      <c r="C30" s="26" cm="1">
        <f t="array" ref="C30">SQRT(SUM((B17:F17 - B$25:F$25)^2))</f>
        <v>0.71856911479173124</v>
      </c>
      <c r="D30" s="26">
        <f t="shared" si="0"/>
        <v>0.70308571332696002</v>
      </c>
    </row>
    <row r="31" spans="1:6" x14ac:dyDescent="0.3">
      <c r="A31" s="26" t="s">
        <v>18</v>
      </c>
      <c r="B31" s="26" cm="1">
        <f t="array" ref="B31">SQRT(SUM((B18:F18 - B$24:F$24)^2))</f>
        <v>0.37943916475499051</v>
      </c>
      <c r="C31" s="26" cm="1">
        <f t="array" ref="C31">SQRT(SUM((B18:F18 - B$25:F$25)^2))</f>
        <v>0.59146146759412632</v>
      </c>
      <c r="D31" s="26">
        <f t="shared" si="0"/>
        <v>0.60918846675696503</v>
      </c>
    </row>
    <row r="32" spans="1:6" x14ac:dyDescent="0.3">
      <c r="A32" s="26" t="s">
        <v>19</v>
      </c>
      <c r="B32" s="26" cm="1">
        <f t="array" ref="B32">SQRT(SUM((B19:F19 - B$24:F$24)^2))</f>
        <v>0.67226120521345067</v>
      </c>
      <c r="C32" s="26" cm="1">
        <f t="array" ref="C32">SQRT(SUM((B19:F19 - B$25:F$25)^2))</f>
        <v>0.62476294837662061</v>
      </c>
      <c r="D32" s="26">
        <f t="shared" si="0"/>
        <v>0.48168952493854555</v>
      </c>
    </row>
    <row r="33" spans="1:4" x14ac:dyDescent="0.3">
      <c r="A33" s="26" t="s">
        <v>20</v>
      </c>
      <c r="B33" s="26" cm="1">
        <f t="array" ref="B33">SQRT(SUM((B20:F20 - B$24:F$24)^2))</f>
        <v>0.7025541765619232</v>
      </c>
      <c r="C33" s="26" cm="1">
        <f t="array" ref="C33">SQRT(SUM((B20:F20 - B$25:F$25)^2))</f>
        <v>0.53696228473285634</v>
      </c>
      <c r="D33" s="26">
        <f t="shared" si="0"/>
        <v>0.43320302835829538</v>
      </c>
    </row>
    <row r="34" spans="1:4" x14ac:dyDescent="0.3">
      <c r="A34" s="26" t="s">
        <v>21</v>
      </c>
      <c r="B34" s="26" cm="1">
        <f t="array" ref="B34">SQRT(SUM((B21:F21 - B$24:F$24)^2))</f>
        <v>0.13572846586020662</v>
      </c>
      <c r="C34" s="26" cm="1">
        <f t="array" ref="C34">SQRT(SUM((B21:F21 - B$25:F$25)^2))</f>
        <v>0.876960116154203</v>
      </c>
      <c r="D34" s="26">
        <f t="shared" si="0"/>
        <v>0.86597215741267708</v>
      </c>
    </row>
    <row r="37" spans="1:4" x14ac:dyDescent="0.3">
      <c r="A37" s="37" t="s">
        <v>31</v>
      </c>
      <c r="B37" s="37" t="s">
        <v>28</v>
      </c>
      <c r="C37" s="37" t="s">
        <v>29</v>
      </c>
      <c r="D37" s="37" t="s">
        <v>30</v>
      </c>
    </row>
    <row r="38" spans="1:4" x14ac:dyDescent="0.3">
      <c r="A38" s="37" t="s">
        <v>21</v>
      </c>
      <c r="B38" s="38">
        <v>0.13572846586020668</v>
      </c>
      <c r="C38" s="38">
        <v>0.87696011615420288</v>
      </c>
      <c r="D38" s="38">
        <v>0.86597215741267697</v>
      </c>
    </row>
    <row r="39" spans="1:4" x14ac:dyDescent="0.3">
      <c r="A39" s="37" t="s">
        <v>17</v>
      </c>
      <c r="B39" s="38">
        <v>0.30345295331644379</v>
      </c>
      <c r="C39" s="38">
        <v>0.71856911479173124</v>
      </c>
      <c r="D39" s="38">
        <v>0.70308571332696002</v>
      </c>
    </row>
    <row r="40" spans="1:4" x14ac:dyDescent="0.3">
      <c r="A40" s="37" t="s">
        <v>15</v>
      </c>
      <c r="B40" s="38">
        <v>0.47283621217353661</v>
      </c>
      <c r="C40" s="38">
        <v>0.7469387926692036</v>
      </c>
      <c r="D40" s="38">
        <v>0.61235784444156804</v>
      </c>
    </row>
    <row r="41" spans="1:4" x14ac:dyDescent="0.3">
      <c r="A41" s="26" t="s">
        <v>18</v>
      </c>
      <c r="B41" s="39">
        <v>0.37943916475499051</v>
      </c>
      <c r="C41" s="39">
        <v>0.59146146759412621</v>
      </c>
      <c r="D41" s="39">
        <v>0.60918846675696503</v>
      </c>
    </row>
    <row r="42" spans="1:4" x14ac:dyDescent="0.3">
      <c r="A42" s="26" t="s">
        <v>16</v>
      </c>
      <c r="B42" s="39">
        <v>0.55436907541702007</v>
      </c>
      <c r="C42" s="39">
        <v>0.62360783573581369</v>
      </c>
      <c r="D42" s="39">
        <v>0.52938884440911183</v>
      </c>
    </row>
    <row r="43" spans="1:4" x14ac:dyDescent="0.3">
      <c r="A43" s="26" t="s">
        <v>19</v>
      </c>
      <c r="B43" s="39">
        <v>0.67226120521345056</v>
      </c>
      <c r="C43" s="39">
        <v>0.62476294837662061</v>
      </c>
      <c r="D43" s="39">
        <v>0.48168952493854555</v>
      </c>
    </row>
    <row r="44" spans="1:4" x14ac:dyDescent="0.3">
      <c r="A44" s="26" t="s">
        <v>20</v>
      </c>
      <c r="B44" s="39">
        <v>0.70255417656192298</v>
      </c>
      <c r="C44" s="39">
        <v>0.53696228473285634</v>
      </c>
      <c r="D44" s="39">
        <v>0.43320302835829549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Quality Factors TOPSIS</vt:lpstr>
      <vt:lpstr>Critical Quality Factors 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2024-11-09T13:27:36Z</dcterms:created>
  <dcterms:modified xsi:type="dcterms:W3CDTF">2024-11-09T13:36:37Z</dcterms:modified>
</cp:coreProperties>
</file>