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drawings/drawing1.xml" ContentType="application/vnd.openxmlformats-officedocument.drawing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Users\DELL\Desktop\B tech 1\Excel\Projects\Last Mile\Dataset\"/>
    </mc:Choice>
  </mc:AlternateContent>
  <xr:revisionPtr revIDLastSave="0" documentId="13_ncr:1_{5861B0F9-953A-4A17-9BDF-48635DE28065}" xr6:coauthVersionLast="47" xr6:coauthVersionMax="47" xr10:uidLastSave="{00000000-0000-0000-0000-000000000000}"/>
  <bookViews>
    <workbookView xWindow="-108" yWindow="-108" windowWidth="23256" windowHeight="12576" firstSheet="1" activeTab="1" xr2:uid="{00000000-000D-0000-FFFF-FFFF00000000}"/>
  </bookViews>
  <sheets>
    <sheet name="Drop Down Lists" sheetId="3" r:id="rId1"/>
    <sheet name="Cost Calculator" sheetId="1" r:id="rId2"/>
    <sheet name="Assumption_Salary" sheetId="8" r:id="rId3"/>
    <sheet name="Vehicle_Maintenance" sheetId="11" r:id="rId4"/>
    <sheet name="Vehicle EMI Sheet" sheetId="9" r:id="rId5"/>
    <sheet name="Assumption_Distance" sheetId="5" r:id="rId6"/>
    <sheet name="Assumption_Mileage" sheetId="6" r:id="rId7"/>
    <sheet name="(Inc) OU Profitability" sheetId="12" state="hidden" r:id="rId8"/>
    <sheet name="Cluster Mapping" sheetId="13" r:id="rId9"/>
  </sheets>
  <definedNames>
    <definedName name="_xlnm._FilterDatabase" localSheetId="3" hidden="1">Vehicle_Maintenance!$B$1:$E$21</definedName>
    <definedName name="Additional_charges">'Drop Down Lists'!$AE$2:$AE$3</definedName>
    <definedName name="Ahmedabad">'Drop Down Lists'!$E$2:$E$22</definedName>
    <definedName name="Ambala">'Drop Down Lists'!$F$2:$F$22</definedName>
    <definedName name="Bangalore">'Drop Down Lists'!$G$2:$G$22</definedName>
    <definedName name="Chennai">'Drop Down Lists'!$H$2:$H$22</definedName>
    <definedName name="Cluster">'Drop Down Lists'!$A$2:$A$18</definedName>
    <definedName name="Coimbatore">'Drop Down Lists'!$I$2:$I$22</definedName>
    <definedName name="Delhi">'Drop Down Lists'!$J$2:$J$22</definedName>
    <definedName name="Delivery_Capability">'Drop Down Lists'!$AC$2:$AC$3</definedName>
    <definedName name="Distance">Assumption_Distance!$F$2:$F$3</definedName>
    <definedName name="Guwahati">'Drop Down Lists'!$K$2:$K$22</definedName>
    <definedName name="Hyderabad">'Drop Down Lists'!$L$2:$L$22</definedName>
    <definedName name="Indore">'Drop Down Lists'!$M$2:$M$22</definedName>
    <definedName name="Jaipur">'Drop Down Lists'!$N$2:$N$22</definedName>
    <definedName name="Jamshedpur">'Drop Down Lists'!$O$2:$O$22</definedName>
    <definedName name="Kolkata">'Drop Down Lists'!$P$2:$P$22</definedName>
    <definedName name="Lucknow">'Drop Down Lists'!$Q$2:$Q$22</definedName>
    <definedName name="Maintenance_cap___per_km">Vehicle_Maintenance!$B$24</definedName>
    <definedName name="Market_types">'Vehicle EMI Sheet'!$A$27:$A$33</definedName>
    <definedName name="Mumbai">'Drop Down Lists'!$R$2:$R$22</definedName>
    <definedName name="Nagpur">'Drop Down Lists'!$S$2:$S$22</definedName>
    <definedName name="Noida">'Drop Down Lists'!$T$2:$T$22</definedName>
    <definedName name="Ownership">Assumption_Distance!#REF!</definedName>
    <definedName name="Profit_margin">'Drop Down Lists'!$AH$2:$AH$11</definedName>
    <definedName name="Pune">'Drop Down Lists'!$U$2:$U$22</definedName>
    <definedName name="Tyre_cap___per_km">Vehicle_Maintenance!$B$23</definedName>
    <definedName name="Veh_Cat">'Drop Down Lists'!$AA$2:$AA$13</definedName>
    <definedName name="Veh_Category">'Drop Down Lists'!$AA$2:$AA$13</definedName>
    <definedName name="Vehicle">'Drop Down Lists'!$W$2:$W$21</definedName>
    <definedName name="Year">'Drop Down Lists'!$Y$2:$Y$1048576</definedName>
    <definedName name="Year_of_Make">'Drop Down Lists'!$Y$2:$Y$15</definedName>
  </definedNames>
  <calcPr calcId="191029"/>
</workbook>
</file>

<file path=xl/calcChain.xml><?xml version="1.0" encoding="utf-8"?>
<calcChain xmlns="http://schemas.openxmlformats.org/spreadsheetml/2006/main">
  <c r="D75" i="1" l="1"/>
  <c r="E75" i="1"/>
  <c r="F75" i="1"/>
  <c r="G75" i="1"/>
  <c r="H75" i="1"/>
  <c r="I75" i="1"/>
  <c r="J75" i="1"/>
  <c r="K75" i="1"/>
  <c r="L75" i="1"/>
  <c r="C75" i="1"/>
  <c r="M75" i="1" l="1"/>
  <c r="C26" i="1" s="1"/>
  <c r="D59" i="1" l="1"/>
  <c r="E59" i="1"/>
  <c r="F59" i="1"/>
  <c r="G59" i="1"/>
  <c r="H59" i="1"/>
  <c r="I59" i="1"/>
  <c r="J59" i="1"/>
  <c r="K59" i="1"/>
  <c r="L59" i="1"/>
  <c r="C59" i="1"/>
  <c r="D67" i="1"/>
  <c r="E67" i="1"/>
  <c r="F67" i="1"/>
  <c r="G67" i="1"/>
  <c r="H67" i="1"/>
  <c r="I67" i="1"/>
  <c r="J67" i="1"/>
  <c r="K67" i="1"/>
  <c r="L67" i="1"/>
  <c r="C67" i="1"/>
  <c r="D63" i="1"/>
  <c r="E63" i="1"/>
  <c r="F63" i="1"/>
  <c r="G63" i="1"/>
  <c r="H63" i="1"/>
  <c r="I63" i="1"/>
  <c r="J63" i="1"/>
  <c r="K63" i="1"/>
  <c r="L63" i="1"/>
  <c r="C63" i="1"/>
  <c r="D52" i="1"/>
  <c r="E52" i="1"/>
  <c r="F52" i="1"/>
  <c r="G52" i="1"/>
  <c r="H52" i="1"/>
  <c r="I52" i="1"/>
  <c r="J52" i="1"/>
  <c r="K52" i="1"/>
  <c r="L52" i="1"/>
  <c r="C52" i="1"/>
  <c r="A21" i="9"/>
  <c r="A16" i="9"/>
  <c r="A19" i="9"/>
  <c r="A10" i="9"/>
  <c r="A11" i="9"/>
  <c r="A12" i="9"/>
  <c r="A4" i="9"/>
  <c r="A13" i="9"/>
  <c r="A14" i="9"/>
  <c r="A6" i="9"/>
  <c r="A20" i="9"/>
  <c r="A18" i="9"/>
  <c r="A15" i="9"/>
  <c r="A9" i="9"/>
  <c r="A23" i="9"/>
  <c r="A17" i="9"/>
  <c r="A8" i="9"/>
  <c r="A5" i="9"/>
  <c r="A7" i="9"/>
  <c r="A22" i="9"/>
  <c r="A19" i="11"/>
  <c r="A14" i="11"/>
  <c r="A4" i="11"/>
  <c r="A13" i="11"/>
  <c r="A7" i="11"/>
  <c r="A21" i="11"/>
  <c r="A15" i="11"/>
  <c r="A5" i="11"/>
  <c r="A17" i="11"/>
  <c r="A11" i="11"/>
  <c r="A8" i="11"/>
  <c r="A6" i="11"/>
  <c r="A3" i="11"/>
  <c r="A2" i="11"/>
  <c r="A9" i="11"/>
  <c r="A10" i="11"/>
  <c r="A18" i="11"/>
  <c r="A12" i="11"/>
  <c r="A16" i="11"/>
  <c r="A20" i="11"/>
  <c r="F19" i="11"/>
  <c r="F14" i="11"/>
  <c r="F4" i="11"/>
  <c r="F13" i="11"/>
  <c r="F7" i="11"/>
  <c r="F21" i="11"/>
  <c r="F15" i="11"/>
  <c r="F5" i="11"/>
  <c r="F17" i="11"/>
  <c r="F11" i="11"/>
  <c r="F8" i="11"/>
  <c r="F6" i="11"/>
  <c r="F3" i="11"/>
  <c r="F2" i="11"/>
  <c r="F9" i="11"/>
  <c r="F10" i="11"/>
  <c r="F18" i="11"/>
  <c r="F12" i="11"/>
  <c r="F16" i="11"/>
  <c r="F20" i="11"/>
  <c r="H2" i="8"/>
  <c r="H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G2" i="8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F2" i="8"/>
  <c r="F3" i="8"/>
  <c r="F4" i="8"/>
  <c r="F5" i="8"/>
  <c r="F6" i="8"/>
  <c r="F7" i="8"/>
  <c r="H23" i="1" s="1"/>
  <c r="F8" i="8"/>
  <c r="F9" i="8"/>
  <c r="F10" i="8"/>
  <c r="F11" i="8"/>
  <c r="F12" i="8"/>
  <c r="F13" i="8"/>
  <c r="F14" i="8"/>
  <c r="F15" i="8"/>
  <c r="F16" i="8"/>
  <c r="F17" i="8"/>
  <c r="F18" i="8"/>
  <c r="F19" i="8"/>
  <c r="L53" i="1"/>
  <c r="K53" i="1"/>
  <c r="J53" i="1"/>
  <c r="I53" i="1"/>
  <c r="H53" i="1"/>
  <c r="G53" i="1"/>
  <c r="F53" i="1"/>
  <c r="E53" i="1"/>
  <c r="D53" i="1"/>
  <c r="C53" i="1"/>
  <c r="S2" i="6"/>
  <c r="S3" i="6"/>
  <c r="S4" i="6"/>
  <c r="S5" i="6"/>
  <c r="S6" i="6"/>
  <c r="S7" i="6"/>
  <c r="S8" i="6"/>
  <c r="S9" i="6"/>
  <c r="S10" i="6"/>
  <c r="S11" i="6"/>
  <c r="S12" i="6"/>
  <c r="S13" i="6"/>
  <c r="S14" i="6"/>
  <c r="S15" i="6"/>
  <c r="S16" i="6"/>
  <c r="S17" i="6"/>
  <c r="S18" i="6"/>
  <c r="S19" i="6"/>
  <c r="S20" i="6"/>
  <c r="S21" i="6"/>
  <c r="R21" i="6"/>
  <c r="Q21" i="6"/>
  <c r="P21" i="6"/>
  <c r="N21" i="6"/>
  <c r="M21" i="6"/>
  <c r="L21" i="6"/>
  <c r="K21" i="6"/>
  <c r="J21" i="6"/>
  <c r="I21" i="6"/>
  <c r="G21" i="6"/>
  <c r="F21" i="6"/>
  <c r="E21" i="6"/>
  <c r="C21" i="6"/>
  <c r="A21" i="6"/>
  <c r="R20" i="6"/>
  <c r="N20" i="6"/>
  <c r="M20" i="6"/>
  <c r="J20" i="6"/>
  <c r="A20" i="6"/>
  <c r="R19" i="6"/>
  <c r="N19" i="6"/>
  <c r="M19" i="6"/>
  <c r="J19" i="6"/>
  <c r="A19" i="6"/>
  <c r="R18" i="6"/>
  <c r="N18" i="6"/>
  <c r="M18" i="6"/>
  <c r="H18" i="6"/>
  <c r="A18" i="6"/>
  <c r="R17" i="6"/>
  <c r="M17" i="6"/>
  <c r="H17" i="6"/>
  <c r="A17" i="6"/>
  <c r="R16" i="6"/>
  <c r="N16" i="6"/>
  <c r="M16" i="6"/>
  <c r="H16" i="6"/>
  <c r="A16" i="6"/>
  <c r="R15" i="6"/>
  <c r="N15" i="6"/>
  <c r="M15" i="6"/>
  <c r="L15" i="6"/>
  <c r="K15" i="6"/>
  <c r="I15" i="6"/>
  <c r="H15" i="6"/>
  <c r="A15" i="6"/>
  <c r="R14" i="6"/>
  <c r="N14" i="6"/>
  <c r="M14" i="6"/>
  <c r="L14" i="6"/>
  <c r="K14" i="6"/>
  <c r="I14" i="6"/>
  <c r="H14" i="6"/>
  <c r="A14" i="6"/>
  <c r="A13" i="6"/>
  <c r="A12" i="6"/>
  <c r="R11" i="6"/>
  <c r="N11" i="6"/>
  <c r="M11" i="6"/>
  <c r="L11" i="6"/>
  <c r="K11" i="6"/>
  <c r="I11" i="6"/>
  <c r="H11" i="6"/>
  <c r="A11" i="6"/>
  <c r="R10" i="6"/>
  <c r="Q10" i="6"/>
  <c r="P10" i="6"/>
  <c r="N10" i="6"/>
  <c r="M10" i="6"/>
  <c r="L10" i="6"/>
  <c r="K10" i="6"/>
  <c r="I10" i="6"/>
  <c r="H10" i="6"/>
  <c r="A10" i="6"/>
  <c r="M9" i="6"/>
  <c r="L9" i="6"/>
  <c r="K9" i="6"/>
  <c r="J9" i="6"/>
  <c r="I9" i="6"/>
  <c r="A9" i="6"/>
  <c r="R8" i="6"/>
  <c r="P8" i="6"/>
  <c r="N8" i="6"/>
  <c r="M8" i="6"/>
  <c r="L8" i="6"/>
  <c r="K8" i="6"/>
  <c r="H8" i="6"/>
  <c r="A8" i="6"/>
  <c r="M7" i="6"/>
  <c r="L7" i="6"/>
  <c r="K7" i="6"/>
  <c r="I7" i="6"/>
  <c r="H7" i="6"/>
  <c r="A7" i="6"/>
  <c r="P6" i="6"/>
  <c r="N6" i="6"/>
  <c r="M6" i="6"/>
  <c r="L6" i="6"/>
  <c r="K6" i="6"/>
  <c r="I6" i="6"/>
  <c r="A6" i="6"/>
  <c r="N5" i="6"/>
  <c r="M5" i="6"/>
  <c r="L5" i="6"/>
  <c r="K5" i="6"/>
  <c r="H5" i="6"/>
  <c r="A5" i="6"/>
  <c r="R4" i="6"/>
  <c r="P4" i="6"/>
  <c r="O4" i="6"/>
  <c r="M4" i="6"/>
  <c r="L4" i="6"/>
  <c r="K4" i="6"/>
  <c r="I4" i="6"/>
  <c r="H4" i="6"/>
  <c r="A4" i="6"/>
  <c r="R3" i="6"/>
  <c r="M3" i="6"/>
  <c r="L3" i="6"/>
  <c r="K3" i="6"/>
  <c r="I3" i="6"/>
  <c r="H3" i="6"/>
  <c r="A3" i="6"/>
  <c r="Q2" i="6"/>
  <c r="M2" i="6"/>
  <c r="L2" i="6"/>
  <c r="K2" i="6"/>
  <c r="A2" i="6"/>
  <c r="I18" i="8" l="1"/>
  <c r="I10" i="8"/>
  <c r="I13" i="8"/>
  <c r="I5" i="8"/>
  <c r="I12" i="8"/>
  <c r="I4" i="8"/>
  <c r="I11" i="8"/>
  <c r="I9" i="8"/>
  <c r="I19" i="8"/>
  <c r="I14" i="8"/>
  <c r="I6" i="8"/>
  <c r="I17" i="8"/>
  <c r="I3" i="8"/>
  <c r="I15" i="8"/>
  <c r="I7" i="8"/>
  <c r="I16" i="8"/>
  <c r="I8" i="8"/>
  <c r="I2" i="8"/>
  <c r="M59" i="1"/>
  <c r="H54" i="1"/>
  <c r="G54" i="1"/>
  <c r="F54" i="1"/>
  <c r="L54" i="1"/>
  <c r="D54" i="1"/>
  <c r="E54" i="1"/>
  <c r="K54" i="1"/>
  <c r="M67" i="1"/>
  <c r="F23" i="1" s="1"/>
  <c r="C54" i="1"/>
  <c r="J54" i="1"/>
  <c r="I54" i="1"/>
  <c r="M53" i="1"/>
  <c r="M52" i="1"/>
  <c r="A2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T12" i="6"/>
  <c r="T13" i="6"/>
  <c r="T2" i="6"/>
  <c r="T4" i="6"/>
  <c r="T5" i="6"/>
  <c r="T6" i="6"/>
  <c r="T7" i="6"/>
  <c r="T8" i="6"/>
  <c r="T9" i="6"/>
  <c r="T11" i="6"/>
  <c r="T15" i="6"/>
  <c r="T19" i="6"/>
  <c r="T20" i="6"/>
  <c r="T16" i="6"/>
  <c r="E21" i="9"/>
  <c r="E16" i="9"/>
  <c r="I16" i="9" s="1"/>
  <c r="E19" i="9"/>
  <c r="E10" i="9"/>
  <c r="I10" i="9" s="1"/>
  <c r="E11" i="9"/>
  <c r="E12" i="9"/>
  <c r="J12" i="9" s="1"/>
  <c r="E4" i="9"/>
  <c r="E13" i="9"/>
  <c r="J13" i="9" s="1"/>
  <c r="E14" i="9"/>
  <c r="E6" i="9"/>
  <c r="I6" i="9" s="1"/>
  <c r="E20" i="9"/>
  <c r="E18" i="9"/>
  <c r="I18" i="9" s="1"/>
  <c r="E15" i="9"/>
  <c r="E9" i="9"/>
  <c r="J9" i="9" s="1"/>
  <c r="E23" i="9"/>
  <c r="E17" i="9"/>
  <c r="J17" i="9" s="1"/>
  <c r="E8" i="9"/>
  <c r="E5" i="9"/>
  <c r="I5" i="9" s="1"/>
  <c r="E7" i="9"/>
  <c r="E22" i="9"/>
  <c r="I22" i="9" s="1"/>
  <c r="I2" i="9"/>
  <c r="G2" i="9"/>
  <c r="H2" i="9"/>
  <c r="F2" i="9"/>
  <c r="G11" i="9" s="1"/>
  <c r="G17" i="12"/>
  <c r="E17" i="12"/>
  <c r="D17" i="12"/>
  <c r="C17" i="12"/>
  <c r="B17" i="12"/>
  <c r="F17" i="12" s="1"/>
  <c r="G16" i="12"/>
  <c r="E16" i="12"/>
  <c r="D16" i="12"/>
  <c r="C16" i="12"/>
  <c r="B16" i="12"/>
  <c r="F16" i="12" s="1"/>
  <c r="G15" i="12"/>
  <c r="E15" i="12"/>
  <c r="D15" i="12"/>
  <c r="C15" i="12"/>
  <c r="B15" i="12"/>
  <c r="F15" i="12" s="1"/>
  <c r="G14" i="12"/>
  <c r="E14" i="12"/>
  <c r="D14" i="12"/>
  <c r="C14" i="12"/>
  <c r="B14" i="12"/>
  <c r="F14" i="12" s="1"/>
  <c r="G13" i="12"/>
  <c r="E13" i="12"/>
  <c r="D13" i="12"/>
  <c r="C13" i="12"/>
  <c r="B13" i="12"/>
  <c r="F13" i="12" s="1"/>
  <c r="G12" i="12"/>
  <c r="E12" i="12"/>
  <c r="D12" i="12"/>
  <c r="C12" i="12"/>
  <c r="B12" i="12"/>
  <c r="F12" i="12" s="1"/>
  <c r="G11" i="12"/>
  <c r="E11" i="12"/>
  <c r="D11" i="12"/>
  <c r="C11" i="12"/>
  <c r="B11" i="12"/>
  <c r="F11" i="12" s="1"/>
  <c r="G10" i="12"/>
  <c r="E10" i="12"/>
  <c r="D10" i="12"/>
  <c r="C10" i="12"/>
  <c r="B10" i="12"/>
  <c r="F10" i="12" s="1"/>
  <c r="G9" i="12"/>
  <c r="E9" i="12"/>
  <c r="D9" i="12"/>
  <c r="C9" i="12"/>
  <c r="B9" i="12"/>
  <c r="F9" i="12" s="1"/>
  <c r="G8" i="12"/>
  <c r="E8" i="12"/>
  <c r="D8" i="12"/>
  <c r="C8" i="12"/>
  <c r="B8" i="12"/>
  <c r="F8" i="12" s="1"/>
  <c r="G7" i="12"/>
  <c r="E7" i="12"/>
  <c r="D7" i="12"/>
  <c r="C7" i="12"/>
  <c r="B7" i="12"/>
  <c r="F7" i="12" s="1"/>
  <c r="G6" i="12"/>
  <c r="E6" i="12"/>
  <c r="D6" i="12"/>
  <c r="C6" i="12"/>
  <c r="B6" i="12"/>
  <c r="F6" i="12" s="1"/>
  <c r="G5" i="12"/>
  <c r="E5" i="12"/>
  <c r="D5" i="12"/>
  <c r="C5" i="12"/>
  <c r="B5" i="12"/>
  <c r="F5" i="12" s="1"/>
  <c r="G4" i="12"/>
  <c r="E4" i="12"/>
  <c r="E18" i="12" s="1"/>
  <c r="D4" i="12"/>
  <c r="D18" i="12" s="1"/>
  <c r="C4" i="12"/>
  <c r="C18" i="12" s="1"/>
  <c r="B4" i="12"/>
  <c r="B18" i="12" s="1"/>
  <c r="I11" i="9" l="1"/>
  <c r="H21" i="9"/>
  <c r="J21" i="9"/>
  <c r="D23" i="1"/>
  <c r="G22" i="9"/>
  <c r="G18" i="9"/>
  <c r="H17" i="9"/>
  <c r="H13" i="9"/>
  <c r="G7" i="9"/>
  <c r="G20" i="9"/>
  <c r="G19" i="9"/>
  <c r="H23" i="9"/>
  <c r="H4" i="9"/>
  <c r="I7" i="9"/>
  <c r="I20" i="9"/>
  <c r="I19" i="9"/>
  <c r="J23" i="9"/>
  <c r="J4" i="9"/>
  <c r="G10" i="9"/>
  <c r="G8" i="9"/>
  <c r="G14" i="9"/>
  <c r="G21" i="9"/>
  <c r="H15" i="9"/>
  <c r="H11" i="9"/>
  <c r="I8" i="9"/>
  <c r="I14" i="9"/>
  <c r="I21" i="9"/>
  <c r="J15" i="9"/>
  <c r="J11" i="9"/>
  <c r="G5" i="9"/>
  <c r="G16" i="9"/>
  <c r="H12" i="9"/>
  <c r="G17" i="9"/>
  <c r="G13" i="9"/>
  <c r="H22" i="9"/>
  <c r="H18" i="9"/>
  <c r="H10" i="9"/>
  <c r="I17" i="9"/>
  <c r="I13" i="9"/>
  <c r="J22" i="9"/>
  <c r="J18" i="9"/>
  <c r="J10" i="9"/>
  <c r="G6" i="9"/>
  <c r="H9" i="9"/>
  <c r="G23" i="9"/>
  <c r="G4" i="9"/>
  <c r="H7" i="9"/>
  <c r="H20" i="9"/>
  <c r="H19" i="9"/>
  <c r="I23" i="9"/>
  <c r="I4" i="9"/>
  <c r="J7" i="9"/>
  <c r="J20" i="9"/>
  <c r="J19" i="9"/>
  <c r="G9" i="9"/>
  <c r="G12" i="9"/>
  <c r="H5" i="9"/>
  <c r="H6" i="9"/>
  <c r="H16" i="9"/>
  <c r="I9" i="9"/>
  <c r="I12" i="9"/>
  <c r="J5" i="9"/>
  <c r="J6" i="9"/>
  <c r="J16" i="9"/>
  <c r="G15" i="9"/>
  <c r="H8" i="9"/>
  <c r="H14" i="9"/>
  <c r="I15" i="9"/>
  <c r="J8" i="9"/>
  <c r="J14" i="9"/>
  <c r="M54" i="1"/>
  <c r="C23" i="1"/>
  <c r="T14" i="6"/>
  <c r="T3" i="6"/>
  <c r="T10" i="6"/>
  <c r="T18" i="6"/>
  <c r="T21" i="6"/>
  <c r="T17" i="6"/>
  <c r="H6" i="12"/>
  <c r="I6" i="12" s="1"/>
  <c r="H10" i="12"/>
  <c r="I10" i="12" s="1"/>
  <c r="H14" i="12"/>
  <c r="I14" i="12" s="1"/>
  <c r="H7" i="12"/>
  <c r="I7" i="12" s="1"/>
  <c r="H11" i="12"/>
  <c r="I11" i="12" s="1"/>
  <c r="H15" i="12"/>
  <c r="I15" i="12" s="1"/>
  <c r="H8" i="12"/>
  <c r="I8" i="12" s="1"/>
  <c r="H12" i="12"/>
  <c r="I12" i="12" s="1"/>
  <c r="H16" i="12"/>
  <c r="I16" i="12" s="1"/>
  <c r="H5" i="12"/>
  <c r="I5" i="12" s="1"/>
  <c r="H9" i="12"/>
  <c r="I9" i="12" s="1"/>
  <c r="H13" i="12"/>
  <c r="I13" i="12" s="1"/>
  <c r="H17" i="12"/>
  <c r="I17" i="12" s="1"/>
  <c r="F4" i="12"/>
  <c r="F18" i="12" s="1"/>
  <c r="E19" i="12" s="1"/>
  <c r="G18" i="12"/>
  <c r="D71" i="1" l="1"/>
  <c r="C71" i="1"/>
  <c r="H4" i="12"/>
  <c r="C19" i="12"/>
  <c r="B19" i="12"/>
  <c r="D19" i="12"/>
  <c r="M63" i="1" l="1"/>
  <c r="E23" i="1" s="1"/>
  <c r="G23" i="1" s="1"/>
  <c r="I4" i="12"/>
  <c r="H18" i="12"/>
  <c r="I18" i="12" s="1"/>
  <c r="F71" i="1" l="1"/>
  <c r="E71" i="1"/>
  <c r="I23" i="1" l="1"/>
  <c r="J23" i="1" s="1"/>
  <c r="E29" i="1" s="1"/>
</calcChain>
</file>

<file path=xl/sharedStrings.xml><?xml version="1.0" encoding="utf-8"?>
<sst xmlns="http://schemas.openxmlformats.org/spreadsheetml/2006/main" count="1449" uniqueCount="470">
  <si>
    <t>INPUT</t>
  </si>
  <si>
    <t>Vehicle Type</t>
  </si>
  <si>
    <t>Vehicle #1</t>
  </si>
  <si>
    <t>Vehicle #2</t>
  </si>
  <si>
    <t>Vehicle #3</t>
  </si>
  <si>
    <t>Vehicle #4</t>
  </si>
  <si>
    <t>Vehicle #5</t>
  </si>
  <si>
    <t>Vehicle #6</t>
  </si>
  <si>
    <t>Vehicle #7</t>
  </si>
  <si>
    <t>Vehicle #8</t>
  </si>
  <si>
    <t>Vehicle #9</t>
  </si>
  <si>
    <t>Vehicle #10</t>
  </si>
  <si>
    <t>Tata Ace</t>
  </si>
  <si>
    <t>Eicher 32 ft</t>
  </si>
  <si>
    <t>Pickup</t>
  </si>
  <si>
    <t>Cargo king</t>
  </si>
  <si>
    <t>Vehicle Profile</t>
  </si>
  <si>
    <t>EMI (5 yrs)</t>
  </si>
  <si>
    <t>Market (30000)</t>
  </si>
  <si>
    <t>Market (20000)</t>
  </si>
  <si>
    <t>Area Profile</t>
  </si>
  <si>
    <t>Delivery Capability</t>
  </si>
  <si>
    <t>Cluster</t>
  </si>
  <si>
    <t>Branch Code</t>
  </si>
  <si>
    <t>Congestion Charges</t>
  </si>
  <si>
    <t>Ahmedabad</t>
  </si>
  <si>
    <t>AKVB1</t>
  </si>
  <si>
    <t>PROCESSING</t>
  </si>
  <si>
    <t>Cost Profile</t>
  </si>
  <si>
    <t>Manpower Cost</t>
  </si>
  <si>
    <t>Fuel Cost</t>
  </si>
  <si>
    <t>EMI Cost</t>
  </si>
  <si>
    <t>Additional Charges</t>
  </si>
  <si>
    <t>Total Costs</t>
  </si>
  <si>
    <t>Loader Count</t>
  </si>
  <si>
    <t>Driver Count</t>
  </si>
  <si>
    <t>Supervisor Count</t>
  </si>
  <si>
    <t>Month Capacity (T)</t>
  </si>
  <si>
    <t>OUTPUT</t>
  </si>
  <si>
    <t>OU</t>
  </si>
  <si>
    <t>Vehicle</t>
  </si>
  <si>
    <t>Year of Make</t>
  </si>
  <si>
    <t>AMDT1</t>
  </si>
  <si>
    <t>Ambala</t>
  </si>
  <si>
    <t>Bangalore</t>
  </si>
  <si>
    <t>Chennai</t>
  </si>
  <si>
    <t>Coimbatore</t>
  </si>
  <si>
    <t>Delhi</t>
  </si>
  <si>
    <t>Guwahati</t>
  </si>
  <si>
    <t>Hyderabad</t>
  </si>
  <si>
    <t>Indore</t>
  </si>
  <si>
    <t>Jaipur</t>
  </si>
  <si>
    <t>Jamshedpur</t>
  </si>
  <si>
    <t>Kolkata</t>
  </si>
  <si>
    <t>Lucknow</t>
  </si>
  <si>
    <t>Mumbai</t>
  </si>
  <si>
    <t>Nagpur</t>
  </si>
  <si>
    <t>Noida</t>
  </si>
  <si>
    <t>Pune</t>
  </si>
  <si>
    <t>Veh_Category</t>
  </si>
  <si>
    <t>Additional charges</t>
  </si>
  <si>
    <t>AMBT1</t>
  </si>
  <si>
    <t>BAYB1</t>
  </si>
  <si>
    <t>MAAB4</t>
  </si>
  <si>
    <t>CANB1</t>
  </si>
  <si>
    <t>AWRB1</t>
  </si>
  <si>
    <t>BNGB1</t>
  </si>
  <si>
    <t>ATPB1</t>
  </si>
  <si>
    <t>BHOB1</t>
  </si>
  <si>
    <t>AIIB1</t>
  </si>
  <si>
    <t>BBIB1</t>
  </si>
  <si>
    <t>ASNB1</t>
  </si>
  <si>
    <t>BBKB1</t>
  </si>
  <si>
    <t>BOMB7</t>
  </si>
  <si>
    <t>AKDB1</t>
  </si>
  <si>
    <t>AGRB1</t>
  </si>
  <si>
    <t>ANGB1</t>
  </si>
  <si>
    <t>Owned</t>
  </si>
  <si>
    <t>AMDB1</t>
  </si>
  <si>
    <t>ATQB1</t>
  </si>
  <si>
    <t>BGMB1</t>
  </si>
  <si>
    <t>MAABP</t>
  </si>
  <si>
    <t>CCJB1</t>
  </si>
  <si>
    <t>BHWB1</t>
  </si>
  <si>
    <t>COHB1</t>
  </si>
  <si>
    <t>HYDBB</t>
  </si>
  <si>
    <t>BIAB1</t>
  </si>
  <si>
    <t>BKNB1</t>
  </si>
  <si>
    <t>BGPB1</t>
  </si>
  <si>
    <t>BWNB1</t>
  </si>
  <si>
    <t>FZDB1</t>
  </si>
  <si>
    <t>BOMBA</t>
  </si>
  <si>
    <t>AMIB1</t>
  </si>
  <si>
    <t>ALJB1</t>
  </si>
  <si>
    <t>DHIB1</t>
  </si>
  <si>
    <t>Union charges</t>
  </si>
  <si>
    <t>AMDBC</t>
  </si>
  <si>
    <t>BDDB1</t>
  </si>
  <si>
    <t>BLRBC</t>
  </si>
  <si>
    <t>MAAT1</t>
  </si>
  <si>
    <t>CJBBU</t>
  </si>
  <si>
    <t>BNWB1</t>
  </si>
  <si>
    <t>GAUT1</t>
  </si>
  <si>
    <t>HYDBC</t>
  </si>
  <si>
    <t>DWXB1</t>
  </si>
  <si>
    <t>JAIT1</t>
  </si>
  <si>
    <t>BKRB1</t>
  </si>
  <si>
    <t>CCUB5</t>
  </si>
  <si>
    <t>GOPB1</t>
  </si>
  <si>
    <t>BOMBB</t>
  </si>
  <si>
    <t>CDRB1</t>
  </si>
  <si>
    <t>BRYB1</t>
  </si>
  <si>
    <t>GOIB1</t>
  </si>
  <si>
    <t>Tata 407</t>
  </si>
  <si>
    <t>Terrain charges</t>
  </si>
  <si>
    <t>AMDBL</t>
  </si>
  <si>
    <t>BUPCB1</t>
  </si>
  <si>
    <t>BLRBH</t>
  </si>
  <si>
    <t>MAAT2</t>
  </si>
  <si>
    <t>CJBT1</t>
  </si>
  <si>
    <t>CTRB1</t>
  </si>
  <si>
    <t>NGAB1</t>
  </si>
  <si>
    <t>HYDBE</t>
  </si>
  <si>
    <t>GWLB1</t>
  </si>
  <si>
    <t>JDHB1</t>
  </si>
  <si>
    <t>Cuttack</t>
  </si>
  <si>
    <t>CCUBB</t>
  </si>
  <si>
    <t>IXDB1</t>
  </si>
  <si>
    <t>BOMBG</t>
  </si>
  <si>
    <t>NAGT1</t>
  </si>
  <si>
    <t>DEDB1</t>
  </si>
  <si>
    <t>ISKB1</t>
  </si>
  <si>
    <t>Eicher 14</t>
  </si>
  <si>
    <t>EMI (4 yrs)</t>
  </si>
  <si>
    <t>AMDBP</t>
  </si>
  <si>
    <t>HSXB1</t>
  </si>
  <si>
    <t>BLRBJ</t>
  </si>
  <si>
    <t>NLRB1</t>
  </si>
  <si>
    <t>COKB1</t>
  </si>
  <si>
    <t>DELB1</t>
  </si>
  <si>
    <t>NJPT1</t>
  </si>
  <si>
    <t>HYDBK</t>
  </si>
  <si>
    <t>IDRT1</t>
  </si>
  <si>
    <t>KTUB1</t>
  </si>
  <si>
    <t>DBDB1</t>
  </si>
  <si>
    <t>CCUBD</t>
  </si>
  <si>
    <t>JHSB1</t>
  </si>
  <si>
    <t>BOMBM</t>
  </si>
  <si>
    <t>RPRB1</t>
  </si>
  <si>
    <t>DELBZ</t>
  </si>
  <si>
    <t>IXUB1</t>
  </si>
  <si>
    <t>Eicher 17</t>
  </si>
  <si>
    <t>EMI (3 yrs)</t>
  </si>
  <si>
    <t>IXCB1</t>
  </si>
  <si>
    <t>BLRBM</t>
  </si>
  <si>
    <t>PNYB1</t>
  </si>
  <si>
    <t>ERDB1</t>
  </si>
  <si>
    <t>DELB2</t>
  </si>
  <si>
    <t>HYDBS</t>
  </si>
  <si>
    <t>JLRB1</t>
  </si>
  <si>
    <t>SIKB1</t>
  </si>
  <si>
    <t>DBRB1</t>
  </si>
  <si>
    <t>CCUBT</t>
  </si>
  <si>
    <t>KNUB1</t>
  </si>
  <si>
    <t>BOMBN</t>
  </si>
  <si>
    <t>HWB1</t>
  </si>
  <si>
    <t>JLGB1</t>
  </si>
  <si>
    <t>Eicher 19</t>
  </si>
  <si>
    <t>EMI (8 yrs)</t>
  </si>
  <si>
    <t>BDQT1</t>
  </si>
  <si>
    <t>IXJB1</t>
  </si>
  <si>
    <t>BLRBN</t>
  </si>
  <si>
    <t>SRIB1</t>
  </si>
  <si>
    <t>IXMB1</t>
  </si>
  <si>
    <t>DELB3</t>
  </si>
  <si>
    <t>HYDT1</t>
  </si>
  <si>
    <t>PABB1</t>
  </si>
  <si>
    <t>UDRB1</t>
  </si>
  <si>
    <t>IXRB1</t>
  </si>
  <si>
    <t>CCUT1</t>
  </si>
  <si>
    <t>LKOBD</t>
  </si>
  <si>
    <t>BOMBV</t>
  </si>
  <si>
    <t>MBB1</t>
  </si>
  <si>
    <t>KLHB1</t>
  </si>
  <si>
    <t>22 ft</t>
  </si>
  <si>
    <t>BVCB1</t>
  </si>
  <si>
    <t>JUCB1</t>
  </si>
  <si>
    <t>BLRBW</t>
  </si>
  <si>
    <t>VLRB1</t>
  </si>
  <si>
    <t>PGTB1</t>
  </si>
  <si>
    <t>DELBC</t>
  </si>
  <si>
    <t>KRMB1</t>
  </si>
  <si>
    <t>PTMB1</t>
  </si>
  <si>
    <t>IXWT1</t>
  </si>
  <si>
    <t>CCUT2</t>
  </si>
  <si>
    <t>LKOT1</t>
  </si>
  <si>
    <t>BOMT1</t>
  </si>
  <si>
    <t>MTJB1</t>
  </si>
  <si>
    <t>PNQB9</t>
  </si>
  <si>
    <t>Eicher 20</t>
  </si>
  <si>
    <t>GNCB1</t>
  </si>
  <si>
    <t>KRNB1</t>
  </si>
  <si>
    <t>BLRT1</t>
  </si>
  <si>
    <t>POYB1</t>
  </si>
  <si>
    <t>DELBD</t>
  </si>
  <si>
    <t>KUNB1</t>
  </si>
  <si>
    <t>SGOB1</t>
  </si>
  <si>
    <t>PATB1</t>
  </si>
  <si>
    <t>CCUTN</t>
  </si>
  <si>
    <t>MAUB1</t>
  </si>
  <si>
    <t>PNVB1</t>
  </si>
  <si>
    <t>MUTB1</t>
  </si>
  <si>
    <t>PNQBF</t>
  </si>
  <si>
    <t>Market (40000)</t>
  </si>
  <si>
    <t>IXYB1</t>
  </si>
  <si>
    <t>LUHB1</t>
  </si>
  <si>
    <t>DVGB1</t>
  </si>
  <si>
    <t>SXVB1</t>
  </si>
  <si>
    <t>DELBF</t>
  </si>
  <si>
    <t>MBRB1</t>
  </si>
  <si>
    <t>UJNB1</t>
  </si>
  <si>
    <t>SBPB1</t>
  </si>
  <si>
    <t>DGRB1</t>
  </si>
  <si>
    <t>RBLB1</t>
  </si>
  <si>
    <t>TARB1</t>
  </si>
  <si>
    <t>MZAB1</t>
  </si>
  <si>
    <t>PNQBH</t>
  </si>
  <si>
    <t>3wheeler</t>
  </si>
  <si>
    <t>Market (50000)</t>
  </si>
  <si>
    <t>JGAB1</t>
  </si>
  <si>
    <t>MDIB1</t>
  </si>
  <si>
    <t>HBXB1</t>
  </si>
  <si>
    <t>TENB1</t>
  </si>
  <si>
    <t>DELBG</t>
  </si>
  <si>
    <t>NZBB1</t>
  </si>
  <si>
    <t>LDAB1</t>
  </si>
  <si>
    <t>VNSB1</t>
  </si>
  <si>
    <t>NOIT1</t>
  </si>
  <si>
    <t>PNQBK</t>
  </si>
  <si>
    <t>Tata 909</t>
  </si>
  <si>
    <t>Market (60000)</t>
  </si>
  <si>
    <t>JNDB1</t>
  </si>
  <si>
    <t>MHLB1</t>
  </si>
  <si>
    <t>IXEB1</t>
  </si>
  <si>
    <t>TJVB1</t>
  </si>
  <si>
    <t>DELBO</t>
  </si>
  <si>
    <t>PTRB1</t>
  </si>
  <si>
    <t>MSBB1</t>
  </si>
  <si>
    <t>RUPCB1</t>
  </si>
  <si>
    <t>PNQBP</t>
  </si>
  <si>
    <t>Tata 1109</t>
  </si>
  <si>
    <t>Market (70000)</t>
  </si>
  <si>
    <t>MSHB1</t>
  </si>
  <si>
    <t>PNPB1</t>
  </si>
  <si>
    <t>MLOB1</t>
  </si>
  <si>
    <t>TRVB1</t>
  </si>
  <si>
    <t>DELBP</t>
  </si>
  <si>
    <t>RJAB1</t>
  </si>
  <si>
    <t>STBB1</t>
  </si>
  <si>
    <t>PNQBR</t>
  </si>
  <si>
    <t>Mahindra</t>
  </si>
  <si>
    <t>Market (80000)</t>
  </si>
  <si>
    <t>RAJB1</t>
  </si>
  <si>
    <t>PWNB1</t>
  </si>
  <si>
    <t>MNPB1</t>
  </si>
  <si>
    <t>TRZB1</t>
  </si>
  <si>
    <t>DELBW</t>
  </si>
  <si>
    <t>SKMB1</t>
  </si>
  <si>
    <t>PNQBW</t>
  </si>
  <si>
    <t>Champion</t>
  </si>
  <si>
    <t>STVT1</t>
  </si>
  <si>
    <t>SOLB1</t>
  </si>
  <si>
    <t>MYQB1</t>
  </si>
  <si>
    <t>TUPT1</t>
  </si>
  <si>
    <t>DELPL</t>
  </si>
  <si>
    <t>VGAB1</t>
  </si>
  <si>
    <t>PNQT1</t>
  </si>
  <si>
    <t>Trump Forec</t>
  </si>
  <si>
    <t>VAPT1</t>
  </si>
  <si>
    <t>UHLB1</t>
  </si>
  <si>
    <t>SMEB1</t>
  </si>
  <si>
    <t>DELT1</t>
  </si>
  <si>
    <t>VTZB1</t>
  </si>
  <si>
    <t>PNQT2</t>
  </si>
  <si>
    <t>Super ace</t>
  </si>
  <si>
    <t>YNRB1</t>
  </si>
  <si>
    <t>TMKB1</t>
  </si>
  <si>
    <t>GGN_MAX</t>
  </si>
  <si>
    <t>WRLB1</t>
  </si>
  <si>
    <t>RIGB1</t>
  </si>
  <si>
    <t>HSRB1</t>
  </si>
  <si>
    <t>SLIB1</t>
  </si>
  <si>
    <t>24 FT</t>
  </si>
  <si>
    <t>NMRB1</t>
  </si>
  <si>
    <t>SSEB1</t>
  </si>
  <si>
    <t>AL Dost</t>
  </si>
  <si>
    <t>ROKB1</t>
  </si>
  <si>
    <t>STRB1</t>
  </si>
  <si>
    <t>Taurus</t>
  </si>
  <si>
    <t>SNPB1</t>
  </si>
  <si>
    <t>Capacity</t>
  </si>
  <si>
    <t>Average mileage</t>
  </si>
  <si>
    <t>Agartala (Tripura)</t>
  </si>
  <si>
    <t>INR 64.01</t>
  </si>
  <si>
    <t>Aizawl (Mizoram)</t>
  </si>
  <si>
    <t>INR 63.25</t>
  </si>
  <si>
    <t>Ambala (Haryana)</t>
  </si>
  <si>
    <t>INR 66.43</t>
  </si>
  <si>
    <t>Bangalore (Karnataka)</t>
  </si>
  <si>
    <t>INR 67.05</t>
  </si>
  <si>
    <t>Bhopal (Madhya Pradesh)</t>
  </si>
  <si>
    <t>INR 69.38</t>
  </si>
  <si>
    <t>Bhubaneswar (Odisha)</t>
  </si>
  <si>
    <t>INR 70.75</t>
  </si>
  <si>
    <t>Chandigarh</t>
  </si>
  <si>
    <t>Daman (Daman &amp; Diu)</t>
  </si>
  <si>
    <t>INR 66.63</t>
  </si>
  <si>
    <t>Dehradun (Uttarakhand)</t>
  </si>
  <si>
    <t>INR 66.22</t>
  </si>
  <si>
    <t>Gandhinagar (Gujarat)</t>
  </si>
  <si>
    <t>INR 70.81</t>
  </si>
  <si>
    <t>Gangtok (Sikkim)</t>
  </si>
  <si>
    <t>INR 67.65</t>
  </si>
  <si>
    <t>Guwahati (Assam)</t>
  </si>
  <si>
    <t>INR 68.83</t>
  </si>
  <si>
    <t>Hyderabad (Telangana)</t>
  </si>
  <si>
    <t>INR 71.63</t>
  </si>
  <si>
    <t>Imphal (Manipur)</t>
  </si>
  <si>
    <t>INR 64.03</t>
  </si>
  <si>
    <t>Itanagar (Arunachal Pradesh)</t>
  </si>
  <si>
    <t>INR 63.27</t>
  </si>
  <si>
    <t>Jaipur (Rajasthan)</t>
  </si>
  <si>
    <t>INR 70.25</t>
  </si>
  <si>
    <t>Jammu (J&amp;K)</t>
  </si>
  <si>
    <t>INR 67.11</t>
  </si>
  <si>
    <t>Jalandhar (Punjab)</t>
  </si>
  <si>
    <t>INR 65.92</t>
  </si>
  <si>
    <t>Lucknow (Uttar Pradesh)</t>
  </si>
  <si>
    <t>INR 66.05</t>
  </si>
  <si>
    <t>Panjim (Goa)</t>
  </si>
  <si>
    <t>INR 67.07</t>
  </si>
  <si>
    <t>Patna (Bihar)</t>
  </si>
  <si>
    <t>INR 70.57</t>
  </si>
  <si>
    <t>Pondicherry</t>
  </si>
  <si>
    <t>INR 68.07</t>
  </si>
  <si>
    <t>Port Blair (Andaman &amp; Nicobar)</t>
  </si>
  <si>
    <t>INR 61.86</t>
  </si>
  <si>
    <t>Raipur (Chhattisgarh)</t>
  </si>
  <si>
    <t>INR 71.20</t>
  </si>
  <si>
    <t>Ranchi (Jharkhand)</t>
  </si>
  <si>
    <t>INR 69.63</t>
  </si>
  <si>
    <t>Silvassa (Dadra &amp; Nagar Haveli)</t>
  </si>
  <si>
    <t>INR 66.70</t>
  </si>
  <si>
    <t>Shillong (Meghalaya)</t>
  </si>
  <si>
    <t>INR 65.74</t>
  </si>
  <si>
    <t>Shimla (Himachal Pradesh)</t>
  </si>
  <si>
    <t>INR 65.55</t>
  </si>
  <si>
    <t>Srinagar (J&amp;K)</t>
  </si>
  <si>
    <t>INR 69.24</t>
  </si>
  <si>
    <t>Trivandrum (Kerela)</t>
  </si>
  <si>
    <t>INR 71.52</t>
  </si>
  <si>
    <t>Cluster Name</t>
  </si>
  <si>
    <t>State</t>
  </si>
  <si>
    <t>Semi skilled</t>
  </si>
  <si>
    <t>Skilled</t>
  </si>
  <si>
    <t>Highly skilled</t>
  </si>
  <si>
    <t>Loader Cap</t>
  </si>
  <si>
    <t>Supervisor Cap</t>
  </si>
  <si>
    <t>Gujrat</t>
  </si>
  <si>
    <t>Loader= Semi Skilled</t>
  </si>
  <si>
    <t>Punjab</t>
  </si>
  <si>
    <t>Karnataka</t>
  </si>
  <si>
    <t>Supervisor= Highly Skilled</t>
  </si>
  <si>
    <t>Tamil Nadu</t>
  </si>
  <si>
    <t>Data for skills taken from government Employment Site</t>
  </si>
  <si>
    <t>Assam</t>
  </si>
  <si>
    <t>Telangana</t>
  </si>
  <si>
    <t>Madhya Pradesh</t>
  </si>
  <si>
    <t>Rajasthan</t>
  </si>
  <si>
    <t>Jharkhand</t>
  </si>
  <si>
    <t>West Bengal</t>
  </si>
  <si>
    <t>Uttar Pradesh</t>
  </si>
  <si>
    <t>Maharashtra</t>
  </si>
  <si>
    <t>Vehicles</t>
  </si>
  <si>
    <t>Downpayment %</t>
  </si>
  <si>
    <t>Rate of Interest</t>
  </si>
  <si>
    <t>Driver Expenses</t>
  </si>
  <si>
    <t>Vehicle Cost</t>
  </si>
  <si>
    <t>Total Payout</t>
  </si>
  <si>
    <t>Profit</t>
  </si>
  <si>
    <t>Profitability</t>
  </si>
  <si>
    <t>Grand Total</t>
  </si>
  <si>
    <t>Location code</t>
  </si>
  <si>
    <t>CLUSTER</t>
  </si>
  <si>
    <t xml:space="preserve">Vehicle </t>
  </si>
  <si>
    <t>Mapped Vehicle</t>
  </si>
  <si>
    <t>14 ft</t>
  </si>
  <si>
    <t>17 ft</t>
  </si>
  <si>
    <t xml:space="preserve"> 3wheeler</t>
  </si>
  <si>
    <t>20 ft</t>
  </si>
  <si>
    <t>19 ft</t>
  </si>
  <si>
    <t>Tractor</t>
  </si>
  <si>
    <t>32 ft</t>
  </si>
  <si>
    <t>Driver=Skilled</t>
  </si>
  <si>
    <t>EMI/Refinance Cost</t>
  </si>
  <si>
    <t>Total Manpower Cost</t>
  </si>
  <si>
    <t>Total Fuel Cost</t>
  </si>
  <si>
    <t>Total Maintenence cost</t>
  </si>
  <si>
    <t>Profit margin%</t>
  </si>
  <si>
    <t>Total vehicle cost</t>
  </si>
  <si>
    <t>EMI</t>
  </si>
  <si>
    <t>Profit margin</t>
  </si>
  <si>
    <t>bottom cap</t>
  </si>
  <si>
    <t>Ownership</t>
  </si>
  <si>
    <t>Driver Cap</t>
  </si>
  <si>
    <t>Long distance</t>
  </si>
  <si>
    <t>Intra-city</t>
  </si>
  <si>
    <t>Diesel per liter</t>
  </si>
  <si>
    <t>Tyre cap ₹ per km</t>
  </si>
  <si>
    <t>Maintenance cap ₹ per km</t>
  </si>
  <si>
    <t>Insurance and RTO (Fitness Etc)</t>
  </si>
  <si>
    <t>Tenure (yrs)</t>
  </si>
  <si>
    <t>Months</t>
  </si>
  <si>
    <t>Ad-hoc charges</t>
  </si>
  <si>
    <t>Yes</t>
  </si>
  <si>
    <t>No</t>
  </si>
  <si>
    <t>Market vehicle cost</t>
  </si>
  <si>
    <t>Utilization</t>
  </si>
  <si>
    <t>Days working in a month</t>
  </si>
  <si>
    <t>Other Inputs</t>
  </si>
  <si>
    <t>Additional
Charges</t>
  </si>
  <si>
    <t>Team</t>
  </si>
  <si>
    <t>Purchase Year</t>
  </si>
  <si>
    <t>Payout/kg to be
 offered to partner</t>
  </si>
  <si>
    <t>Additional charge rates</t>
  </si>
  <si>
    <t>To get salaries cap, round up salary from govt. site upto 100th place and add 1000.</t>
  </si>
  <si>
    <t>e.g.</t>
  </si>
  <si>
    <t>round it up to 100th place: 10900</t>
  </si>
  <si>
    <t>add 1000 to it: 11900</t>
  </si>
  <si>
    <t>In AMDT1 semi skilled labor salary is 10809.6</t>
  </si>
  <si>
    <t>11900 is the loader cap for AMDT1</t>
  </si>
  <si>
    <t>Another example, for skilled labor salary in AMDT1</t>
  </si>
  <si>
    <t>11917.8 &gt; 12000 &gt; 13000</t>
  </si>
  <si>
    <t>Driver salary becomes 13000 in AMDT1</t>
  </si>
  <si>
    <t>Balance</t>
  </si>
  <si>
    <t>Terrain Charges (on fuel cost)</t>
  </si>
  <si>
    <t>Congestion Charges (on fuel cost)</t>
  </si>
  <si>
    <t>Ex-Showroom Price</t>
  </si>
  <si>
    <t>Union Charges (on total cost after including terrain and congestion charges)</t>
  </si>
  <si>
    <t>Ad-hoc (on total cost after including terrain and congestion charges)</t>
  </si>
  <si>
    <t>Column1</t>
  </si>
  <si>
    <t>Distance</t>
  </si>
  <si>
    <t>Market</t>
  </si>
  <si>
    <t>Km Travelled</t>
  </si>
  <si>
    <t>Mileage</t>
  </si>
  <si>
    <t>Vehicle Name</t>
  </si>
  <si>
    <t>Fuel_Cost</t>
  </si>
  <si>
    <t>Additional</t>
  </si>
  <si>
    <t>Amount</t>
  </si>
  <si>
    <t>Sum</t>
  </si>
  <si>
    <t>Total_maintanance</t>
  </si>
  <si>
    <t>Expenses</t>
  </si>
  <si>
    <t>Vhicle names</t>
  </si>
  <si>
    <t>Fuel Cost calculation</t>
  </si>
  <si>
    <t>Price</t>
  </si>
  <si>
    <t>Maintanance : Insurance + Driver expenses + maintanance_tyre (km dep) + tyre_cap (km dep)</t>
  </si>
  <si>
    <t>Market Price</t>
  </si>
  <si>
    <t>Market types</t>
  </si>
  <si>
    <t>Maket table</t>
  </si>
  <si>
    <t xml:space="preserve"> 0 implies "Implies data not provided"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</si>
</sst>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₹&quot;\ #,##0;[Red]&quot;₹&quot;\ \-#,##0"/>
    <numFmt numFmtId="8" formatCode="&quot;₹&quot;\ #,##0.00;[Red]&quot;₹&quot;\ \-#,##0.00"/>
    <numFmt numFmtId="164" formatCode="_(* #,##0_);_(* \(#,##0\);_(* &quot;-&quot;??_);_(@_)"/>
    <numFmt numFmtId="166" formatCode="0.0"/>
    <numFmt numFmtId="168" formatCode="&quot;₹&quot;\ #,##0.00"/>
  </numFmts>
  <fonts count="16" x14ac:knownFonts="1">
    <font>
      <sz val="11"/>
      <color theme="1"/>
      <name val="Calibri"/>
      <family val="2"/>
    </font>
    <font>
      <sz val="11"/>
      <color theme="1"/>
      <name val="Garamond"/>
      <family val="1"/>
    </font>
    <font>
      <b/>
      <sz val="11"/>
      <color theme="1"/>
      <name val="Garamond"/>
      <family val="1"/>
    </font>
    <font>
      <b/>
      <sz val="11"/>
      <color theme="0"/>
      <name val="Garamond"/>
      <family val="1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name val="Calibri"/>
      <family val="2"/>
    </font>
    <font>
      <b/>
      <sz val="11"/>
      <color rgb="FFFA7D00"/>
      <name val="Nunito"/>
      <family val="2"/>
    </font>
    <font>
      <b/>
      <sz val="14"/>
      <color theme="1"/>
      <name val="Calibri"/>
      <family val="2"/>
    </font>
    <font>
      <b/>
      <sz val="11"/>
      <name val="Calibri"/>
      <family val="2"/>
    </font>
    <font>
      <sz val="11"/>
      <color rgb="FFFF0000"/>
      <name val="Calibri"/>
      <family val="2"/>
    </font>
    <font>
      <b/>
      <sz val="11"/>
      <color rgb="FFEFEFEF"/>
      <name val="Calibri"/>
      <family val="2"/>
    </font>
    <font>
      <sz val="8"/>
      <name val="Calibri"/>
      <family val="2"/>
    </font>
    <font>
      <b/>
      <sz val="11"/>
      <color theme="0"/>
      <name val="Calibri"/>
      <family val="2"/>
    </font>
    <font>
      <b/>
      <sz val="20"/>
      <color theme="1"/>
      <name val="Calibri"/>
      <family val="2"/>
    </font>
    <font>
      <sz val="24"/>
      <color theme="1"/>
      <name val="BankGothic Md BT"/>
      <family val="2"/>
    </font>
  </fonts>
  <fills count="27">
    <fill>
      <patternFill patternType="none"/>
    </fill>
    <fill>
      <patternFill patternType="gray125"/>
    </fill>
    <fill>
      <patternFill patternType="solid">
        <fgColor rgb="FFF1E0B2"/>
        <bgColor rgb="FFF1E0B2"/>
      </patternFill>
    </fill>
    <fill>
      <patternFill patternType="solid">
        <fgColor rgb="FFF8EFD8"/>
        <bgColor rgb="FFF8EFD8"/>
      </patternFill>
    </fill>
    <fill>
      <patternFill patternType="solid">
        <fgColor rgb="FFEFC8A8"/>
        <bgColor rgb="FFEFC8A8"/>
      </patternFill>
    </fill>
    <fill>
      <patternFill patternType="solid">
        <fgColor rgb="FFE2A9A4"/>
        <bgColor rgb="FFE2A9A4"/>
      </patternFill>
    </fill>
    <fill>
      <patternFill patternType="solid">
        <fgColor rgb="FFA9DCC6"/>
        <bgColor rgb="FFA9DCC6"/>
      </patternFill>
    </fill>
    <fill>
      <patternFill patternType="solid">
        <fgColor rgb="FFD4EDE2"/>
        <bgColor rgb="FFD4EDE2"/>
      </patternFill>
    </fill>
    <fill>
      <patternFill patternType="solid">
        <fgColor rgb="FF87A9CB"/>
        <bgColor rgb="FF87A9CB"/>
      </patternFill>
    </fill>
    <fill>
      <patternFill patternType="solid">
        <fgColor rgb="FFAFC5DC"/>
        <bgColor rgb="FFAFC5DC"/>
      </patternFill>
    </fill>
    <fill>
      <patternFill patternType="solid">
        <fgColor rgb="FFD7E2ED"/>
        <bgColor rgb="FFD7E2ED"/>
      </patternFill>
    </fill>
    <fill>
      <patternFill patternType="solid">
        <fgColor rgb="FFD8D8D8"/>
        <bgColor rgb="FFD8D8D8"/>
      </patternFill>
    </fill>
    <fill>
      <patternFill patternType="solid">
        <fgColor rgb="FF3C78D8"/>
        <bgColor rgb="FF3C78D8"/>
      </patternFill>
    </fill>
    <fill>
      <patternFill patternType="solid">
        <fgColor rgb="FF3D85C6"/>
        <bgColor rgb="FF3D85C6"/>
      </patternFill>
    </fill>
    <fill>
      <patternFill patternType="solid">
        <fgColor theme="5"/>
        <bgColor theme="5"/>
      </patternFill>
    </fill>
    <fill>
      <patternFill patternType="solid">
        <fgColor rgb="FFF2F2F2"/>
      </patternFill>
    </fill>
    <fill>
      <patternFill patternType="solid">
        <fgColor theme="9" tint="0.79998168889431442"/>
        <bgColor rgb="FFF1E0B2"/>
      </patternFill>
    </fill>
    <fill>
      <patternFill patternType="solid">
        <fgColor theme="8" tint="0.79998168889431442"/>
        <bgColor rgb="FFEFC8A8"/>
      </patternFill>
    </fill>
    <fill>
      <patternFill patternType="solid">
        <fgColor theme="8" tint="0.79998168889431442"/>
        <bgColor rgb="FFF7E3D3"/>
      </patternFill>
    </fill>
    <fill>
      <patternFill patternType="solid">
        <fgColor theme="7" tint="0.79998168889431442"/>
        <bgColor rgb="FFE2A9A4"/>
      </patternFill>
    </fill>
    <fill>
      <patternFill patternType="solid">
        <fgColor theme="7" tint="0.79998168889431442"/>
        <bgColor rgb="FFF0D4D1"/>
      </patternFill>
    </fill>
    <fill>
      <patternFill patternType="solid">
        <fgColor theme="5" tint="0.79998168889431442"/>
        <bgColor rgb="FFA9DCC6"/>
      </patternFill>
    </fill>
    <fill>
      <patternFill patternType="solid">
        <fgColor theme="2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</fills>
  <borders count="62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rgb="FF2D715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rgb="FF7F7F7F"/>
      </top>
      <bottom/>
      <diagonal/>
    </border>
    <border>
      <left/>
      <right style="thin">
        <color rgb="FF7F7F7F"/>
      </right>
      <top style="thin">
        <color rgb="FF7F7F7F"/>
      </top>
      <bottom/>
      <diagonal/>
    </border>
    <border>
      <left/>
      <right style="thin">
        <color rgb="FF7F7F7F"/>
      </right>
      <top/>
      <bottom/>
      <diagonal/>
    </border>
    <border>
      <left/>
      <right style="thin">
        <color rgb="FF7F7F7F"/>
      </right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thin">
        <color indexed="64"/>
      </left>
      <right style="thin">
        <color indexed="64"/>
      </right>
      <top style="medium">
        <color theme="1"/>
      </top>
      <bottom style="thin">
        <color indexed="64"/>
      </bottom>
      <diagonal/>
    </border>
    <border>
      <left style="thin">
        <color indexed="64"/>
      </left>
      <right style="medium">
        <color theme="1"/>
      </right>
      <top style="medium">
        <color theme="1"/>
      </top>
      <bottom style="thin">
        <color indexed="64"/>
      </bottom>
      <diagonal/>
    </border>
    <border>
      <left/>
      <right/>
      <top/>
      <bottom style="medium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theme="1"/>
      </bottom>
      <diagonal/>
    </border>
    <border>
      <left style="thin">
        <color indexed="64"/>
      </left>
      <right style="medium">
        <color theme="1"/>
      </right>
      <top style="thin">
        <color indexed="64"/>
      </top>
      <bottom style="medium">
        <color theme="1"/>
      </bottom>
      <diagonal/>
    </border>
    <border>
      <left style="medium">
        <color theme="1"/>
      </left>
      <right style="medium">
        <color theme="1"/>
      </right>
      <top/>
      <bottom/>
      <diagonal/>
    </border>
    <border>
      <left style="medium">
        <color theme="1"/>
      </left>
      <right style="medium">
        <color theme="1"/>
      </right>
      <top/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rgb="FF000000"/>
      </right>
      <top/>
      <bottom/>
      <diagonal/>
    </border>
    <border>
      <left/>
      <right style="thin">
        <color indexed="64"/>
      </right>
      <top style="medium">
        <color theme="1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theme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</borders>
  <cellStyleXfs count="2">
    <xf numFmtId="0" fontId="0" fillId="0" borderId="0"/>
    <xf numFmtId="0" fontId="7" fillId="15" borderId="13" applyNumberFormat="0" applyAlignment="0" applyProtection="0"/>
  </cellStyleXfs>
  <cellXfs count="14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164" fontId="1" fillId="0" borderId="0" xfId="0" applyNumberFormat="1" applyFont="1"/>
    <xf numFmtId="0" fontId="3" fillId="14" borderId="3" xfId="0" applyFont="1" applyFill="1" applyBorder="1"/>
    <xf numFmtId="9" fontId="1" fillId="0" borderId="0" xfId="0" applyNumberFormat="1" applyFont="1"/>
    <xf numFmtId="164" fontId="2" fillId="0" borderId="2" xfId="0" applyNumberFormat="1" applyFont="1" applyBorder="1"/>
    <xf numFmtId="9" fontId="2" fillId="0" borderId="2" xfId="0" applyNumberFormat="1" applyFont="1" applyBorder="1"/>
    <xf numFmtId="9" fontId="2" fillId="0" borderId="0" xfId="0" applyNumberFormat="1" applyFont="1"/>
    <xf numFmtId="0" fontId="5" fillId="0" borderId="2" xfId="0" applyFont="1" applyBorder="1"/>
    <xf numFmtId="164" fontId="5" fillId="0" borderId="2" xfId="0" applyNumberFormat="1" applyFont="1" applyBorder="1"/>
    <xf numFmtId="0" fontId="5" fillId="0" borderId="0" xfId="0" applyFont="1"/>
    <xf numFmtId="0" fontId="5" fillId="0" borderId="0" xfId="0" applyFont="1" applyAlignment="1">
      <alignment horizontal="left"/>
    </xf>
    <xf numFmtId="9" fontId="5" fillId="0" borderId="0" xfId="0" applyNumberFormat="1" applyFont="1"/>
    <xf numFmtId="0" fontId="4" fillId="0" borderId="0" xfId="0" applyFont="1"/>
    <xf numFmtId="0" fontId="4" fillId="0" borderId="1" xfId="0" applyFont="1" applyBorder="1"/>
    <xf numFmtId="0" fontId="4" fillId="0" borderId="1" xfId="0" applyFont="1" applyBorder="1" applyAlignment="1">
      <alignment horizontal="center" vertical="center"/>
    </xf>
    <xf numFmtId="0" fontId="5" fillId="0" borderId="1" xfId="0" applyFont="1" applyBorder="1"/>
    <xf numFmtId="0" fontId="8" fillId="6" borderId="14" xfId="0" applyFont="1" applyFill="1" applyBorder="1" applyAlignment="1">
      <alignment wrapText="1"/>
    </xf>
    <xf numFmtId="0" fontId="8" fillId="6" borderId="15" xfId="0" applyFont="1" applyFill="1" applyBorder="1" applyAlignment="1">
      <alignment wrapText="1"/>
    </xf>
    <xf numFmtId="0" fontId="5" fillId="3" borderId="4" xfId="0" applyFont="1" applyFill="1" applyBorder="1"/>
    <xf numFmtId="0" fontId="4" fillId="16" borderId="8" xfId="0" applyFont="1" applyFill="1" applyBorder="1"/>
    <xf numFmtId="0" fontId="4" fillId="16" borderId="9" xfId="0" applyFont="1" applyFill="1" applyBorder="1"/>
    <xf numFmtId="0" fontId="5" fillId="3" borderId="18" xfId="0" applyFont="1" applyFill="1" applyBorder="1"/>
    <xf numFmtId="0" fontId="4" fillId="16" borderId="19" xfId="0" applyFont="1" applyFill="1" applyBorder="1"/>
    <xf numFmtId="0" fontId="5" fillId="3" borderId="5" xfId="0" applyFont="1" applyFill="1" applyBorder="1"/>
    <xf numFmtId="0" fontId="4" fillId="17" borderId="5" xfId="0" applyFont="1" applyFill="1" applyBorder="1"/>
    <xf numFmtId="0" fontId="4" fillId="17" borderId="4" xfId="0" applyFont="1" applyFill="1" applyBorder="1"/>
    <xf numFmtId="0" fontId="4" fillId="17" borderId="18" xfId="0" applyFont="1" applyFill="1" applyBorder="1"/>
    <xf numFmtId="0" fontId="5" fillId="18" borderId="5" xfId="0" applyFont="1" applyFill="1" applyBorder="1"/>
    <xf numFmtId="0" fontId="5" fillId="18" borderId="4" xfId="0" applyFont="1" applyFill="1" applyBorder="1"/>
    <xf numFmtId="0" fontId="5" fillId="18" borderId="18" xfId="0" applyFont="1" applyFill="1" applyBorder="1"/>
    <xf numFmtId="0" fontId="4" fillId="19" borderId="5" xfId="0" applyFont="1" applyFill="1" applyBorder="1"/>
    <xf numFmtId="0" fontId="4" fillId="19" borderId="4" xfId="0" applyFont="1" applyFill="1" applyBorder="1"/>
    <xf numFmtId="0" fontId="4" fillId="19" borderId="18" xfId="0" applyFont="1" applyFill="1" applyBorder="1"/>
    <xf numFmtId="0" fontId="5" fillId="20" borderId="20" xfId="0" applyFont="1" applyFill="1" applyBorder="1"/>
    <xf numFmtId="0" fontId="5" fillId="20" borderId="11" xfId="0" applyFont="1" applyFill="1" applyBorder="1"/>
    <xf numFmtId="0" fontId="5" fillId="20" borderId="12" xfId="0" applyFont="1" applyFill="1" applyBorder="1"/>
    <xf numFmtId="0" fontId="4" fillId="6" borderId="7" xfId="0" applyFont="1" applyFill="1" applyBorder="1"/>
    <xf numFmtId="0" fontId="9" fillId="6" borderId="8" xfId="0" applyFont="1" applyFill="1" applyBorder="1"/>
    <xf numFmtId="0" fontId="4" fillId="6" borderId="9" xfId="0" applyFont="1" applyFill="1" applyBorder="1"/>
    <xf numFmtId="0" fontId="5" fillId="7" borderId="10" xfId="0" applyFont="1" applyFill="1" applyBorder="1"/>
    <xf numFmtId="0" fontId="10" fillId="7" borderId="11" xfId="0" applyFont="1" applyFill="1" applyBorder="1"/>
    <xf numFmtId="0" fontId="5" fillId="7" borderId="12" xfId="0" applyFont="1" applyFill="1" applyBorder="1"/>
    <xf numFmtId="0" fontId="4" fillId="6" borderId="8" xfId="0" applyFont="1" applyFill="1" applyBorder="1"/>
    <xf numFmtId="0" fontId="5" fillId="7" borderId="11" xfId="0" applyFont="1" applyFill="1" applyBorder="1"/>
    <xf numFmtId="9" fontId="5" fillId="7" borderId="11" xfId="0" applyNumberFormat="1" applyFont="1" applyFill="1" applyBorder="1"/>
    <xf numFmtId="3" fontId="5" fillId="7" borderId="12" xfId="0" applyNumberFormat="1" applyFont="1" applyFill="1" applyBorder="1"/>
    <xf numFmtId="164" fontId="5" fillId="10" borderId="6" xfId="0" applyNumberFormat="1" applyFont="1" applyFill="1" applyBorder="1"/>
    <xf numFmtId="0" fontId="4" fillId="9" borderId="8" xfId="0" applyFont="1" applyFill="1" applyBorder="1"/>
    <xf numFmtId="164" fontId="5" fillId="10" borderId="11" xfId="0" applyNumberFormat="1" applyFont="1" applyFill="1" applyBorder="1"/>
    <xf numFmtId="0" fontId="5" fillId="10" borderId="12" xfId="0" applyFont="1" applyFill="1" applyBorder="1"/>
    <xf numFmtId="9" fontId="5" fillId="0" borderId="2" xfId="0" applyNumberFormat="1" applyFont="1" applyBorder="1"/>
    <xf numFmtId="10" fontId="5" fillId="0" borderId="2" xfId="0" applyNumberFormat="1" applyFont="1" applyBorder="1"/>
    <xf numFmtId="49" fontId="5" fillId="0" borderId="1" xfId="0" applyNumberFormat="1" applyFont="1" applyBorder="1"/>
    <xf numFmtId="0" fontId="5" fillId="0" borderId="4" xfId="0" applyFont="1" applyBorder="1"/>
    <xf numFmtId="166" fontId="5" fillId="0" borderId="4" xfId="0" applyNumberFormat="1" applyFont="1" applyBorder="1"/>
    <xf numFmtId="0" fontId="4" fillId="11" borderId="25" xfId="0" applyFont="1" applyFill="1" applyBorder="1"/>
    <xf numFmtId="0" fontId="5" fillId="0" borderId="26" xfId="0" applyFont="1" applyBorder="1"/>
    <xf numFmtId="0" fontId="4" fillId="11" borderId="27" xfId="0" applyFont="1" applyFill="1" applyBorder="1"/>
    <xf numFmtId="0" fontId="4" fillId="11" borderId="28" xfId="0" applyFont="1" applyFill="1" applyBorder="1"/>
    <xf numFmtId="0" fontId="4" fillId="11" borderId="29" xfId="0" applyFont="1" applyFill="1" applyBorder="1"/>
    <xf numFmtId="0" fontId="4" fillId="11" borderId="30" xfId="0" applyFont="1" applyFill="1" applyBorder="1"/>
    <xf numFmtId="0" fontId="5" fillId="0" borderId="31" xfId="0" applyFont="1" applyBorder="1"/>
    <xf numFmtId="0" fontId="5" fillId="0" borderId="32" xfId="0" applyFont="1" applyBorder="1"/>
    <xf numFmtId="49" fontId="4" fillId="11" borderId="25" xfId="0" applyNumberFormat="1" applyFont="1" applyFill="1" applyBorder="1"/>
    <xf numFmtId="49" fontId="4" fillId="11" borderId="30" xfId="0" applyNumberFormat="1" applyFont="1" applyFill="1" applyBorder="1"/>
    <xf numFmtId="0" fontId="11" fillId="12" borderId="28" xfId="0" applyFont="1" applyFill="1" applyBorder="1"/>
    <xf numFmtId="0" fontId="11" fillId="13" borderId="28" xfId="0" applyFont="1" applyFill="1" applyBorder="1"/>
    <xf numFmtId="164" fontId="5" fillId="0" borderId="31" xfId="0" applyNumberFormat="1" applyFont="1" applyBorder="1"/>
    <xf numFmtId="9" fontId="5" fillId="0" borderId="31" xfId="0" applyNumberFormat="1" applyFont="1" applyBorder="1"/>
    <xf numFmtId="10" fontId="5" fillId="0" borderId="31" xfId="0" applyNumberFormat="1" applyFont="1" applyBorder="1"/>
    <xf numFmtId="49" fontId="5" fillId="22" borderId="5" xfId="0" applyNumberFormat="1" applyFont="1" applyFill="1" applyBorder="1"/>
    <xf numFmtId="0" fontId="5" fillId="0" borderId="33" xfId="0" applyFont="1" applyBorder="1"/>
    <xf numFmtId="0" fontId="4" fillId="22" borderId="34" xfId="0" applyFont="1" applyFill="1" applyBorder="1"/>
    <xf numFmtId="0" fontId="4" fillId="22" borderId="35" xfId="0" applyFont="1" applyFill="1" applyBorder="1"/>
    <xf numFmtId="0" fontId="4" fillId="22" borderId="36" xfId="0" applyFont="1" applyFill="1" applyBorder="1"/>
    <xf numFmtId="49" fontId="5" fillId="22" borderId="37" xfId="0" applyNumberFormat="1" applyFont="1" applyFill="1" applyBorder="1"/>
    <xf numFmtId="0" fontId="5" fillId="0" borderId="38" xfId="0" applyFont="1" applyBorder="1"/>
    <xf numFmtId="166" fontId="5" fillId="0" borderId="38" xfId="0" applyNumberFormat="1" applyFont="1" applyBorder="1"/>
    <xf numFmtId="0" fontId="5" fillId="0" borderId="39" xfId="0" applyFont="1" applyBorder="1"/>
    <xf numFmtId="164" fontId="5" fillId="0" borderId="26" xfId="0" applyNumberFormat="1" applyFont="1" applyBorder="1"/>
    <xf numFmtId="164" fontId="5" fillId="0" borderId="32" xfId="0" applyNumberFormat="1" applyFont="1" applyBorder="1"/>
    <xf numFmtId="0" fontId="5" fillId="23" borderId="4" xfId="0" applyFont="1" applyFill="1" applyBorder="1"/>
    <xf numFmtId="0" fontId="5" fillId="23" borderId="38" xfId="0" applyFont="1" applyFill="1" applyBorder="1"/>
    <xf numFmtId="0" fontId="0" fillId="22" borderId="4" xfId="0" applyFill="1" applyBorder="1"/>
    <xf numFmtId="0" fontId="0" fillId="22" borderId="38" xfId="0" applyFill="1" applyBorder="1"/>
    <xf numFmtId="164" fontId="0" fillId="11" borderId="2" xfId="0" applyNumberFormat="1" applyFill="1" applyBorder="1"/>
    <xf numFmtId="164" fontId="0" fillId="11" borderId="31" xfId="0" applyNumberFormat="1" applyFill="1" applyBorder="1"/>
    <xf numFmtId="0" fontId="0" fillId="24" borderId="40" xfId="0" applyFill="1" applyBorder="1"/>
    <xf numFmtId="1" fontId="4" fillId="9" borderId="9" xfId="0" applyNumberFormat="1" applyFont="1" applyFill="1" applyBorder="1"/>
    <xf numFmtId="0" fontId="0" fillId="0" borderId="40" xfId="0" applyBorder="1"/>
    <xf numFmtId="0" fontId="0" fillId="0" borderId="41" xfId="0" applyBorder="1"/>
    <xf numFmtId="0" fontId="0" fillId="0" borderId="42" xfId="0" applyBorder="1"/>
    <xf numFmtId="9" fontId="7" fillId="15" borderId="17" xfId="1" applyNumberFormat="1" applyBorder="1" applyAlignment="1">
      <alignment horizontal="center" vertical="center"/>
    </xf>
    <xf numFmtId="0" fontId="7" fillId="15" borderId="21" xfId="1" applyBorder="1" applyAlignment="1">
      <alignment horizontal="center" vertical="center"/>
    </xf>
    <xf numFmtId="0" fontId="7" fillId="15" borderId="22" xfId="1" applyBorder="1" applyAlignment="1">
      <alignment horizontal="center" vertical="center"/>
    </xf>
    <xf numFmtId="0" fontId="7" fillId="15" borderId="1" xfId="1" applyBorder="1" applyAlignment="1">
      <alignment horizontal="center" vertical="center"/>
    </xf>
    <xf numFmtId="0" fontId="7" fillId="15" borderId="23" xfId="1" applyBorder="1" applyAlignment="1">
      <alignment horizontal="center" vertical="center"/>
    </xf>
    <xf numFmtId="0" fontId="7" fillId="15" borderId="24" xfId="1" applyBorder="1" applyAlignment="1">
      <alignment horizontal="center" vertical="center" wrapText="1"/>
    </xf>
    <xf numFmtId="0" fontId="4" fillId="11" borderId="1" xfId="0" applyFont="1" applyFill="1" applyBorder="1"/>
    <xf numFmtId="0" fontId="0" fillId="0" borderId="1" xfId="0" applyFont="1" applyBorder="1"/>
    <xf numFmtId="0" fontId="4" fillId="11" borderId="0" xfId="0" applyFont="1" applyFill="1" applyBorder="1"/>
    <xf numFmtId="0" fontId="0" fillId="0" borderId="25" xfId="0" applyBorder="1"/>
    <xf numFmtId="164" fontId="0" fillId="11" borderId="0" xfId="0" applyNumberFormat="1" applyFill="1" applyBorder="1"/>
    <xf numFmtId="0" fontId="13" fillId="11" borderId="2" xfId="0" applyFont="1" applyFill="1" applyBorder="1"/>
    <xf numFmtId="0" fontId="0" fillId="24" borderId="2" xfId="0" applyFont="1" applyFill="1" applyBorder="1"/>
    <xf numFmtId="0" fontId="0" fillId="0" borderId="2" xfId="0" applyFont="1" applyBorder="1"/>
    <xf numFmtId="0" fontId="4" fillId="21" borderId="16" xfId="0" applyFont="1" applyFill="1" applyBorder="1" applyAlignment="1">
      <alignment horizontal="center" vertical="center" wrapText="1"/>
    </xf>
    <xf numFmtId="8" fontId="14" fillId="25" borderId="43" xfId="0" applyNumberFormat="1" applyFont="1" applyFill="1" applyBorder="1" applyAlignment="1">
      <alignment horizontal="center" vertical="center"/>
    </xf>
    <xf numFmtId="0" fontId="5" fillId="23" borderId="43" xfId="0" applyFont="1" applyFill="1" applyBorder="1"/>
    <xf numFmtId="0" fontId="5" fillId="0" borderId="0" xfId="0" applyFont="1" applyFill="1"/>
    <xf numFmtId="0" fontId="4" fillId="9" borderId="44" xfId="0" applyFont="1" applyFill="1" applyBorder="1"/>
    <xf numFmtId="0" fontId="4" fillId="9" borderId="45" xfId="0" applyFont="1" applyFill="1" applyBorder="1"/>
    <xf numFmtId="6" fontId="5" fillId="10" borderId="47" xfId="0" applyNumberFormat="1" applyFont="1" applyFill="1" applyBorder="1"/>
    <xf numFmtId="168" fontId="5" fillId="0" borderId="46" xfId="0" applyNumberFormat="1" applyFont="1" applyBorder="1"/>
    <xf numFmtId="6" fontId="5" fillId="10" borderId="48" xfId="0" applyNumberFormat="1" applyFont="1" applyFill="1" applyBorder="1"/>
    <xf numFmtId="0" fontId="4" fillId="0" borderId="1" xfId="0" applyFont="1" applyFill="1" applyBorder="1"/>
    <xf numFmtId="0" fontId="5" fillId="26" borderId="49" xfId="0" applyFont="1" applyFill="1" applyBorder="1"/>
    <xf numFmtId="0" fontId="5" fillId="26" borderId="50" xfId="0" applyFont="1" applyFill="1" applyBorder="1"/>
    <xf numFmtId="0" fontId="5" fillId="26" borderId="51" xfId="0" applyFont="1" applyFill="1" applyBorder="1"/>
    <xf numFmtId="9" fontId="7" fillId="15" borderId="22" xfId="1" applyNumberFormat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/>
    </xf>
    <xf numFmtId="0" fontId="6" fillId="0" borderId="5" xfId="0" applyFont="1" applyBorder="1"/>
    <xf numFmtId="0" fontId="4" fillId="4" borderId="5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6" fillId="0" borderId="20" xfId="0" applyFont="1" applyBorder="1"/>
    <xf numFmtId="0" fontId="4" fillId="6" borderId="53" xfId="0" applyFont="1" applyFill="1" applyBorder="1" applyAlignment="1">
      <alignment horizontal="center" vertical="center"/>
    </xf>
    <xf numFmtId="0" fontId="6" fillId="0" borderId="54" xfId="0" applyFont="1" applyBorder="1"/>
    <xf numFmtId="0" fontId="4" fillId="6" borderId="53" xfId="0" applyFont="1" applyFill="1" applyBorder="1" applyAlignment="1">
      <alignment horizontal="center" vertical="center" wrapText="1"/>
    </xf>
    <xf numFmtId="0" fontId="4" fillId="8" borderId="19" xfId="0" applyFont="1" applyFill="1" applyBorder="1" applyAlignment="1">
      <alignment horizontal="center" vertical="center"/>
    </xf>
    <xf numFmtId="0" fontId="4" fillId="9" borderId="55" xfId="0" applyFont="1" applyFill="1" applyBorder="1"/>
    <xf numFmtId="0" fontId="4" fillId="8" borderId="56" xfId="0" applyFont="1" applyFill="1" applyBorder="1" applyAlignment="1">
      <alignment horizontal="center" vertical="center"/>
    </xf>
    <xf numFmtId="0" fontId="6" fillId="0" borderId="57" xfId="0" applyFont="1" applyBorder="1"/>
    <xf numFmtId="0" fontId="7" fillId="15" borderId="58" xfId="1" applyBorder="1" applyAlignment="1">
      <alignment horizontal="center" vertical="center" wrapText="1"/>
    </xf>
    <xf numFmtId="0" fontId="8" fillId="6" borderId="59" xfId="0" applyFont="1" applyFill="1" applyBorder="1" applyAlignment="1">
      <alignment wrapText="1"/>
    </xf>
    <xf numFmtId="0" fontId="5" fillId="26" borderId="43" xfId="0" applyFont="1" applyFill="1" applyBorder="1"/>
    <xf numFmtId="9" fontId="7" fillId="15" borderId="60" xfId="1" applyNumberFormat="1" applyBorder="1" applyAlignment="1">
      <alignment horizontal="center" vertical="center"/>
    </xf>
    <xf numFmtId="9" fontId="7" fillId="15" borderId="61" xfId="1" applyNumberForma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5" fillId="0" borderId="1" xfId="0" applyFont="1" applyFill="1" applyBorder="1"/>
    <xf numFmtId="0" fontId="5" fillId="26" borderId="52" xfId="0" applyFont="1" applyFill="1" applyBorder="1"/>
  </cellXfs>
  <cellStyles count="2">
    <cellStyle name="Calculation" xfId="1" builtinId="22"/>
    <cellStyle name="Normal" xfId="0" builtinId="0" customBuiltin="1"/>
  </cellStyles>
  <dxfs count="19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rgb="FFD8D8D8"/>
          <bgColor rgb="FFD8D8D8"/>
        </patternFill>
      </fill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rgb="FFD8D8D8"/>
          <bgColor rgb="FFD8D8D8"/>
        </patternFill>
      </fill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6" formatCode="0.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30" formatCode="@"/>
      <fill>
        <patternFill patternType="solid">
          <fgColor indexed="64"/>
          <bgColor theme="2" tint="-0.14999847407452621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indexed="64"/>
          <bgColor theme="2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rgb="FFD8D8D8"/>
          <bgColor rgb="FFD8D8D8"/>
        </patternFill>
      </fill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  <fill>
        <patternFill patternType="solid">
          <fgColor rgb="FFD8D8D8"/>
          <bgColor rgb="FFD8D8D8"/>
        </patternFill>
      </fill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rgb="FFD8D8D8"/>
          <bgColor rgb="FFD8D8D8"/>
        </patternFill>
      </fill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30" formatCode="@"/>
      <fill>
        <patternFill patternType="solid">
          <fgColor rgb="FFD8D8D8"/>
          <bgColor rgb="FFD8D8D8"/>
        </patternFill>
      </fill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  <fill>
        <patternFill patternType="solid">
          <fgColor rgb="FFD8D8D8"/>
          <bgColor rgb="FFD8D8D8"/>
        </patternFill>
      </fill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rgb="FFD8D8D8"/>
          <bgColor rgb="FFD8D8D8"/>
        </patternFill>
      </fill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_(* #,##0_);_(* \(#,##0\);_(* &quot;-&quot;??_);_(@_)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_(* #,##0_);_(* \(#,##0\);_(* &quot;-&quot;??_);_(@_)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_(* #,##0_);_(* \(#,##0\);_(* &quot;-&quot;??_);_(@_)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_(* #,##0_);_(* \(#,##0\);_(* &quot;-&quot;??_);_(@_)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4" formatCode="0.00%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_(* #,##0_);_(* \(#,##0\);_(* &quot;-&quot;??_);_(@_)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3" formatCode="0%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_(* #,##0_);_(* \(#,##0\);_(* &quot;-&quot;??_);_(@_)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30" formatCode="@"/>
      <fill>
        <patternFill patternType="solid">
          <fgColor rgb="FFD8D8D8"/>
          <bgColor rgb="FFD8D8D8"/>
        </patternFill>
      </fill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EFEFEF"/>
        <name val="Calibri"/>
        <family val="2"/>
        <scheme val="none"/>
      </font>
      <fill>
        <patternFill patternType="solid">
          <fgColor rgb="FF3D85C6"/>
          <bgColor rgb="FF3D85C6"/>
        </patternFill>
      </fill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328730</xdr:colOff>
      <xdr:row>26</xdr:row>
      <xdr:rowOff>129976</xdr:rowOff>
    </xdr:from>
    <xdr:ext cx="3986348" cy="78483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6591815-0808-980B-5DD4-5BD830504906}"/>
            </a:ext>
          </a:extLst>
        </xdr:cNvPr>
        <xdr:cNvSpPr txBox="1"/>
      </xdr:nvSpPr>
      <xdr:spPr>
        <a:xfrm>
          <a:off x="13425605" y="5368726"/>
          <a:ext cx="3986348" cy="78483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4800"/>
            <a:t>Main Calculator</a:t>
          </a:r>
        </a:p>
      </xdr:txBody>
    </xdr:sp>
    <xdr:clientData/>
  </xdr:oneCellAnchor>
  <xdr:oneCellAnchor>
    <xdr:from>
      <xdr:col>0</xdr:col>
      <xdr:colOff>222250</xdr:colOff>
      <xdr:row>44</xdr:row>
      <xdr:rowOff>139501</xdr:rowOff>
    </xdr:from>
    <xdr:ext cx="4018536" cy="78483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BC115F5-F6CB-3ACE-1DD9-D90B4A68081C}"/>
            </a:ext>
          </a:extLst>
        </xdr:cNvPr>
        <xdr:cNvSpPr txBox="1"/>
      </xdr:nvSpPr>
      <xdr:spPr>
        <a:xfrm>
          <a:off x="222250" y="6600626"/>
          <a:ext cx="4018536" cy="78483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4800"/>
            <a:t>Pre - processing</a:t>
          </a:r>
        </a:p>
      </xdr:txBody>
    </xdr:sp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3C11FEC9-C0F5-469D-8081-73DA96F48B01}" name="Table11" displayName="Table11" ref="A1:A18" totalsRowShown="0" headerRowDxfId="197" dataDxfId="196">
  <autoFilter ref="A1:A18" xr:uid="{3C11FEC9-C0F5-469D-8081-73DA96F48B01}"/>
  <sortState xmlns:xlrd2="http://schemas.microsoft.com/office/spreadsheetml/2017/richdata2" ref="A2:A18">
    <sortCondition ref="A1:A18"/>
  </sortState>
  <tableColumns count="1">
    <tableColumn id="1" xr3:uid="{14821115-2F76-40B1-AB9C-E08517580981}" name="Cluster" dataDxfId="195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D70B740E-ECA0-4FAE-9081-C5D685B2058C}" name="Calci_indi_summ" displayName="Calci_indi_summ" ref="B51:M54" totalsRowShown="0" headerRowDxfId="157" dataDxfId="156">
  <autoFilter ref="B51:M54" xr:uid="{D70B740E-ECA0-4FAE-9081-C5D685B2058C}"/>
  <tableColumns count="12">
    <tableColumn id="1" xr3:uid="{B0E601CE-E5DC-4F56-8AF6-B905EDBDD6BA}" name="Vehicle" dataDxfId="155"/>
    <tableColumn id="2" xr3:uid="{2D699267-B412-4290-8974-0F447A01588B}" name="Vehicle #1" dataDxfId="154"/>
    <tableColumn id="3" xr3:uid="{8ACA98AC-1100-482D-82A4-36FBF787126E}" name="Vehicle #2" dataDxfId="153"/>
    <tableColumn id="4" xr3:uid="{78CFB523-BA91-45BD-991E-DAA4E9074EDE}" name="Vehicle #3" dataDxfId="152"/>
    <tableColumn id="5" xr3:uid="{0E1967B1-FAED-4505-ABA7-768A7C94B0DA}" name="Vehicle #4" dataDxfId="151"/>
    <tableColumn id="6" xr3:uid="{1CF9A022-0ED1-4504-A7D7-80F28869A88D}" name="Vehicle #5" dataDxfId="150"/>
    <tableColumn id="7" xr3:uid="{8F492F57-A595-4F26-8573-20F2F575A65C}" name="Vehicle #6" dataDxfId="149"/>
    <tableColumn id="8" xr3:uid="{A85A85E6-E776-4A45-96D6-CB377285DFA6}" name="Vehicle #7" dataDxfId="148"/>
    <tableColumn id="9" xr3:uid="{4EF232EE-B2D4-4706-B65A-918B52C06F9C}" name="Vehicle #8" dataDxfId="147"/>
    <tableColumn id="10" xr3:uid="{5F2CC25A-C5E9-4D6A-98F0-21DFFFA177AC}" name="Vehicle #9" dataDxfId="146"/>
    <tableColumn id="11" xr3:uid="{B47F5897-93F0-4489-BBF1-9D11E33E9670}" name="Vehicle #10" dataDxfId="145"/>
    <tableColumn id="12" xr3:uid="{52EF5059-04E3-46E1-84FE-F6C14A9E7CD1}" name="Sum" dataDxfId="144">
      <calculatedColumnFormula>SUM(Calci_indi_summ[[#This Row],[Vehicle '#1]:[Vehicle '#10]])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10376C1F-27DD-43A3-8F46-4FB0484CA743}" name="Table14" displayName="Table14" ref="B62:M63" totalsRowShown="0" headerRowDxfId="143" dataDxfId="142">
  <autoFilter ref="B62:M63" xr:uid="{10376C1F-27DD-43A3-8F46-4FB0484CA743}"/>
  <tableColumns count="12">
    <tableColumn id="1" xr3:uid="{47BCF041-0BF2-4EBA-B895-CD9821656BB5}" name="Vehicle" dataDxfId="141"/>
    <tableColumn id="2" xr3:uid="{54175B40-D2C8-4FD7-8E56-1403D2ABD8ED}" name="Vehicle #1" dataDxfId="140">
      <calculatedColumnFormula>IFERROR(INDEX(EMI_table[], MATCH(C$6,Vehicle,0), MATCH(C$10,EMI_table[#Headers],0)),0)</calculatedColumnFormula>
    </tableColumn>
    <tableColumn id="3" xr3:uid="{FAF81AC1-9E03-4530-A3FC-5F03A49B960F}" name="Vehicle #2" dataDxfId="139">
      <calculatedColumnFormula>IFERROR(INDEX(EMI_table[], MATCH(D$6,Vehicle,0), MATCH(D$10,EMI_table[#Headers],0)),0)</calculatedColumnFormula>
    </tableColumn>
    <tableColumn id="4" xr3:uid="{33EE27E1-9CF4-4B1E-B6CD-A0FDD316C394}" name="Vehicle #3" dataDxfId="138">
      <calculatedColumnFormula>IFERROR(INDEX(EMI_table[], MATCH(E$6,Vehicle,0), MATCH(E$10,EMI_table[#Headers],0)),0)</calculatedColumnFormula>
    </tableColumn>
    <tableColumn id="5" xr3:uid="{64851FC5-5C79-46EE-942F-F1FEE7EFF4CE}" name="Vehicle #4" dataDxfId="137">
      <calculatedColumnFormula>IFERROR(INDEX(EMI_table[], MATCH(F$6,Vehicle,0), MATCH(F$10,EMI_table[#Headers],0)),0)</calculatedColumnFormula>
    </tableColumn>
    <tableColumn id="6" xr3:uid="{7F80D0F1-E7D1-4AEB-A2DE-1AEEF69CD229}" name="Vehicle #5" dataDxfId="136">
      <calculatedColumnFormula>IFERROR(INDEX(EMI_table[], MATCH(G$6,Vehicle,0), MATCH(G$10,EMI_table[#Headers],0)),0)</calculatedColumnFormula>
    </tableColumn>
    <tableColumn id="7" xr3:uid="{6F782267-47E4-448A-8F5D-7330B7322582}" name="Vehicle #6" dataDxfId="135">
      <calculatedColumnFormula>IFERROR(INDEX(EMI_table[], MATCH(H$6,Vehicle,0), MATCH(H$10,EMI_table[#Headers],0)),0)</calculatedColumnFormula>
    </tableColumn>
    <tableColumn id="8" xr3:uid="{F76FFA4D-5D15-4C53-9947-DB3637F739AD}" name="Vehicle #7" dataDxfId="134">
      <calculatedColumnFormula>IFERROR(INDEX(EMI_table[], MATCH(I$6,Vehicle,0), MATCH(I$10,EMI_table[#Headers],0)),0)</calculatedColumnFormula>
    </tableColumn>
    <tableColumn id="9" xr3:uid="{1B7B092E-7D2A-49A4-8451-C78D4A4B2BCF}" name="Vehicle #8" dataDxfId="133">
      <calculatedColumnFormula>IFERROR(INDEX(EMI_table[], MATCH(J$6,Vehicle,0), MATCH(J$10,EMI_table[#Headers],0)),0)</calculatedColumnFormula>
    </tableColumn>
    <tableColumn id="10" xr3:uid="{3D1CE8D8-4BFF-4DA9-A4E4-EA363A0911EA}" name="Vehicle #9" dataDxfId="132">
      <calculatedColumnFormula>IFERROR(INDEX(EMI_table[], MATCH(K$6,Vehicle,0), MATCH(K$10,EMI_table[#Headers],0)),0)</calculatedColumnFormula>
    </tableColumn>
    <tableColumn id="11" xr3:uid="{99C6DA71-048F-446F-8AC0-F76BF93AC8E1}" name="Vehicle #10" dataDxfId="131">
      <calculatedColumnFormula>IFERROR(INDEX(EMI_table[], MATCH(L$6,Vehicle,0), MATCH(L$10,EMI_table[#Headers],0)),0)</calculatedColumnFormula>
    </tableColumn>
    <tableColumn id="12" xr3:uid="{E6798C43-BA5D-4D29-9E01-E0B412660ACE}" name="Sum" dataDxfId="130">
      <calculatedColumnFormula>SUM(Table14[[#This Row],[Vehicle '#1]:[Vehicle '#10]])</calculatedColumnFormula>
    </tableColumn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85FA4F07-9888-4188-9602-185DE1F58053}" name="Table24" displayName="Table24" ref="B70:F71" totalsRowShown="0" headerRowDxfId="129" dataDxfId="128">
  <autoFilter ref="B70:F71" xr:uid="{85FA4F07-9888-4188-9602-185DE1F58053}"/>
  <tableColumns count="5">
    <tableColumn id="1" xr3:uid="{D9F06C5A-796E-411D-B7EC-E1F146A6812E}" name="Additional" dataDxfId="127"/>
    <tableColumn id="2" xr3:uid="{1A375EC5-DFB8-46A0-8370-B0541F0A1258}" name="Terrain charges" dataDxfId="126">
      <calculatedColumnFormula>IF(C$14="Yes",$C$23*20%,0)</calculatedColumnFormula>
    </tableColumn>
    <tableColumn id="3" xr3:uid="{2C07390F-0ECB-4FF2-9CD9-575341CFE19F}" name="Congestion Charges" dataDxfId="125">
      <calculatedColumnFormula>IF(D$14="Yes",$C$23*15%,0)</calculatedColumnFormula>
    </tableColumn>
    <tableColumn id="4" xr3:uid="{11341123-8F13-41A9-B45F-D6FB9851ACFD}" name="Union charges" dataDxfId="124">
      <calculatedColumnFormula>IF(E$14="Yes",SUM(G23:H23,Table24[[#This Row],[Terrain charges]],Table24[[#This Row],[Congestion Charges]])*15%,0)</calculatedColumnFormula>
    </tableColumn>
    <tableColumn id="5" xr3:uid="{A813C969-38D8-42AB-92B9-2CFDC3949725}" name="Ad-hoc charges" dataDxfId="123">
      <calculatedColumnFormula>IF(F$14="Yes",SUM(G23:H23,Table24[[#This Row],[Terrain charges]],Table24[[#This Row],[Congestion Charges]])*30%,0)</calculatedColumnFormula>
    </tableColumn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48AB4A4E-CE92-4499-8A7A-51E7DCADD345}" name="Table16" displayName="Table16" ref="B58:M59" totalsRowShown="0">
  <autoFilter ref="B58:M59" xr:uid="{48AB4A4E-CE92-4499-8A7A-51E7DCADD345}"/>
  <tableColumns count="12">
    <tableColumn id="1" xr3:uid="{33EC8582-F518-4A2C-BE9B-9F63ECC204D5}" name="Vehicle Type"/>
    <tableColumn id="2" xr3:uid="{D42180B6-0A74-4EA6-8813-9E191B00FA9A}" name="Vehicle #1">
      <calculatedColumnFormula>IF(ISNUMBER(SEARCH("Market",C$10)),0,IF(C$6="",0,INDEX(Capacity_and_Expenses[],MATCH(C$6,Vehicle,0),6)))</calculatedColumnFormula>
    </tableColumn>
    <tableColumn id="3" xr3:uid="{0EE68786-4E9A-41A4-A411-2A562D30153B}" name="Vehicle #2">
      <calculatedColumnFormula>IF(ISNUMBER(SEARCH("Market",D$10)),0,IF(D$6="",0,INDEX(Capacity_and_Expenses[],MATCH(D$6,Vehicle,0),6)))</calculatedColumnFormula>
    </tableColumn>
    <tableColumn id="4" xr3:uid="{5BA0E977-1E94-4B23-A581-2842D449DA30}" name="Vehicle #3">
      <calculatedColumnFormula>IF(ISNUMBER(SEARCH("Market",E$10)),0,IF(E$6="",0,INDEX(Capacity_and_Expenses[],MATCH(E$6,Vehicle,0),6)))</calculatedColumnFormula>
    </tableColumn>
    <tableColumn id="5" xr3:uid="{4EDD84D0-499F-44CD-98CE-901347CB3702}" name="Vehicle #4">
      <calculatedColumnFormula>IF(ISNUMBER(SEARCH("Market",F$10)),0,IF(F$6="",0,INDEX(Capacity_and_Expenses[],MATCH(F$6,Vehicle,0),6)))</calculatedColumnFormula>
    </tableColumn>
    <tableColumn id="6" xr3:uid="{AD39B382-734C-4CB9-B9C4-2C14ADAAB946}" name="Vehicle #5">
      <calculatedColumnFormula>IF(ISNUMBER(SEARCH("Market",G$10)),0,IF(G$6="",0,INDEX(Capacity_and_Expenses[],MATCH(G$6,Vehicle,0),6)))</calculatedColumnFormula>
    </tableColumn>
    <tableColumn id="7" xr3:uid="{1AF7B49B-5906-4B14-807D-12B959F679BE}" name="Vehicle #6">
      <calculatedColumnFormula>IF(ISNUMBER(SEARCH("Market",H$10)),0,IF(H$6="",0,INDEX(Capacity_and_Expenses[],MATCH(H$6,Vehicle,0),6)))</calculatedColumnFormula>
    </tableColumn>
    <tableColumn id="8" xr3:uid="{5F3BA2AB-2AF3-43FD-AFF7-87DDE2BD5E83}" name="Vehicle #7">
      <calculatedColumnFormula>IF(ISNUMBER(SEARCH("Market",I$10)),0,IF(I$6="",0,INDEX(Capacity_and_Expenses[],MATCH(I$6,Vehicle,0),6)))</calculatedColumnFormula>
    </tableColumn>
    <tableColumn id="9" xr3:uid="{5F108D7E-6CF6-4C14-8F2C-BD3FC15CA378}" name="Vehicle #8">
      <calculatedColumnFormula>IF(ISNUMBER(SEARCH("Market",J$10)),0,IF(J$6="",0,INDEX(Capacity_and_Expenses[],MATCH(J$6,Vehicle,0),6)))</calculatedColumnFormula>
    </tableColumn>
    <tableColumn id="10" xr3:uid="{33160CB3-08F0-4192-A69D-32599920DA26}" name="Vehicle #9">
      <calculatedColumnFormula>IF(ISNUMBER(SEARCH("Market",K$10)),0,IF(K$6="",0,INDEX(Capacity_and_Expenses[],MATCH(K$6,Vehicle,0),6)))</calculatedColumnFormula>
    </tableColumn>
    <tableColumn id="11" xr3:uid="{4205EBD3-1C84-4339-9EDF-BAF64E038306}" name="Vehicle #10">
      <calculatedColumnFormula>IF(ISNUMBER(SEARCH("Market",L$10)),0,IF(L$6="",0,INDEX(Capacity_and_Expenses[],MATCH(L$6,Vehicle,0),6)))</calculatedColumnFormula>
    </tableColumn>
    <tableColumn id="12" xr3:uid="{3FF576A1-E83C-40E8-BC2C-F0C52152004F}" name="Sum" dataDxfId="122">
      <calculatedColumnFormula>SUM(Table16[[#This Row],[Vehicle '#1]:[Vehicle '#10]])</calculatedColumnFormula>
    </tableColumn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45DE27F5-2E1F-470A-94DB-DC1F0A008525}" name="Table1426" displayName="Table1426" ref="B66:M67" totalsRowShown="0" headerRowDxfId="121" dataDxfId="120">
  <autoFilter ref="B66:M67" xr:uid="{45DE27F5-2E1F-470A-94DB-DC1F0A008525}"/>
  <tableColumns count="12">
    <tableColumn id="1" xr3:uid="{FC98323F-59AF-4C26-82B3-1FC1C10F6432}" name="Vehicle" dataDxfId="119"/>
    <tableColumn id="2" xr3:uid="{959B4ACF-03CF-43BD-B399-C9DFD16F4F6C}" name="Vehicle #1" dataDxfId="118">
      <calculatedColumnFormula>IF(ISNUMBER(SEARCH("Market",C$10)), INDEX(Market_table[], MATCH(C$10,Market_types,0),2),0)</calculatedColumnFormula>
    </tableColumn>
    <tableColumn id="3" xr3:uid="{12D6402E-CFC0-4A81-9299-86CE99418E45}" name="Vehicle #2" dataDxfId="117">
      <calculatedColumnFormula>IF(ISNUMBER(SEARCH("Market",D$10)), INDEX(Market_table[], MATCH(D$10,Market_types,0),2),0)</calculatedColumnFormula>
    </tableColumn>
    <tableColumn id="4" xr3:uid="{A525B86B-99DA-4716-80C9-E08F81B93588}" name="Vehicle #3" dataDxfId="116">
      <calculatedColumnFormula>IF(ISNUMBER(SEARCH("Market",E$10)), INDEX(Market_table[], MATCH(E$10,Market_types,0),2),0)</calculatedColumnFormula>
    </tableColumn>
    <tableColumn id="5" xr3:uid="{58B54872-787A-4BC2-87AB-783F46AE9AE6}" name="Vehicle #4" dataDxfId="115">
      <calculatedColumnFormula>IF(ISNUMBER(SEARCH("Market",F$10)), INDEX(Market_table[], MATCH(F$10,Market_types,0),2),0)</calculatedColumnFormula>
    </tableColumn>
    <tableColumn id="6" xr3:uid="{1B4B3A7A-E593-4B40-BB73-D3437CA0E066}" name="Vehicle #5" dataDxfId="114">
      <calculatedColumnFormula>IF(ISNUMBER(SEARCH("Market",G$10)), INDEX(Market_table[], MATCH(G$10,Market_types,0),2),0)</calculatedColumnFormula>
    </tableColumn>
    <tableColumn id="7" xr3:uid="{0473052C-3B4F-4192-91B6-5F1181EEA72D}" name="Vehicle #6" dataDxfId="113">
      <calculatedColumnFormula>IF(ISNUMBER(SEARCH("Market",H$10)), INDEX(Market_table[], MATCH(H$10,Market_types,0),2),0)</calculatedColumnFormula>
    </tableColumn>
    <tableColumn id="8" xr3:uid="{6D943745-AAFD-40EB-A771-D714587C3C9B}" name="Vehicle #7" dataDxfId="112">
      <calculatedColumnFormula>IF(ISNUMBER(SEARCH("Market",I$10)), INDEX(Market_table[], MATCH(I$10,Market_types,0),2),0)</calculatedColumnFormula>
    </tableColumn>
    <tableColumn id="9" xr3:uid="{29B38311-BC55-4865-B5D0-8970055DE566}" name="Vehicle #8" dataDxfId="111">
      <calculatedColumnFormula>IF(ISNUMBER(SEARCH("Market",J$10)), INDEX(Market_table[], MATCH(J$10,Market_types,0),2),0)</calculatedColumnFormula>
    </tableColumn>
    <tableColumn id="10" xr3:uid="{4B2F2408-3FDF-44A3-8193-681D4844A486}" name="Vehicle #9" dataDxfId="110">
      <calculatedColumnFormula>IF(ISNUMBER(SEARCH("Market",K$10)), INDEX(Market_table[], MATCH(K$10,Market_types,0),2),0)</calculatedColumnFormula>
    </tableColumn>
    <tableColumn id="11" xr3:uid="{69E5EDAD-00BF-4119-8ECA-BE2B67116E4B}" name="Vehicle #10" dataDxfId="109">
      <calculatedColumnFormula>IF(ISNUMBER(SEARCH("Market",L$10)), INDEX(Market_table[], MATCH(L$10,Market_types,0),2),0)</calculatedColumnFormula>
    </tableColumn>
    <tableColumn id="12" xr3:uid="{CB2898DE-F315-411F-AB6C-D7728611F93E}" name="Sum" dataDxfId="108">
      <calculatedColumnFormula>SUM(Table1426[[#This Row],[Vehicle '#1]:[Vehicle '#10]])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054A4142-754D-4193-A81E-6E35811E1E9B}" name="Table142628" displayName="Table142628" ref="B74:M75" totalsRowShown="0" headerRowDxfId="13" dataDxfId="12">
  <autoFilter ref="B74:M75" xr:uid="{054A4142-754D-4193-A81E-6E35811E1E9B}"/>
  <tableColumns count="12">
    <tableColumn id="1" xr3:uid="{CC08BCCE-8E32-48E8-B322-4F23AF099D07}" name="Vehicle" dataDxfId="11"/>
    <tableColumn id="2" xr3:uid="{5CC830B6-8B72-4F95-83F0-CE75BD63926C}" name="Vehicle #1" dataDxfId="0">
      <calculatedColumnFormula>IFERROR(INDEX(Capacity_and_Expenses[],MATCH(C$6, Vehicle,0),3),0)</calculatedColumnFormula>
    </tableColumn>
    <tableColumn id="3" xr3:uid="{6EF8129F-6A9D-4313-B11A-715BD13AE99C}" name="Vehicle #2" dataDxfId="10">
      <calculatedColumnFormula>IFERROR(INDEX(Capacity_and_Expenses[],MATCH(D$6, Vehicle,0),3),0)</calculatedColumnFormula>
    </tableColumn>
    <tableColumn id="4" xr3:uid="{945B50E4-DD71-45A9-990B-F90AB3D0A6B5}" name="Vehicle #3" dataDxfId="9">
      <calculatedColumnFormula>IFERROR(INDEX(Capacity_and_Expenses[],MATCH(E$6, Vehicle,0),3),0)</calculatedColumnFormula>
    </tableColumn>
    <tableColumn id="5" xr3:uid="{EE0B7BE8-1C44-4695-A8B6-2652931961FA}" name="Vehicle #4" dataDxfId="8">
      <calculatedColumnFormula>IFERROR(INDEX(Capacity_and_Expenses[],MATCH(F$6, Vehicle,0),3),0)</calculatedColumnFormula>
    </tableColumn>
    <tableColumn id="6" xr3:uid="{9748EE01-EB9D-4E62-B83D-60498C3F2275}" name="Vehicle #5" dataDxfId="7">
      <calculatedColumnFormula>IFERROR(INDEX(Capacity_and_Expenses[],MATCH(G$6, Vehicle,0),3),0)</calculatedColumnFormula>
    </tableColumn>
    <tableColumn id="7" xr3:uid="{E3BE4F17-7B79-4017-9C72-3DFE88F8832B}" name="Vehicle #6" dataDxfId="6">
      <calculatedColumnFormula>IFERROR(INDEX(Capacity_and_Expenses[],MATCH(H$6, Vehicle,0),3),0)</calculatedColumnFormula>
    </tableColumn>
    <tableColumn id="8" xr3:uid="{C0C20F67-E3AB-45D4-AB81-F9D614E0B847}" name="Vehicle #7" dataDxfId="5">
      <calculatedColumnFormula>IFERROR(INDEX(Capacity_and_Expenses[],MATCH(I$6, Vehicle,0),3),0)</calculatedColumnFormula>
    </tableColumn>
    <tableColumn id="9" xr3:uid="{8CD061E4-1E73-41FB-B7E7-69C2E6850CFB}" name="Vehicle #8" dataDxfId="4">
      <calculatedColumnFormula>IFERROR(INDEX(Capacity_and_Expenses[],MATCH(J$6, Vehicle,0),3),0)</calculatedColumnFormula>
    </tableColumn>
    <tableColumn id="10" xr3:uid="{EE158C96-88D4-48F2-90F1-CD8BE49EE97F}" name="Vehicle #9" dataDxfId="3">
      <calculatedColumnFormula>IFERROR(INDEX(Capacity_and_Expenses[],MATCH(K$6, Vehicle,0),3),0)</calculatedColumnFormula>
    </tableColumn>
    <tableColumn id="11" xr3:uid="{1E489BDD-FE1B-4642-AEA8-70DB1CF0B1F0}" name="Vehicle #10" dataDxfId="2">
      <calculatedColumnFormula>IFERROR(INDEX(Capacity_and_Expenses[],MATCH(L$6, Vehicle,0),3),0)</calculatedColumnFormula>
    </tableColumn>
    <tableColumn id="12" xr3:uid="{4713D676-C621-4D4A-9B2A-E8458FF8C268}" name="Sum" dataDxfId="1">
      <calculatedColumnFormula>SUM(Table142628[[#This Row],[Vehicle '#1]:[Vehicle '#10]])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06901B2-F5B3-4222-AEDF-D6F4EAD4B335}" name="Salary_table" displayName="Salary_table" ref="A1:I19" totalsRowShown="0" headerRowDxfId="29" dataDxfId="28" headerRowBorderDxfId="26" tableBorderDxfId="27" totalsRowBorderDxfId="25">
  <autoFilter ref="A1:I19" xr:uid="{E06901B2-F5B3-4222-AEDF-D6F4EAD4B335}"/>
  <tableColumns count="9">
    <tableColumn id="1" xr3:uid="{F588EB01-27C9-497A-BAC5-D68B942E212C}" name="Cluster" dataDxfId="24"/>
    <tableColumn id="2" xr3:uid="{92224165-D858-4B27-9CCA-60152E9C5CD8}" name="State" dataDxfId="23"/>
    <tableColumn id="3" xr3:uid="{F4A680E7-2492-4F18-A9CB-0E050D33A224}" name="Semi skilled" dataDxfId="22"/>
    <tableColumn id="4" xr3:uid="{694DD446-C8E2-445D-A6B6-A53197E8A516}" name="Skilled" dataDxfId="21"/>
    <tableColumn id="5" xr3:uid="{9ED705E7-16F9-4BAC-B43E-9C104190E112}" name="Highly skilled" dataDxfId="20"/>
    <tableColumn id="6" xr3:uid="{2E118471-2FD5-4939-A067-562CEB9D75BB}" name="Loader Cap" dataDxfId="19">
      <calculatedColumnFormula>ROUNDUP(Salary_table[[#This Row],[Semi skilled]],-2)+1000</calculatedColumnFormula>
    </tableColumn>
    <tableColumn id="7" xr3:uid="{EA63D547-7A40-43C3-A8FC-AED2F44A0C07}" name="Driver Cap" dataDxfId="18">
      <calculatedColumnFormula>ROUNDUP(Salary_table[[#This Row],[Skilled]],-2)+1000</calculatedColumnFormula>
    </tableColumn>
    <tableColumn id="8" xr3:uid="{127D9DCE-3AC1-4B4E-92D7-4E73106BA5B5}" name="Supervisor Cap" dataDxfId="17">
      <calculatedColumnFormula>ROUNDUP(Salary_table[[#This Row],[Highly skilled]],-2)+1000</calculatedColumnFormula>
    </tableColumn>
    <tableColumn id="9" xr3:uid="{407000F7-C45E-4268-873C-69A9EF57D28F}" name="Sum" dataDxfId="16">
      <calculatedColumnFormula>SUM(Salary_table[[#This Row],[Supervisor Cap]],Salary_table[[#This Row],[Driver Cap]],Salary_table[[#This Row],[Loader Cap]]*2)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C51F305-8C50-4264-9C37-CAD397EC5A23}" name="Capacity_and_Expenses" displayName="Capacity_and_Expenses" ref="A1:F21" totalsRowShown="0" headerRowDxfId="85" headerRowBorderDxfId="84" tableBorderDxfId="83" totalsRowBorderDxfId="82">
  <autoFilter ref="A1:F21" xr:uid="{AC51F305-8C50-4264-9C37-CAD397EC5A23}"/>
  <sortState xmlns:xlrd2="http://schemas.microsoft.com/office/spreadsheetml/2017/richdata2" ref="A2:F21">
    <sortCondition ref="A1:A21"/>
  </sortState>
  <tableColumns count="6">
    <tableColumn id="6" xr3:uid="{87950A86-808A-4506-92C0-FD2250F300B1}" name="Vehicle" dataDxfId="81">
      <calculatedColumnFormula>VLOOKUP(Capacity_and_Expenses[[#This Row],[Vehicles]],Vehicle_code_vs_name[],2,0)</calculatedColumnFormula>
    </tableColumn>
    <tableColumn id="1" xr3:uid="{39A9AF45-4288-42F3-8035-1EBA36710FAD}" name="Vehicles" dataDxfId="80"/>
    <tableColumn id="2" xr3:uid="{54272386-0EBF-4B70-A68D-C35B3DB6D451}" name="Capacity" dataDxfId="79"/>
    <tableColumn id="3" xr3:uid="{98E98482-478A-4F43-886F-973B377C708F}" name="Insurance and RTO (Fitness Etc)" dataDxfId="78"/>
    <tableColumn id="4" xr3:uid="{9BA3D7E2-696E-43DD-A5D1-4F4C4E3EFE7A}" name="Driver Expenses" dataDxfId="77"/>
    <tableColumn id="5" xr3:uid="{AFAE0324-5CA0-47D0-85D2-BD3072936B22}" name="Total_maintanance" dataDxfId="76">
      <calculatedColumnFormula>SUM(Capacity_and_Expenses[[#This Row],[Insurance and RTO (Fitness Etc)]],Capacity_and_Expenses[[#This Row],[Driver Expenses]])</calculatedColumnFormula>
    </tableColumn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56F4A67-1C31-4108-A250-8EC4B218D46C}" name="EMI_table" displayName="EMI_table" ref="A3:J23" totalsRowShown="0" headerRowDxfId="107" dataDxfId="105" headerRowBorderDxfId="106" tableBorderDxfId="104" totalsRowBorderDxfId="103">
  <autoFilter ref="A3:J23" xr:uid="{856F4A67-1C31-4108-A250-8EC4B218D46C}"/>
  <sortState xmlns:xlrd2="http://schemas.microsoft.com/office/spreadsheetml/2017/richdata2" ref="A4:J23">
    <sortCondition ref="A3:A23"/>
  </sortState>
  <tableColumns count="10">
    <tableColumn id="10" xr3:uid="{0D417193-41E8-41DB-99DF-098B9D0ABA4E}" name="Vhicle names" dataDxfId="102">
      <calculatedColumnFormula>VLOOKUP(B4,Vehicle_code_vs_name[],2,0)</calculatedColumnFormula>
    </tableColumn>
    <tableColumn id="1" xr3:uid="{A4821811-7C2C-42D2-8CC9-FE2A5ADB3259}" name="Vehicles" dataDxfId="101"/>
    <tableColumn id="2" xr3:uid="{91B50D17-8A2D-44C9-9C2A-A95D04822DE1}" name="Ex-Showroom Price" dataDxfId="100"/>
    <tableColumn id="3" xr3:uid="{2E717EFE-CADF-4EC4-AB49-0BA8BBD620EF}" name="Downpayment %" dataDxfId="99"/>
    <tableColumn id="4" xr3:uid="{03A1700B-9820-487D-A60D-38298877BD8E}" name="Balance" dataDxfId="98">
      <calculatedColumnFormula>EMI_table[[#This Row],[Ex-Showroom Price]]-(EMI_table[[#This Row],[Downpayment %]]*EMI_table[[#This Row],[Ex-Showroom Price]])</calculatedColumnFormula>
    </tableColumn>
    <tableColumn id="5" xr3:uid="{9E6182FE-FC1A-462C-B36F-559C3575CE53}" name="Rate of Interest" dataDxfId="97"/>
    <tableColumn id="6" xr3:uid="{AFCB9728-DEC0-4AE9-91F0-E2BB4CA65EF2}" name="EMI (3 yrs)" dataDxfId="96">
      <calculatedColumnFormula>(EMI_table[[#This Row],[Balance]]*(EMI_table[[#This Row],[Rate of Interest]]/12)*(POWER(1+(EMI_table[[#This Row],[Rate of Interest]]/12),F$2)))/((POWER(1+(EMI_table[[#This Row],[Rate of Interest]]/12),F$2))-1)</calculatedColumnFormula>
    </tableColumn>
    <tableColumn id="7" xr3:uid="{F62C24C1-DDE1-4A7E-B677-6510942666A5}" name="EMI (4 yrs)" dataDxfId="95">
      <calculatedColumnFormula>(EMI_table[[#This Row],[Balance]]*(EMI_table[[#This Row],[Rate of Interest]]/12)*(POWER(1+(EMI_table[[#This Row],[Rate of Interest]]/12),G$2)))/((POWER(1+(EMI_table[[#This Row],[Rate of Interest]]/12),G$2))-1)</calculatedColumnFormula>
    </tableColumn>
    <tableColumn id="8" xr3:uid="{1354C92C-05E8-44B8-B44F-2CEDFF52C308}" name="EMI (5 yrs)" dataDxfId="94">
      <calculatedColumnFormula>(EMI_table[[#This Row],[Balance]]*(EMI_table[[#This Row],[Rate of Interest]]/12)*(POWER(1+(EMI_table[[#This Row],[Rate of Interest]]/12),H$2)))/((POWER(1+(EMI_table[[#This Row],[Rate of Interest]]/12),H$2))-1)</calculatedColumnFormula>
    </tableColumn>
    <tableColumn id="9" xr3:uid="{A32CAEBF-C2DD-4EA7-9668-17A7487E1145}" name="EMI (8 yrs)" dataDxfId="93">
      <calculatedColumnFormula>(EMI_table[[#This Row],[Balance]]*(EMI_table[[#This Row],[Rate of Interest]]/12)*(POWER(1+(EMI_table[[#This Row],[Rate of Interest]]/12),I$2)))/((POWER(1+(EMI_table[[#This Row],[Rate of Interest]]/12),I$2))-1)</calculatedColumnFormula>
    </tableColumn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1D3E31AA-8F5D-4072-9A3E-A9D1EB0AB2CB}" name="Market_table" displayName="Market_table" ref="A26:B33" totalsRowShown="0" headerRowDxfId="92" dataDxfId="90" headerRowBorderDxfId="91" tableBorderDxfId="89" totalsRowBorderDxfId="88">
  <autoFilter ref="A26:B33" xr:uid="{1D3E31AA-8F5D-4072-9A3E-A9D1EB0AB2CB}"/>
  <tableColumns count="2">
    <tableColumn id="1" xr3:uid="{73D8629C-1967-440D-8D31-0341EDE1F2D7}" name="Market types" dataDxfId="87"/>
    <tableColumn id="2" xr3:uid="{5F276BED-10EF-4A69-9E85-2A8C1E88B42E}" name="Price" dataDxfId="8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D3A3F11-BD28-4586-BDF7-E9C692555E1C}" name="Table12" displayName="Table12" ref="E1:U22" totalsRowShown="0" headerRowDxfId="194" dataDxfId="193">
  <autoFilter ref="E1:U22" xr:uid="{0D3A3F11-BD28-4586-BDF7-E9C692555E1C}"/>
  <tableColumns count="17">
    <tableColumn id="1" xr3:uid="{C90E2C7B-0EDB-4A4B-A3E1-B6F73A2F70A2}" name="Ahmedabad" dataDxfId="192"/>
    <tableColumn id="2" xr3:uid="{49DD7811-61D6-41EE-AC66-0353A516146B}" name="Ambala" dataDxfId="191"/>
    <tableColumn id="3" xr3:uid="{605CE202-4AA5-4901-B611-741DC1A6B6D3}" name="Bangalore" dataDxfId="190"/>
    <tableColumn id="4" xr3:uid="{B7F11469-46FF-4418-B410-802013FFCB3B}" name="Chennai" dataDxfId="189"/>
    <tableColumn id="5" xr3:uid="{57895493-B740-48E4-8A19-4D1C248A1ACD}" name="Coimbatore" dataDxfId="188"/>
    <tableColumn id="6" xr3:uid="{19C528A3-2A06-4705-94F3-734DB348EFB8}" name="Delhi" dataDxfId="187"/>
    <tableColumn id="7" xr3:uid="{9A527A2B-7454-4EA1-A218-6D8430CDBC08}" name="Guwahati" dataDxfId="186"/>
    <tableColumn id="8" xr3:uid="{B74E5502-4CED-497B-99FE-3DE23D937FFE}" name="Hyderabad" dataDxfId="185"/>
    <tableColumn id="9" xr3:uid="{D78B12C0-B530-4915-B967-4FAB93AEEB77}" name="Indore" dataDxfId="184"/>
    <tableColumn id="10" xr3:uid="{63F3A6EF-D8D4-4343-86D9-DC1FDEA511CC}" name="Jaipur" dataDxfId="183"/>
    <tableColumn id="11" xr3:uid="{5B93C975-8918-4473-87A4-B3695354ED34}" name="Jamshedpur" dataDxfId="182"/>
    <tableColumn id="12" xr3:uid="{066E41A9-0AA1-40DD-B98D-8CF362FCD942}" name="Kolkata" dataDxfId="181"/>
    <tableColumn id="13" xr3:uid="{01A96992-14B0-4EB6-ACB9-2B59BE589CE2}" name="Lucknow" dataDxfId="180"/>
    <tableColumn id="14" xr3:uid="{21520DE8-BCE7-4F12-9E92-32D02660B164}" name="Mumbai" dataDxfId="179"/>
    <tableColumn id="15" xr3:uid="{4E35184E-4936-424E-8A07-BE6E4162D4C2}" name="Nagpur" dataDxfId="178"/>
    <tableColumn id="16" xr3:uid="{63C780CF-8AFC-471E-B644-CAFF102DE847}" name="Noida" dataDxfId="177"/>
    <tableColumn id="17" xr3:uid="{B2E3C495-70B4-42EF-AF4B-E8C26678C3A5}" name="Pune" dataDxfId="176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B52170D-99E7-48B2-9E41-1D1337C90840}" name="Assumption_distance" displayName="Assumption_distance" ref="A1:D18" totalsRowShown="0" headerRowDxfId="75" headerRowBorderDxfId="74" tableBorderDxfId="73" totalsRowBorderDxfId="72">
  <autoFilter ref="A1:D18" xr:uid="{0B52170D-99E7-48B2-9E41-1D1337C90840}"/>
  <sortState xmlns:xlrd2="http://schemas.microsoft.com/office/spreadsheetml/2017/richdata2" ref="A2:D18">
    <sortCondition ref="A1:A18"/>
  </sortState>
  <tableColumns count="4">
    <tableColumn id="4" xr3:uid="{6D330F85-5A57-4E8F-A8CE-9CC9CF8CBD50}" name="Column1" dataDxfId="71">
      <calculatedColumnFormula>VLOOKUP(Assumption_distance[[#This Row],[Cluster]],Cluster_code_vs_name[],2,0)</calculatedColumnFormula>
    </tableColumn>
    <tableColumn id="1" xr3:uid="{9168EC34-562D-49F8-935D-71C26C801473}" name="Cluster" dataDxfId="70"/>
    <tableColumn id="2" xr3:uid="{39BF6F39-F3D1-4F3C-9BE3-F65D2280BED4}" name="Intra-city" dataDxfId="69"/>
    <tableColumn id="3" xr3:uid="{5B0A0D1F-7794-482A-83BE-B8A85B60AFA7}" name="Long distance" dataDxfId="68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A58D7C93-F87C-40DC-92BF-77D1D66956C8}" name="Table10" displayName="Table10" ref="F1:F3" totalsRowShown="0" headerRowDxfId="67" dataDxfId="66">
  <autoFilter ref="F1:F3" xr:uid="{A58D7C93-F87C-40DC-92BF-77D1D66956C8}"/>
  <tableColumns count="1">
    <tableColumn id="1" xr3:uid="{3F56BB47-975A-4E7A-98E4-DCDB2E67EFBF}" name="Distance" dataDxfId="65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9540AA9-F384-49BF-AF92-53935E5A91F4}" name="Mileage_table" displayName="Mileage_table" ref="A1:T21" totalsRowShown="0" headerRowDxfId="64" dataDxfId="62" headerRowBorderDxfId="63" tableBorderDxfId="61" totalsRowBorderDxfId="60">
  <autoFilter ref="A1:T21" xr:uid="{59540AA9-F384-49BF-AF92-53935E5A91F4}"/>
  <tableColumns count="20">
    <tableColumn id="20" xr3:uid="{83764BF6-E2E6-4AD5-9DDE-89AED84CECD6}" name="Vehicle Name" dataDxfId="59">
      <calculatedColumnFormula>VLOOKUP(B2,Vehicle_code_vs_name[],2,0)</calculatedColumnFormula>
    </tableColumn>
    <tableColumn id="1" xr3:uid="{15886198-7DE4-4CAD-8868-BC471CEFDDEF}" name="Vehicle" dataDxfId="58"/>
    <tableColumn id="2" xr3:uid="{DCA3FB3E-91F0-4A97-9A24-882A6FC0BD8F}" name="Mumbai" dataDxfId="57"/>
    <tableColumn id="3" xr3:uid="{2D6E71BF-6CA2-4D58-8465-9B18369F68D1}" name="Delhi" dataDxfId="56"/>
    <tableColumn id="4" xr3:uid="{315626F0-5BC5-49E3-9392-332120E36E05}" name="Bangalore" dataDxfId="55"/>
    <tableColumn id="5" xr3:uid="{2E2BC128-79A1-4D13-A4EB-BB9EFB31F73F}" name="Kolkata" dataDxfId="54"/>
    <tableColumn id="6" xr3:uid="{347C778B-22B1-4452-9EFE-955F82BBC7BA}" name="Chennai" dataDxfId="53"/>
    <tableColumn id="7" xr3:uid="{9037BFB1-76BC-42A6-BFB1-D4343C9589FC}" name="Ambala" dataDxfId="52"/>
    <tableColumn id="8" xr3:uid="{8C342DEA-FDDE-481E-9434-7912B99E39E6}" name="Noida" dataDxfId="51"/>
    <tableColumn id="9" xr3:uid="{5403FD22-32A6-4752-A543-5C6E72A59944}" name="Hyderabad" dataDxfId="50"/>
    <tableColumn id="10" xr3:uid="{A3EC13E0-3EEA-4551-98EF-3401B2BD3BE1}" name="Coimbatore" dataDxfId="49"/>
    <tableColumn id="11" xr3:uid="{4590A1B7-F73C-470B-A55C-A3AA169FCFB5}" name="Ahmedabad" dataDxfId="48"/>
    <tableColumn id="12" xr3:uid="{87D7F810-77CA-4E15-A340-B3D6D64D7F3B}" name="Pune" dataDxfId="47"/>
    <tableColumn id="13" xr3:uid="{1235D8AB-2FF5-4D96-8C4C-F6AECE573DA7}" name="Guwahati" dataDxfId="46"/>
    <tableColumn id="14" xr3:uid="{73FE04F7-BB05-404A-BC09-ECC3A3FCBA26}" name="Indore" dataDxfId="45"/>
    <tableColumn id="15" xr3:uid="{663FE01A-0438-4054-8FAF-6306AB67374E}" name="Jamshedpur" dataDxfId="44"/>
    <tableColumn id="16" xr3:uid="{C7D8A37A-55DB-4497-8605-0AB254A5DCA7}" name="Jaipur" dataDxfId="43"/>
    <tableColumn id="17" xr3:uid="{463E7C34-77FF-4A7E-B328-96DDB3A99FA9}" name="Lucknow" dataDxfId="42"/>
    <tableColumn id="18" xr3:uid="{8E89F846-D5FF-4B4F-A198-313B34F3DDF1}" name="Average mileage" dataDxfId="41">
      <calculatedColumnFormula>SUM(Mileage_table[[#This Row],[Mumbai]:[Lucknow]])/COUNTIF(Mileage_table[[#This Row],[Mumbai]:[Lucknow]],"&gt;0")</calculatedColumnFormula>
    </tableColumn>
    <tableColumn id="19" xr3:uid="{236195D8-D579-4845-8E56-AE7FC37D92A2}" name="bottom cap" dataDxfId="40">
      <calculatedColumnFormula>ROUNDDOWN(Mileage_table[[#This Row],[Average mileage]],0)</calculatedColumnFormula>
    </tableColumn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DC0305D-77D4-4252-8F45-5A9036D5A4AB}" name="Loc_code_vs_Cluster_code" displayName="Loc_code_vs_Cluster_code" ref="A1:B302" totalsRowShown="0" headerRowDxfId="39" dataDxfId="38">
  <autoFilter ref="A1:B302" xr:uid="{5DC0305D-77D4-4252-8F45-5A9036D5A4AB}"/>
  <tableColumns count="2">
    <tableColumn id="1" xr3:uid="{3907179F-515B-42BF-B20B-97E6DCCD63E7}" name="Location code" dataDxfId="37"/>
    <tableColumn id="2" xr3:uid="{61267CAC-0614-4598-9FFF-6CD29C2CBA36}" name="CLUSTER" dataDxfId="36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89CFF2F-A639-4304-8D35-0A36E0BB9A65}" name="Cluster_code_vs_name" displayName="Cluster_code_vs_name" ref="D1:E18" totalsRowShown="0" headerRowDxfId="35">
  <autoFilter ref="D1:E18" xr:uid="{C89CFF2F-A639-4304-8D35-0A36E0BB9A65}"/>
  <tableColumns count="2">
    <tableColumn id="1" xr3:uid="{D28F703A-5D33-472A-ABA7-1B2692BD7EEE}" name="CLUSTER" dataDxfId="34"/>
    <tableColumn id="2" xr3:uid="{6131461F-BBE5-4F48-83DA-EC18F5ABF311}" name="Cluster Name" dataDxfId="33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635B461F-2F12-471E-B776-B268A3F531DF}" name="Vehicle_code_vs_name" displayName="Vehicle_code_vs_name" ref="G1:H43" totalsRowShown="0" headerRowDxfId="32">
  <autoFilter ref="G1:H43" xr:uid="{635B461F-2F12-471E-B776-B268A3F531DF}"/>
  <tableColumns count="2">
    <tableColumn id="1" xr3:uid="{49F4F9E3-F719-40BD-B9C6-E696FC5C6405}" name="Vehicle " dataDxfId="31"/>
    <tableColumn id="2" xr3:uid="{FDEE17E3-4E65-41EC-AA4E-A1F0BDEF4BC5}" name="Mapped Vehicle" dataDxfId="3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9BCC37C-F405-419D-8A43-93A09C996D94}" name="Table15" displayName="Table15" ref="AH1:AH11" totalsRowShown="0" headerRowDxfId="175" dataDxfId="174">
  <autoFilter ref="AH1:AH11" xr:uid="{09BCC37C-F405-419D-8A43-93A09C996D94}"/>
  <tableColumns count="1">
    <tableColumn id="1" xr3:uid="{278ACDA9-F39A-4A16-B19A-12C9BC4CD341}" name="Profit margin" dataDxfId="17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61ED8C5B-7C8E-49AE-9DA7-9F3C63A62096}" name="Table18" displayName="Table18" ref="AE1:AE3" totalsRowShown="0" headerRowDxfId="172" dataDxfId="171">
  <autoFilter ref="AE1:AE3" xr:uid="{61ED8C5B-7C8E-49AE-9DA7-9F3C63A62096}"/>
  <tableColumns count="1">
    <tableColumn id="1" xr3:uid="{4CD9E130-F6C5-40E9-BA45-F7744110167C}" name="Additional charges" dataDxfId="170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8F517047-24EE-4FAF-906E-70DD4684DC06}" name="Table19" displayName="Table19" ref="AC1:AC3" totalsRowShown="0" headerRowDxfId="169" dataDxfId="168">
  <autoFilter ref="AC1:AC3" xr:uid="{8F517047-24EE-4FAF-906E-70DD4684DC06}"/>
  <tableColumns count="1">
    <tableColumn id="1" xr3:uid="{0E4F7A20-30DE-4741-B86E-FED897B3482A}" name="Delivery Capability" dataDxfId="167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EC9736DD-1325-4C71-AD42-255663E4408F}" name="Table21" displayName="Table21" ref="AA1:AA13" totalsRowShown="0" headerRowDxfId="166" dataDxfId="165">
  <autoFilter ref="AA1:AA13" xr:uid="{EC9736DD-1325-4C71-AD42-255663E4408F}"/>
  <tableColumns count="1">
    <tableColumn id="1" xr3:uid="{02BC53F9-DEB7-4EA1-B0F3-9A746A18C6C7}" name="Veh_Category" dataDxfId="164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367B516A-B8CA-4CB1-B7E1-557E9D0AE1DD}" name="Table22" displayName="Table22" ref="Y1:Y15" totalsRowShown="0" headerRowDxfId="163" dataDxfId="162">
  <autoFilter ref="Y1:Y15" xr:uid="{367B516A-B8CA-4CB1-B7E1-557E9D0AE1DD}"/>
  <tableColumns count="1">
    <tableColumn id="1" xr3:uid="{42A71B19-65AA-413C-B736-B535FA573E89}" name="Year of Make" dataDxfId="161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B1DDD271-152C-4D65-9CF7-66BA2816094A}" name="Table23" displayName="Table23" ref="W1:W21" totalsRowShown="0" headerRowDxfId="160" dataDxfId="159">
  <autoFilter ref="W1:W21" xr:uid="{B1DDD271-152C-4D65-9CF7-66BA2816094A}"/>
  <sortState xmlns:xlrd2="http://schemas.microsoft.com/office/spreadsheetml/2017/richdata2" ref="W2:W21">
    <sortCondition ref="W1:W21"/>
  </sortState>
  <tableColumns count="1">
    <tableColumn id="1" xr3:uid="{3037BBE8-FBCF-4394-9E1A-48C2D90F5D8D}" name="Vehicle" dataDxfId="158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B75828D0-5F13-4900-8024-DD3093CCEE51}" name="Table26" displayName="Table26" ref="AE6:AF10" totalsRowShown="0">
  <autoFilter ref="AE6:AF10" xr:uid="{B75828D0-5F13-4900-8024-DD3093CCEE51}"/>
  <tableColumns count="2">
    <tableColumn id="1" xr3:uid="{19DE78F4-9A48-41AA-8FEA-41DDEB509B9B}" name="Additional charge rates" dataDxfId="15"/>
    <tableColumn id="2" xr3:uid="{F3375E66-C7EF-456D-850B-BBC0BDA1BD07}" name="Column1" dataDxfId="1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83992A"/>
      </a:accent1>
      <a:accent2>
        <a:srgbClr val="3C9770"/>
      </a:accent2>
      <a:accent3>
        <a:srgbClr val="44709D"/>
      </a:accent3>
      <a:accent4>
        <a:srgbClr val="A23C33"/>
      </a:accent4>
      <a:accent5>
        <a:srgbClr val="D97828"/>
      </a:accent5>
      <a:accent6>
        <a:srgbClr val="DEB340"/>
      </a:accent6>
      <a:hlink>
        <a:srgbClr val="A8BF4D"/>
      </a:hlink>
      <a:folHlink>
        <a:srgbClr val="A8BF4D"/>
      </a:folHlink>
    </a:clrScheme>
    <a:fontScheme name="Sheets">
      <a:majorFont>
        <a:latin typeface="Garamond"/>
        <a:ea typeface="Garamond"/>
        <a:cs typeface="Garamond"/>
      </a:majorFont>
      <a:minorFont>
        <a:latin typeface="Garamond"/>
        <a:ea typeface="Garamond"/>
        <a:cs typeface="Garamond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5.xml"/><Relationship Id="rId3" Type="http://schemas.openxmlformats.org/officeDocument/2006/relationships/table" Target="../tables/table10.xml"/><Relationship Id="rId7" Type="http://schemas.openxmlformats.org/officeDocument/2006/relationships/table" Target="../tables/table1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13.xml"/><Relationship Id="rId5" Type="http://schemas.openxmlformats.org/officeDocument/2006/relationships/table" Target="../tables/table12.xml"/><Relationship Id="rId4" Type="http://schemas.openxmlformats.org/officeDocument/2006/relationships/table" Target="../tables/table1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9.xml"/><Relationship Id="rId1" Type="http://schemas.openxmlformats.org/officeDocument/2006/relationships/table" Target="../tables/table18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1.xml"/><Relationship Id="rId1" Type="http://schemas.openxmlformats.org/officeDocument/2006/relationships/table" Target="../tables/table20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5.xml"/><Relationship Id="rId2" Type="http://schemas.openxmlformats.org/officeDocument/2006/relationships/table" Target="../tables/table24.xml"/><Relationship Id="rId1" Type="http://schemas.openxmlformats.org/officeDocument/2006/relationships/table" Target="../tables/table2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H1000"/>
  <sheetViews>
    <sheetView zoomScale="66" workbookViewId="0"/>
  </sheetViews>
  <sheetFormatPr defaultColWidth="12.88671875" defaultRowHeight="15" customHeight="1" x14ac:dyDescent="0.3"/>
  <cols>
    <col min="1" max="1" width="11.88671875" style="11" customWidth="1"/>
    <col min="2" max="4" width="9.109375" style="11" customWidth="1"/>
    <col min="5" max="5" width="13.21875" style="11" customWidth="1"/>
    <col min="6" max="7" width="11.33203125" style="11" customWidth="1"/>
    <col min="8" max="8" width="10.33203125" style="11" customWidth="1"/>
    <col min="9" max="9" width="12.77734375" style="11" customWidth="1"/>
    <col min="10" max="10" width="14.109375" style="11" customWidth="1"/>
    <col min="11" max="11" width="10.88671875" style="11" customWidth="1"/>
    <col min="12" max="12" width="12.109375" style="11" customWidth="1"/>
    <col min="13" max="13" width="10.88671875" style="11" customWidth="1"/>
    <col min="14" max="14" width="10.33203125" style="11" customWidth="1"/>
    <col min="15" max="15" width="13.109375" style="11" customWidth="1"/>
    <col min="16" max="17" width="10.88671875" style="11" customWidth="1"/>
    <col min="18" max="18" width="11.33203125" style="11" customWidth="1"/>
    <col min="19" max="19" width="10.33203125" style="11" customWidth="1"/>
    <col min="20" max="20" width="11.33203125" style="11" customWidth="1"/>
    <col min="21" max="21" width="11.109375" style="11" customWidth="1"/>
    <col min="22" max="22" width="9.109375" style="11" customWidth="1"/>
    <col min="23" max="23" width="13.33203125" style="11" customWidth="1"/>
    <col min="24" max="24" width="9.109375" style="11" customWidth="1"/>
    <col min="25" max="25" width="14" style="11" customWidth="1"/>
    <col min="26" max="26" width="9.109375" style="11" customWidth="1"/>
    <col min="27" max="27" width="14.44140625" style="11" customWidth="1"/>
    <col min="28" max="28" width="9.109375" style="11" customWidth="1"/>
    <col min="29" max="29" width="18.88671875" style="11" customWidth="1"/>
    <col min="30" max="30" width="9.109375" style="11" customWidth="1"/>
    <col min="31" max="31" width="65.109375" style="11" bestFit="1" customWidth="1"/>
    <col min="32" max="32" width="9.88671875" style="11" customWidth="1"/>
    <col min="33" max="33" width="15.88671875" style="11" customWidth="1"/>
    <col min="34" max="34" width="15.109375" style="11" customWidth="1"/>
    <col min="35" max="16384" width="12.88671875" style="11"/>
  </cols>
  <sheetData>
    <row r="1" spans="1:34" ht="14.4" x14ac:dyDescent="0.3">
      <c r="A1" s="11" t="s">
        <v>22</v>
      </c>
      <c r="C1" s="105"/>
      <c r="E1" s="11" t="s">
        <v>25</v>
      </c>
      <c r="F1" s="11" t="s">
        <v>43</v>
      </c>
      <c r="G1" s="11" t="s">
        <v>44</v>
      </c>
      <c r="H1" s="11" t="s">
        <v>45</v>
      </c>
      <c r="I1" s="11" t="s">
        <v>46</v>
      </c>
      <c r="J1" s="11" t="s">
        <v>47</v>
      </c>
      <c r="K1" s="11" t="s">
        <v>48</v>
      </c>
      <c r="L1" s="11" t="s">
        <v>49</v>
      </c>
      <c r="M1" s="11" t="s">
        <v>50</v>
      </c>
      <c r="N1" s="11" t="s">
        <v>51</v>
      </c>
      <c r="O1" s="11" t="s">
        <v>52</v>
      </c>
      <c r="P1" s="11" t="s">
        <v>53</v>
      </c>
      <c r="Q1" s="11" t="s">
        <v>54</v>
      </c>
      <c r="R1" s="11" t="s">
        <v>55</v>
      </c>
      <c r="S1" s="11" t="s">
        <v>56</v>
      </c>
      <c r="T1" s="11" t="s">
        <v>57</v>
      </c>
      <c r="U1" s="11" t="s">
        <v>58</v>
      </c>
      <c r="W1" s="11" t="s">
        <v>40</v>
      </c>
      <c r="Y1" s="11" t="s">
        <v>41</v>
      </c>
      <c r="AA1" s="11" t="s">
        <v>59</v>
      </c>
      <c r="AC1" s="11" t="s">
        <v>21</v>
      </c>
      <c r="AE1" s="11" t="s">
        <v>60</v>
      </c>
      <c r="AH1" s="11" t="s">
        <v>411</v>
      </c>
    </row>
    <row r="2" spans="1:34" ht="14.4" x14ac:dyDescent="0.3">
      <c r="A2" s="11" t="s">
        <v>25</v>
      </c>
      <c r="C2" s="106"/>
      <c r="E2" s="12" t="s">
        <v>26</v>
      </c>
      <c r="F2" s="12" t="s">
        <v>61</v>
      </c>
      <c r="G2" s="12" t="s">
        <v>62</v>
      </c>
      <c r="H2" s="12" t="s">
        <v>63</v>
      </c>
      <c r="I2" s="12" t="s">
        <v>64</v>
      </c>
      <c r="J2" s="12" t="s">
        <v>65</v>
      </c>
      <c r="K2" s="12" t="s">
        <v>66</v>
      </c>
      <c r="L2" s="12" t="s">
        <v>67</v>
      </c>
      <c r="M2" s="12" t="s">
        <v>68</v>
      </c>
      <c r="N2" s="12" t="s">
        <v>69</v>
      </c>
      <c r="O2" s="12" t="s">
        <v>70</v>
      </c>
      <c r="P2" s="12" t="s">
        <v>71</v>
      </c>
      <c r="Q2" s="12" t="s">
        <v>72</v>
      </c>
      <c r="R2" s="12" t="s">
        <v>73</v>
      </c>
      <c r="S2" s="12" t="s">
        <v>74</v>
      </c>
      <c r="T2" s="12" t="s">
        <v>75</v>
      </c>
      <c r="U2" s="12" t="s">
        <v>76</v>
      </c>
      <c r="W2" s="11" t="s">
        <v>184</v>
      </c>
      <c r="Y2" s="11">
        <v>2005</v>
      </c>
      <c r="AA2" s="11" t="s">
        <v>77</v>
      </c>
      <c r="AC2" s="11" t="s">
        <v>416</v>
      </c>
      <c r="AE2" s="11" t="s">
        <v>424</v>
      </c>
      <c r="AH2" s="13">
        <v>0.05</v>
      </c>
    </row>
    <row r="3" spans="1:34" ht="14.4" x14ac:dyDescent="0.3">
      <c r="A3" s="11" t="s">
        <v>43</v>
      </c>
      <c r="C3" s="107"/>
      <c r="E3" s="12" t="s">
        <v>78</v>
      </c>
      <c r="F3" s="12" t="s">
        <v>79</v>
      </c>
      <c r="G3" s="12" t="s">
        <v>80</v>
      </c>
      <c r="H3" s="12" t="s">
        <v>81</v>
      </c>
      <c r="I3" s="12" t="s">
        <v>82</v>
      </c>
      <c r="J3" s="12" t="s">
        <v>83</v>
      </c>
      <c r="K3" s="12" t="s">
        <v>84</v>
      </c>
      <c r="L3" s="12" t="s">
        <v>85</v>
      </c>
      <c r="M3" s="12" t="s">
        <v>86</v>
      </c>
      <c r="N3" s="12" t="s">
        <v>87</v>
      </c>
      <c r="O3" s="12" t="s">
        <v>88</v>
      </c>
      <c r="P3" s="12" t="s">
        <v>89</v>
      </c>
      <c r="Q3" s="12" t="s">
        <v>90</v>
      </c>
      <c r="R3" s="12" t="s">
        <v>91</v>
      </c>
      <c r="S3" s="12" t="s">
        <v>92</v>
      </c>
      <c r="T3" s="12" t="s">
        <v>93</v>
      </c>
      <c r="U3" s="12" t="s">
        <v>94</v>
      </c>
      <c r="W3" s="11" t="s">
        <v>292</v>
      </c>
      <c r="Y3" s="11">
        <v>2006</v>
      </c>
      <c r="AA3" s="11" t="s">
        <v>152</v>
      </c>
      <c r="AC3" s="11" t="s">
        <v>415</v>
      </c>
      <c r="AE3" s="11" t="s">
        <v>425</v>
      </c>
      <c r="AH3" s="13">
        <v>0.1</v>
      </c>
    </row>
    <row r="4" spans="1:34" ht="14.4" x14ac:dyDescent="0.3">
      <c r="A4" s="11" t="s">
        <v>44</v>
      </c>
      <c r="C4" s="106"/>
      <c r="E4" s="12" t="s">
        <v>96</v>
      </c>
      <c r="F4" s="12" t="s">
        <v>97</v>
      </c>
      <c r="G4" s="12" t="s">
        <v>98</v>
      </c>
      <c r="H4" s="12" t="s">
        <v>99</v>
      </c>
      <c r="I4" s="12" t="s">
        <v>100</v>
      </c>
      <c r="J4" s="12" t="s">
        <v>101</v>
      </c>
      <c r="K4" s="12" t="s">
        <v>102</v>
      </c>
      <c r="L4" s="12" t="s">
        <v>103</v>
      </c>
      <c r="M4" s="12" t="s">
        <v>104</v>
      </c>
      <c r="N4" s="12" t="s">
        <v>105</v>
      </c>
      <c r="O4" s="12" t="s">
        <v>106</v>
      </c>
      <c r="P4" s="12" t="s">
        <v>107</v>
      </c>
      <c r="Q4" s="12" t="s">
        <v>108</v>
      </c>
      <c r="R4" s="12" t="s">
        <v>109</v>
      </c>
      <c r="S4" s="12" t="s">
        <v>110</v>
      </c>
      <c r="T4" s="12" t="s">
        <v>111</v>
      </c>
      <c r="U4" s="12" t="s">
        <v>112</v>
      </c>
      <c r="W4" s="11" t="s">
        <v>227</v>
      </c>
      <c r="Y4" s="11">
        <v>2007</v>
      </c>
      <c r="AA4" s="11" t="s">
        <v>133</v>
      </c>
      <c r="AH4" s="13">
        <v>0.15</v>
      </c>
    </row>
    <row r="5" spans="1:34" ht="14.4" x14ac:dyDescent="0.3">
      <c r="A5" s="11" t="s">
        <v>45</v>
      </c>
      <c r="C5" s="107"/>
      <c r="E5" s="12" t="s">
        <v>115</v>
      </c>
      <c r="F5" s="12" t="s">
        <v>116</v>
      </c>
      <c r="G5" s="12" t="s">
        <v>117</v>
      </c>
      <c r="H5" s="12" t="s">
        <v>118</v>
      </c>
      <c r="I5" s="12" t="s">
        <v>119</v>
      </c>
      <c r="J5" s="12" t="s">
        <v>120</v>
      </c>
      <c r="K5" s="12" t="s">
        <v>121</v>
      </c>
      <c r="L5" s="12" t="s">
        <v>122</v>
      </c>
      <c r="M5" s="12" t="s">
        <v>123</v>
      </c>
      <c r="N5" s="12" t="s">
        <v>124</v>
      </c>
      <c r="O5" s="12" t="s">
        <v>125</v>
      </c>
      <c r="P5" s="12" t="s">
        <v>126</v>
      </c>
      <c r="Q5" s="12" t="s">
        <v>127</v>
      </c>
      <c r="R5" s="12" t="s">
        <v>128</v>
      </c>
      <c r="S5" s="12" t="s">
        <v>129</v>
      </c>
      <c r="T5" s="12" t="s">
        <v>130</v>
      </c>
      <c r="U5" s="12" t="s">
        <v>131</v>
      </c>
      <c r="W5" s="11" t="s">
        <v>295</v>
      </c>
      <c r="Y5" s="11">
        <v>2008</v>
      </c>
      <c r="AA5" s="11" t="s">
        <v>17</v>
      </c>
      <c r="AH5" s="13">
        <v>0.2</v>
      </c>
    </row>
    <row r="6" spans="1:34" ht="14.4" x14ac:dyDescent="0.3">
      <c r="A6" s="11" t="s">
        <v>46</v>
      </c>
      <c r="C6" s="106"/>
      <c r="E6" s="12" t="s">
        <v>134</v>
      </c>
      <c r="F6" s="12" t="s">
        <v>135</v>
      </c>
      <c r="G6" s="12" t="s">
        <v>136</v>
      </c>
      <c r="H6" s="12" t="s">
        <v>137</v>
      </c>
      <c r="I6" s="12" t="s">
        <v>138</v>
      </c>
      <c r="J6" s="12" t="s">
        <v>139</v>
      </c>
      <c r="K6" s="12" t="s">
        <v>140</v>
      </c>
      <c r="L6" s="12" t="s">
        <v>141</v>
      </c>
      <c r="M6" s="12" t="s">
        <v>142</v>
      </c>
      <c r="N6" s="12" t="s">
        <v>143</v>
      </c>
      <c r="O6" s="12" t="s">
        <v>144</v>
      </c>
      <c r="P6" s="12" t="s">
        <v>145</v>
      </c>
      <c r="Q6" s="12" t="s">
        <v>146</v>
      </c>
      <c r="R6" s="12" t="s">
        <v>147</v>
      </c>
      <c r="S6" s="12" t="s">
        <v>148</v>
      </c>
      <c r="T6" s="12" t="s">
        <v>149</v>
      </c>
      <c r="U6" s="12" t="s">
        <v>150</v>
      </c>
      <c r="W6" s="11" t="s">
        <v>15</v>
      </c>
      <c r="Y6" s="11">
        <v>2009</v>
      </c>
      <c r="AA6" s="11" t="s">
        <v>168</v>
      </c>
      <c r="AE6" s="14" t="s">
        <v>434</v>
      </c>
      <c r="AF6" s="11" t="s">
        <v>450</v>
      </c>
      <c r="AH6" s="13">
        <v>0.25</v>
      </c>
    </row>
    <row r="7" spans="1:34" ht="14.4" x14ac:dyDescent="0.3">
      <c r="A7" s="11" t="s">
        <v>47</v>
      </c>
      <c r="C7" s="107"/>
      <c r="E7" s="12" t="s">
        <v>42</v>
      </c>
      <c r="F7" s="12" t="s">
        <v>153</v>
      </c>
      <c r="G7" s="12" t="s">
        <v>154</v>
      </c>
      <c r="H7" s="12" t="s">
        <v>155</v>
      </c>
      <c r="I7" s="12" t="s">
        <v>156</v>
      </c>
      <c r="J7" s="12" t="s">
        <v>157</v>
      </c>
      <c r="L7" s="12" t="s">
        <v>158</v>
      </c>
      <c r="M7" s="12" t="s">
        <v>159</v>
      </c>
      <c r="N7" s="12" t="s">
        <v>160</v>
      </c>
      <c r="O7" s="12" t="s">
        <v>161</v>
      </c>
      <c r="P7" s="12" t="s">
        <v>162</v>
      </c>
      <c r="Q7" s="12" t="s">
        <v>163</v>
      </c>
      <c r="R7" s="12" t="s">
        <v>164</v>
      </c>
      <c r="T7" s="12" t="s">
        <v>165</v>
      </c>
      <c r="U7" s="12" t="s">
        <v>166</v>
      </c>
      <c r="W7" s="11" t="s">
        <v>269</v>
      </c>
      <c r="Y7" s="11">
        <v>2010</v>
      </c>
      <c r="AA7" s="11" t="s">
        <v>19</v>
      </c>
      <c r="AE7" s="11" t="s">
        <v>445</v>
      </c>
      <c r="AF7" s="13">
        <v>0.2</v>
      </c>
      <c r="AH7" s="13">
        <v>0.3</v>
      </c>
    </row>
    <row r="8" spans="1:34" ht="14.4" x14ac:dyDescent="0.3">
      <c r="A8" s="11" t="s">
        <v>48</v>
      </c>
      <c r="C8" s="106"/>
      <c r="E8" s="12" t="s">
        <v>169</v>
      </c>
      <c r="F8" s="12" t="s">
        <v>170</v>
      </c>
      <c r="G8" s="12" t="s">
        <v>171</v>
      </c>
      <c r="H8" s="12" t="s">
        <v>172</v>
      </c>
      <c r="I8" s="12" t="s">
        <v>173</v>
      </c>
      <c r="J8" s="12" t="s">
        <v>174</v>
      </c>
      <c r="L8" s="12" t="s">
        <v>175</v>
      </c>
      <c r="M8" s="12" t="s">
        <v>176</v>
      </c>
      <c r="N8" s="12" t="s">
        <v>177</v>
      </c>
      <c r="O8" s="12" t="s">
        <v>178</v>
      </c>
      <c r="P8" s="12" t="s">
        <v>179</v>
      </c>
      <c r="Q8" s="12" t="s">
        <v>180</v>
      </c>
      <c r="R8" s="12" t="s">
        <v>181</v>
      </c>
      <c r="T8" s="12" t="s">
        <v>182</v>
      </c>
      <c r="U8" s="12" t="s">
        <v>183</v>
      </c>
      <c r="W8" s="11" t="s">
        <v>132</v>
      </c>
      <c r="Y8" s="11">
        <v>2011</v>
      </c>
      <c r="AA8" s="11" t="s">
        <v>18</v>
      </c>
      <c r="AE8" s="11" t="s">
        <v>446</v>
      </c>
      <c r="AF8" s="13">
        <v>0.15</v>
      </c>
      <c r="AH8" s="13">
        <v>0.35</v>
      </c>
    </row>
    <row r="9" spans="1:34" ht="14.4" x14ac:dyDescent="0.3">
      <c r="A9" s="11" t="s">
        <v>49</v>
      </c>
      <c r="C9" s="107"/>
      <c r="E9" s="12" t="s">
        <v>185</v>
      </c>
      <c r="F9" s="12" t="s">
        <v>186</v>
      </c>
      <c r="G9" s="12" t="s">
        <v>187</v>
      </c>
      <c r="H9" s="12" t="s">
        <v>188</v>
      </c>
      <c r="I9" s="12" t="s">
        <v>189</v>
      </c>
      <c r="J9" s="12" t="s">
        <v>190</v>
      </c>
      <c r="L9" s="12" t="s">
        <v>191</v>
      </c>
      <c r="M9" s="12" t="s">
        <v>192</v>
      </c>
      <c r="O9" s="12" t="s">
        <v>193</v>
      </c>
      <c r="P9" s="12" t="s">
        <v>194</v>
      </c>
      <c r="Q9" s="12" t="s">
        <v>195</v>
      </c>
      <c r="R9" s="12" t="s">
        <v>196</v>
      </c>
      <c r="T9" s="12" t="s">
        <v>197</v>
      </c>
      <c r="U9" s="12" t="s">
        <v>198</v>
      </c>
      <c r="W9" s="11" t="s">
        <v>151</v>
      </c>
      <c r="Y9" s="11">
        <v>2012</v>
      </c>
      <c r="AA9" s="11" t="s">
        <v>213</v>
      </c>
      <c r="AE9" s="11" t="s">
        <v>448</v>
      </c>
      <c r="AF9" s="13">
        <v>0.15</v>
      </c>
      <c r="AH9" s="13">
        <v>0.4</v>
      </c>
    </row>
    <row r="10" spans="1:34" ht="14.4" x14ac:dyDescent="0.3">
      <c r="A10" s="11" t="s">
        <v>50</v>
      </c>
      <c r="C10" s="106"/>
      <c r="E10" s="12" t="s">
        <v>200</v>
      </c>
      <c r="F10" s="12" t="s">
        <v>201</v>
      </c>
      <c r="G10" s="12" t="s">
        <v>202</v>
      </c>
      <c r="I10" s="12" t="s">
        <v>203</v>
      </c>
      <c r="J10" s="12" t="s">
        <v>204</v>
      </c>
      <c r="L10" s="12" t="s">
        <v>205</v>
      </c>
      <c r="M10" s="12" t="s">
        <v>206</v>
      </c>
      <c r="O10" s="12" t="s">
        <v>207</v>
      </c>
      <c r="P10" s="12" t="s">
        <v>208</v>
      </c>
      <c r="Q10" s="12" t="s">
        <v>209</v>
      </c>
      <c r="R10" s="12" t="s">
        <v>210</v>
      </c>
      <c r="T10" s="12" t="s">
        <v>211</v>
      </c>
      <c r="U10" s="12" t="s">
        <v>212</v>
      </c>
      <c r="W10" s="11" t="s">
        <v>167</v>
      </c>
      <c r="Y10" s="11">
        <v>2013</v>
      </c>
      <c r="AA10" s="11" t="s">
        <v>228</v>
      </c>
      <c r="AE10" s="11" t="s">
        <v>449</v>
      </c>
      <c r="AF10" s="13">
        <v>0.3</v>
      </c>
      <c r="AH10" s="13">
        <v>0.45</v>
      </c>
    </row>
    <row r="11" spans="1:34" ht="14.4" x14ac:dyDescent="0.3">
      <c r="A11" s="11" t="s">
        <v>51</v>
      </c>
      <c r="C11" s="107"/>
      <c r="E11" s="12" t="s">
        <v>214</v>
      </c>
      <c r="F11" s="12" t="s">
        <v>215</v>
      </c>
      <c r="G11" s="12" t="s">
        <v>216</v>
      </c>
      <c r="I11" s="12" t="s">
        <v>217</v>
      </c>
      <c r="J11" s="12" t="s">
        <v>218</v>
      </c>
      <c r="L11" s="12" t="s">
        <v>219</v>
      </c>
      <c r="M11" s="12" t="s">
        <v>220</v>
      </c>
      <c r="O11" s="12" t="s">
        <v>221</v>
      </c>
      <c r="P11" s="12" t="s">
        <v>222</v>
      </c>
      <c r="Q11" s="12" t="s">
        <v>223</v>
      </c>
      <c r="R11" s="12" t="s">
        <v>224</v>
      </c>
      <c r="T11" s="12" t="s">
        <v>225</v>
      </c>
      <c r="U11" s="12" t="s">
        <v>226</v>
      </c>
      <c r="W11" s="11" t="s">
        <v>199</v>
      </c>
      <c r="Y11" s="11">
        <v>2014</v>
      </c>
      <c r="AA11" s="11" t="s">
        <v>240</v>
      </c>
      <c r="AH11" s="13">
        <v>0.5</v>
      </c>
    </row>
    <row r="12" spans="1:34" ht="14.4" x14ac:dyDescent="0.3">
      <c r="A12" s="11" t="s">
        <v>52</v>
      </c>
      <c r="C12" s="106"/>
      <c r="E12" s="12" t="s">
        <v>229</v>
      </c>
      <c r="F12" s="12" t="s">
        <v>230</v>
      </c>
      <c r="G12" s="12" t="s">
        <v>231</v>
      </c>
      <c r="I12" s="12" t="s">
        <v>232</v>
      </c>
      <c r="J12" s="12" t="s">
        <v>233</v>
      </c>
      <c r="L12" s="12" t="s">
        <v>234</v>
      </c>
      <c r="P12" s="12" t="s">
        <v>235</v>
      </c>
      <c r="Q12" s="12" t="s">
        <v>236</v>
      </c>
      <c r="T12" s="12" t="s">
        <v>237</v>
      </c>
      <c r="U12" s="12" t="s">
        <v>238</v>
      </c>
      <c r="W12" s="11" t="s">
        <v>13</v>
      </c>
      <c r="Y12" s="11">
        <v>2015</v>
      </c>
      <c r="AA12" s="11" t="s">
        <v>251</v>
      </c>
    </row>
    <row r="13" spans="1:34" ht="14.4" x14ac:dyDescent="0.3">
      <c r="A13" s="11" t="s">
        <v>53</v>
      </c>
      <c r="C13" s="107"/>
      <c r="E13" s="12" t="s">
        <v>241</v>
      </c>
      <c r="F13" s="12" t="s">
        <v>242</v>
      </c>
      <c r="G13" s="12" t="s">
        <v>243</v>
      </c>
      <c r="I13" s="12" t="s">
        <v>244</v>
      </c>
      <c r="J13" s="12" t="s">
        <v>245</v>
      </c>
      <c r="L13" s="12" t="s">
        <v>246</v>
      </c>
      <c r="P13" s="12" t="s">
        <v>247</v>
      </c>
      <c r="T13" s="12" t="s">
        <v>248</v>
      </c>
      <c r="U13" s="12" t="s">
        <v>249</v>
      </c>
      <c r="W13" s="11" t="s">
        <v>260</v>
      </c>
      <c r="Y13" s="11">
        <v>2016</v>
      </c>
      <c r="AA13" s="11" t="s">
        <v>261</v>
      </c>
    </row>
    <row r="14" spans="1:34" ht="14.4" x14ac:dyDescent="0.3">
      <c r="A14" s="11" t="s">
        <v>54</v>
      </c>
      <c r="C14" s="106"/>
      <c r="E14" s="12" t="s">
        <v>252</v>
      </c>
      <c r="F14" s="12" t="s">
        <v>253</v>
      </c>
      <c r="G14" s="12" t="s">
        <v>254</v>
      </c>
      <c r="I14" s="12" t="s">
        <v>255</v>
      </c>
      <c r="J14" s="12" t="s">
        <v>256</v>
      </c>
      <c r="L14" s="12" t="s">
        <v>257</v>
      </c>
      <c r="P14" s="12" t="s">
        <v>258</v>
      </c>
      <c r="U14" s="12" t="s">
        <v>259</v>
      </c>
      <c r="W14" s="11" t="s">
        <v>14</v>
      </c>
      <c r="Y14" s="11">
        <v>2017</v>
      </c>
    </row>
    <row r="15" spans="1:34" ht="14.4" x14ac:dyDescent="0.3">
      <c r="A15" s="11" t="s">
        <v>55</v>
      </c>
      <c r="C15" s="107"/>
      <c r="E15" s="12" t="s">
        <v>262</v>
      </c>
      <c r="F15" s="12" t="s">
        <v>263</v>
      </c>
      <c r="G15" s="12" t="s">
        <v>264</v>
      </c>
      <c r="I15" s="12" t="s">
        <v>265</v>
      </c>
      <c r="J15" s="12" t="s">
        <v>266</v>
      </c>
      <c r="L15" s="12" t="s">
        <v>267</v>
      </c>
      <c r="U15" s="12" t="s">
        <v>268</v>
      </c>
      <c r="W15" s="11" t="s">
        <v>284</v>
      </c>
      <c r="Y15" s="11">
        <v>2018</v>
      </c>
    </row>
    <row r="16" spans="1:34" ht="14.4" x14ac:dyDescent="0.3">
      <c r="A16" s="11" t="s">
        <v>56</v>
      </c>
      <c r="C16" s="106"/>
      <c r="E16" s="12" t="s">
        <v>270</v>
      </c>
      <c r="F16" s="12" t="s">
        <v>271</v>
      </c>
      <c r="G16" s="12" t="s">
        <v>272</v>
      </c>
      <c r="I16" s="12" t="s">
        <v>273</v>
      </c>
      <c r="J16" s="12" t="s">
        <v>274</v>
      </c>
      <c r="L16" s="12" t="s">
        <v>275</v>
      </c>
      <c r="U16" s="12" t="s">
        <v>276</v>
      </c>
      <c r="W16" s="11" t="s">
        <v>250</v>
      </c>
    </row>
    <row r="17" spans="1:23" ht="14.4" x14ac:dyDescent="0.3">
      <c r="A17" s="11" t="s">
        <v>57</v>
      </c>
      <c r="C17" s="107"/>
      <c r="E17" s="12" t="s">
        <v>278</v>
      </c>
      <c r="F17" s="12" t="s">
        <v>279</v>
      </c>
      <c r="G17" s="12" t="s">
        <v>280</v>
      </c>
      <c r="J17" s="12" t="s">
        <v>281</v>
      </c>
      <c r="L17" s="12" t="s">
        <v>282</v>
      </c>
      <c r="U17" s="12" t="s">
        <v>283</v>
      </c>
      <c r="W17" s="11" t="s">
        <v>113</v>
      </c>
    </row>
    <row r="18" spans="1:23" ht="14.4" x14ac:dyDescent="0.3">
      <c r="A18" s="11" t="s">
        <v>58</v>
      </c>
      <c r="C18" s="106"/>
      <c r="F18" s="12" t="s">
        <v>285</v>
      </c>
      <c r="G18" s="12" t="s">
        <v>286</v>
      </c>
      <c r="J18" s="12" t="s">
        <v>287</v>
      </c>
      <c r="L18" s="12" t="s">
        <v>288</v>
      </c>
      <c r="U18" s="12" t="s">
        <v>289</v>
      </c>
      <c r="W18" s="11" t="s">
        <v>239</v>
      </c>
    </row>
    <row r="19" spans="1:23" ht="14.4" x14ac:dyDescent="0.3">
      <c r="C19" s="107"/>
      <c r="J19" s="12" t="s">
        <v>290</v>
      </c>
      <c r="U19" s="12" t="s">
        <v>291</v>
      </c>
      <c r="W19" s="11" t="s">
        <v>12</v>
      </c>
    </row>
    <row r="20" spans="1:23" ht="14.4" x14ac:dyDescent="0.3">
      <c r="J20" s="12" t="s">
        <v>293</v>
      </c>
      <c r="U20" s="12" t="s">
        <v>294</v>
      </c>
      <c r="W20" s="11" t="s">
        <v>298</v>
      </c>
    </row>
    <row r="21" spans="1:23" ht="15.75" customHeight="1" x14ac:dyDescent="0.3">
      <c r="J21" s="12" t="s">
        <v>296</v>
      </c>
      <c r="U21" s="12" t="s">
        <v>297</v>
      </c>
      <c r="W21" s="11" t="s">
        <v>277</v>
      </c>
    </row>
    <row r="22" spans="1:23" ht="15.75" customHeight="1" x14ac:dyDescent="0.3">
      <c r="J22" s="12" t="s">
        <v>299</v>
      </c>
    </row>
    <row r="23" spans="1:23" ht="15.75" customHeight="1" x14ac:dyDescent="0.3"/>
    <row r="24" spans="1:23" ht="15.75" customHeight="1" x14ac:dyDescent="0.3"/>
    <row r="25" spans="1:23" ht="15.75" customHeight="1" x14ac:dyDescent="0.3"/>
    <row r="26" spans="1:23" ht="15.75" customHeight="1" x14ac:dyDescent="0.3"/>
    <row r="27" spans="1:23" ht="15.75" customHeight="1" x14ac:dyDescent="0.3"/>
    <row r="28" spans="1:23" ht="15.75" customHeight="1" x14ac:dyDescent="0.3"/>
    <row r="29" spans="1:23" ht="15.75" customHeight="1" x14ac:dyDescent="0.3"/>
    <row r="30" spans="1:23" ht="15.75" customHeight="1" x14ac:dyDescent="0.3"/>
    <row r="31" spans="1:23" ht="15.75" customHeight="1" x14ac:dyDescent="0.3"/>
    <row r="32" spans="1:23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  <tableParts count="9">
    <tablePart r:id="rId1"/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32"/>
  <sheetViews>
    <sheetView showGridLines="0" tabSelected="1" zoomScale="79" zoomScaleNormal="79" workbookViewId="0">
      <selection activeCell="B3" sqref="B3:L4"/>
    </sheetView>
  </sheetViews>
  <sheetFormatPr defaultColWidth="12.88671875" defaultRowHeight="15" customHeight="1" x14ac:dyDescent="0.3"/>
  <cols>
    <col min="1" max="1" width="3.6640625" style="11" customWidth="1"/>
    <col min="2" max="2" width="16.33203125" style="11" customWidth="1"/>
    <col min="3" max="3" width="18.33203125" style="11" customWidth="1"/>
    <col min="4" max="4" width="21.109375" style="11" bestFit="1" customWidth="1"/>
    <col min="5" max="5" width="22.5546875" style="11" customWidth="1"/>
    <col min="6" max="8" width="19.33203125" style="11" customWidth="1"/>
    <col min="9" max="12" width="16.88671875" style="11" customWidth="1"/>
    <col min="13" max="13" width="20.109375" style="11" customWidth="1"/>
    <col min="14" max="14" width="16.6640625" style="11" customWidth="1"/>
    <col min="15" max="15" width="11.33203125" style="11" customWidth="1"/>
    <col min="16" max="16" width="3.5546875" style="11" customWidth="1"/>
    <col min="17" max="28" width="10.88671875" style="11" customWidth="1"/>
    <col min="29" max="16384" width="12.88671875" style="11"/>
  </cols>
  <sheetData>
    <row r="1" spans="1:16" ht="8.4" customHeight="1" thickBot="1" x14ac:dyDescent="0.35">
      <c r="O1" s="111"/>
    </row>
    <row r="2" spans="1:16" ht="15" customHeight="1" thickBot="1" x14ac:dyDescent="0.35">
      <c r="A2" s="136"/>
      <c r="B2" s="120"/>
      <c r="C2" s="120"/>
      <c r="D2" s="120"/>
      <c r="E2" s="120"/>
      <c r="F2" s="120"/>
      <c r="G2" s="120"/>
      <c r="H2" s="120"/>
      <c r="I2" s="120"/>
      <c r="J2" s="120"/>
      <c r="K2" s="120"/>
      <c r="L2" s="120"/>
      <c r="M2" s="120"/>
      <c r="N2" s="120"/>
      <c r="O2" s="120"/>
      <c r="P2" s="136"/>
    </row>
    <row r="3" spans="1:16" ht="28.2" customHeight="1" x14ac:dyDescent="0.3">
      <c r="A3" s="118"/>
      <c r="B3" s="137" t="s">
        <v>0</v>
      </c>
      <c r="C3" s="138"/>
      <c r="D3" s="138"/>
      <c r="E3" s="138"/>
      <c r="F3" s="138"/>
      <c r="G3" s="138"/>
      <c r="H3" s="138"/>
      <c r="I3" s="138"/>
      <c r="J3" s="138"/>
      <c r="K3" s="138"/>
      <c r="L3" s="138"/>
      <c r="M3" s="17"/>
      <c r="N3" s="139"/>
      <c r="O3" s="17"/>
      <c r="P3" s="118"/>
    </row>
    <row r="4" spans="1:16" ht="15" customHeight="1" thickBot="1" x14ac:dyDescent="0.35">
      <c r="A4" s="118"/>
      <c r="B4" s="121"/>
      <c r="C4" s="94"/>
      <c r="D4" s="94"/>
      <c r="E4" s="94"/>
      <c r="F4" s="94"/>
      <c r="G4" s="94"/>
      <c r="H4" s="94"/>
      <c r="I4" s="94"/>
      <c r="J4" s="94"/>
      <c r="K4" s="94"/>
      <c r="L4" s="94"/>
      <c r="N4" s="111"/>
      <c r="P4" s="118"/>
    </row>
    <row r="5" spans="1:16" ht="14.4" x14ac:dyDescent="0.3">
      <c r="A5" s="118"/>
      <c r="B5" s="122" t="s">
        <v>1</v>
      </c>
      <c r="C5" s="24" t="s">
        <v>2</v>
      </c>
      <c r="D5" s="21" t="s">
        <v>3</v>
      </c>
      <c r="E5" s="21" t="s">
        <v>4</v>
      </c>
      <c r="F5" s="21" t="s">
        <v>5</v>
      </c>
      <c r="G5" s="21" t="s">
        <v>6</v>
      </c>
      <c r="H5" s="21" t="s">
        <v>7</v>
      </c>
      <c r="I5" s="21" t="s">
        <v>8</v>
      </c>
      <c r="J5" s="21" t="s">
        <v>9</v>
      </c>
      <c r="K5" s="21" t="s">
        <v>10</v>
      </c>
      <c r="L5" s="22" t="s">
        <v>11</v>
      </c>
      <c r="N5" s="117"/>
      <c r="P5" s="118"/>
    </row>
    <row r="6" spans="1:16" ht="14.4" x14ac:dyDescent="0.3">
      <c r="A6" s="118"/>
      <c r="B6" s="123"/>
      <c r="C6" s="25" t="s">
        <v>113</v>
      </c>
      <c r="D6" s="20" t="s">
        <v>184</v>
      </c>
      <c r="E6" s="20"/>
      <c r="F6" s="20"/>
      <c r="G6" s="20"/>
      <c r="H6" s="20"/>
      <c r="I6" s="20" t="s">
        <v>239</v>
      </c>
      <c r="J6" s="20"/>
      <c r="K6" s="20"/>
      <c r="L6" s="23"/>
      <c r="N6" s="111"/>
      <c r="P6" s="118"/>
    </row>
    <row r="7" spans="1:16" ht="14.4" x14ac:dyDescent="0.3">
      <c r="A7" s="118"/>
      <c r="B7" s="124" t="s">
        <v>432</v>
      </c>
      <c r="C7" s="26" t="s">
        <v>432</v>
      </c>
      <c r="D7" s="27" t="s">
        <v>432</v>
      </c>
      <c r="E7" s="27" t="s">
        <v>432</v>
      </c>
      <c r="F7" s="27" t="s">
        <v>432</v>
      </c>
      <c r="G7" s="27" t="s">
        <v>432</v>
      </c>
      <c r="H7" s="27" t="s">
        <v>432</v>
      </c>
      <c r="I7" s="27" t="s">
        <v>432</v>
      </c>
      <c r="J7" s="27" t="s">
        <v>432</v>
      </c>
      <c r="K7" s="27" t="s">
        <v>432</v>
      </c>
      <c r="L7" s="28" t="s">
        <v>432</v>
      </c>
      <c r="N7" s="117"/>
      <c r="P7" s="118"/>
    </row>
    <row r="8" spans="1:16" ht="14.4" x14ac:dyDescent="0.3">
      <c r="A8" s="118"/>
      <c r="B8" s="123"/>
      <c r="C8" s="29"/>
      <c r="D8" s="30"/>
      <c r="E8" s="30"/>
      <c r="F8" s="30"/>
      <c r="G8" s="30"/>
      <c r="H8" s="30"/>
      <c r="I8" s="30"/>
      <c r="J8" s="30"/>
      <c r="K8" s="30"/>
      <c r="L8" s="31"/>
      <c r="N8" s="111"/>
      <c r="P8" s="118"/>
    </row>
    <row r="9" spans="1:16" ht="14.4" x14ac:dyDescent="0.3">
      <c r="A9" s="118"/>
      <c r="B9" s="125" t="s">
        <v>16</v>
      </c>
      <c r="C9" s="32" t="s">
        <v>413</v>
      </c>
      <c r="D9" s="33" t="s">
        <v>413</v>
      </c>
      <c r="E9" s="33" t="s">
        <v>413</v>
      </c>
      <c r="F9" s="33" t="s">
        <v>413</v>
      </c>
      <c r="G9" s="33" t="s">
        <v>413</v>
      </c>
      <c r="H9" s="33" t="s">
        <v>413</v>
      </c>
      <c r="I9" s="33" t="s">
        <v>413</v>
      </c>
      <c r="J9" s="33" t="s">
        <v>413</v>
      </c>
      <c r="K9" s="33" t="s">
        <v>413</v>
      </c>
      <c r="L9" s="34" t="s">
        <v>413</v>
      </c>
      <c r="N9" s="117"/>
      <c r="P9" s="118"/>
    </row>
    <row r="10" spans="1:16" thickBot="1" x14ac:dyDescent="0.35">
      <c r="A10" s="118"/>
      <c r="B10" s="126"/>
      <c r="C10" s="35" t="s">
        <v>17</v>
      </c>
      <c r="D10" s="36" t="s">
        <v>77</v>
      </c>
      <c r="E10" s="36"/>
      <c r="F10" s="36"/>
      <c r="G10" s="36"/>
      <c r="H10" s="36"/>
      <c r="I10" s="36" t="s">
        <v>213</v>
      </c>
      <c r="J10" s="36"/>
      <c r="K10" s="36"/>
      <c r="L10" s="37"/>
      <c r="P10" s="118"/>
    </row>
    <row r="11" spans="1:16" ht="14.4" x14ac:dyDescent="0.3">
      <c r="A11" s="118"/>
      <c r="B11" s="127" t="s">
        <v>20</v>
      </c>
      <c r="C11" s="38" t="s">
        <v>21</v>
      </c>
      <c r="D11" s="39" t="s">
        <v>22</v>
      </c>
      <c r="E11" s="39" t="s">
        <v>23</v>
      </c>
      <c r="F11" s="40" t="s">
        <v>417</v>
      </c>
      <c r="G11" s="17"/>
      <c r="H11" s="17"/>
      <c r="I11" s="17"/>
      <c r="J11" s="17"/>
      <c r="K11" s="17"/>
      <c r="L11" s="17"/>
      <c r="P11" s="118"/>
    </row>
    <row r="12" spans="1:16" thickBot="1" x14ac:dyDescent="0.35">
      <c r="A12" s="118"/>
      <c r="B12" s="128"/>
      <c r="C12" s="41" t="s">
        <v>415</v>
      </c>
      <c r="D12" s="42" t="s">
        <v>47</v>
      </c>
      <c r="E12" s="42" t="s">
        <v>281</v>
      </c>
      <c r="F12" s="43">
        <v>90</v>
      </c>
      <c r="P12" s="118"/>
    </row>
    <row r="13" spans="1:16" ht="23.25" customHeight="1" x14ac:dyDescent="0.3">
      <c r="A13" s="118"/>
      <c r="B13" s="129" t="s">
        <v>430</v>
      </c>
      <c r="C13" s="44" t="s">
        <v>114</v>
      </c>
      <c r="D13" s="44" t="s">
        <v>24</v>
      </c>
      <c r="E13" s="44" t="s">
        <v>95</v>
      </c>
      <c r="F13" s="40" t="s">
        <v>423</v>
      </c>
      <c r="P13" s="118"/>
    </row>
    <row r="14" spans="1:16" ht="23.25" customHeight="1" thickBot="1" x14ac:dyDescent="0.35">
      <c r="A14" s="118"/>
      <c r="B14" s="128"/>
      <c r="C14" s="45" t="s">
        <v>424</v>
      </c>
      <c r="D14" s="45" t="s">
        <v>424</v>
      </c>
      <c r="E14" s="45" t="s">
        <v>424</v>
      </c>
      <c r="F14" s="43" t="s">
        <v>424</v>
      </c>
      <c r="L14" s="15"/>
      <c r="P14" s="118"/>
    </row>
    <row r="15" spans="1:16" ht="14.4" x14ac:dyDescent="0.3">
      <c r="A15" s="118"/>
      <c r="B15" s="127" t="s">
        <v>429</v>
      </c>
      <c r="C15" s="44" t="s">
        <v>408</v>
      </c>
      <c r="D15" s="44" t="s">
        <v>427</v>
      </c>
      <c r="E15" s="40" t="s">
        <v>428</v>
      </c>
      <c r="F15" s="17"/>
      <c r="I15" s="15"/>
      <c r="J15" s="15"/>
      <c r="K15" s="15"/>
      <c r="L15" s="15"/>
      <c r="P15" s="118"/>
    </row>
    <row r="16" spans="1:16" thickBot="1" x14ac:dyDescent="0.35">
      <c r="A16" s="118"/>
      <c r="B16" s="128"/>
      <c r="C16" s="46">
        <v>0.15</v>
      </c>
      <c r="D16" s="46">
        <v>0.8</v>
      </c>
      <c r="E16" s="47">
        <v>25</v>
      </c>
      <c r="F16" s="17"/>
      <c r="I16" s="15"/>
      <c r="J16" s="15"/>
      <c r="K16" s="15"/>
      <c r="L16" s="15"/>
      <c r="P16" s="118"/>
    </row>
    <row r="17" spans="1:16" ht="14.4" x14ac:dyDescent="0.3">
      <c r="A17" s="118"/>
      <c r="F17" s="17"/>
      <c r="I17" s="15"/>
      <c r="J17" s="15"/>
      <c r="K17" s="15"/>
      <c r="L17" s="15"/>
      <c r="P17" s="118"/>
    </row>
    <row r="18" spans="1:16" ht="14.4" x14ac:dyDescent="0.3">
      <c r="A18" s="118"/>
      <c r="F18" s="17"/>
      <c r="I18" s="15"/>
      <c r="J18" s="15"/>
      <c r="K18" s="15"/>
      <c r="L18" s="15"/>
      <c r="P18" s="118"/>
    </row>
    <row r="19" spans="1:16" ht="14.4" x14ac:dyDescent="0.3">
      <c r="A19" s="118"/>
      <c r="B19" s="16"/>
      <c r="C19" s="15"/>
      <c r="D19" s="15"/>
      <c r="E19" s="15"/>
      <c r="F19" s="15"/>
      <c r="G19" s="15"/>
      <c r="H19" s="15"/>
      <c r="I19" s="15"/>
      <c r="J19" s="15"/>
      <c r="K19" s="15"/>
      <c r="L19" s="15"/>
      <c r="P19" s="118"/>
    </row>
    <row r="20" spans="1:16" ht="13.95" customHeight="1" x14ac:dyDescent="0.3">
      <c r="A20" s="118"/>
      <c r="B20" s="95" t="s">
        <v>27</v>
      </c>
      <c r="C20" s="95"/>
      <c r="D20" s="95"/>
      <c r="E20" s="95"/>
      <c r="F20" s="95"/>
      <c r="G20" s="95"/>
      <c r="H20" s="95"/>
      <c r="I20" s="95"/>
      <c r="J20" s="96"/>
      <c r="K20"/>
      <c r="L20"/>
      <c r="M20"/>
      <c r="N20"/>
      <c r="P20" s="118"/>
    </row>
    <row r="21" spans="1:16" ht="16.2" customHeight="1" thickBot="1" x14ac:dyDescent="0.35">
      <c r="A21" s="118"/>
      <c r="B21" s="97"/>
      <c r="C21" s="97"/>
      <c r="D21" s="97"/>
      <c r="E21" s="97"/>
      <c r="F21" s="97"/>
      <c r="G21" s="97"/>
      <c r="H21" s="97"/>
      <c r="I21" s="97"/>
      <c r="J21" s="98"/>
      <c r="K21"/>
      <c r="L21"/>
      <c r="M21"/>
      <c r="N21"/>
      <c r="P21" s="118"/>
    </row>
    <row r="22" spans="1:16" ht="14.4" x14ac:dyDescent="0.3">
      <c r="A22" s="118"/>
      <c r="B22" s="132" t="s">
        <v>28</v>
      </c>
      <c r="C22" s="112" t="s">
        <v>406</v>
      </c>
      <c r="D22" s="112" t="s">
        <v>407</v>
      </c>
      <c r="E22" s="112" t="s">
        <v>404</v>
      </c>
      <c r="F22" s="112" t="s">
        <v>426</v>
      </c>
      <c r="G22" s="112" t="s">
        <v>409</v>
      </c>
      <c r="H22" s="112" t="s">
        <v>405</v>
      </c>
      <c r="I22" s="112" t="s">
        <v>32</v>
      </c>
      <c r="J22" s="113" t="s">
        <v>33</v>
      </c>
      <c r="P22" s="118"/>
    </row>
    <row r="23" spans="1:16" thickBot="1" x14ac:dyDescent="0.35">
      <c r="A23" s="118"/>
      <c r="B23" s="133"/>
      <c r="C23" s="115">
        <f>SUM(C54:L54)</f>
        <v>75600</v>
      </c>
      <c r="D23" s="114">
        <f>SUM(Table16[Sum],$M$52*Maintenance_cap___per_km,$M$52*Tyre_cap___per_km)</f>
        <v>20020</v>
      </c>
      <c r="E23" s="115">
        <f>Table14[Sum]</f>
        <v>10317.072181496311</v>
      </c>
      <c r="F23" s="114">
        <f>Table1426[Sum]</f>
        <v>40000</v>
      </c>
      <c r="G23" s="114">
        <f>SUM(C23:F23)</f>
        <v>145937.0721814963</v>
      </c>
      <c r="H23" s="114">
        <f>SUM(INDEX(Salary_table[],MATCH($E$12,Salary_table[Cluster],0),6)*$C$25,INDEX(Salary_table[],MATCH($E$12,Salary_table[Cluster],0),7)*$D$25,INDEX(Salary_table[],MATCH($E$12,Salary_table[Cluster],0),8)*$E$25)</f>
        <v>133600</v>
      </c>
      <c r="I23" s="114">
        <f>SUM(Table24[[Terrain charges]:[Ad-hoc charges]])</f>
        <v>164158.68248167331</v>
      </c>
      <c r="J23" s="116">
        <f>SUM(G23:I23)</f>
        <v>443695.75466316962</v>
      </c>
      <c r="P23" s="118"/>
    </row>
    <row r="24" spans="1:16" ht="14.4" x14ac:dyDescent="0.3">
      <c r="A24" s="118"/>
      <c r="B24" s="130" t="s">
        <v>431</v>
      </c>
      <c r="C24" s="49" t="s">
        <v>34</v>
      </c>
      <c r="D24" s="49" t="s">
        <v>35</v>
      </c>
      <c r="E24" s="90" t="s">
        <v>36</v>
      </c>
      <c r="F24" s="17"/>
      <c r="G24" s="17"/>
      <c r="H24" s="17"/>
      <c r="I24" s="17"/>
      <c r="J24" s="17"/>
      <c r="P24" s="118"/>
    </row>
    <row r="25" spans="1:16" thickBot="1" x14ac:dyDescent="0.35">
      <c r="A25" s="118"/>
      <c r="B25" s="126"/>
      <c r="C25" s="50">
        <v>6</v>
      </c>
      <c r="D25" s="50">
        <v>2</v>
      </c>
      <c r="E25" s="51">
        <v>0</v>
      </c>
      <c r="F25" s="17"/>
      <c r="G25" s="17"/>
      <c r="H25" s="17"/>
      <c r="I25" s="17"/>
      <c r="J25" s="17"/>
      <c r="P25" s="118"/>
    </row>
    <row r="26" spans="1:16" ht="14.4" x14ac:dyDescent="0.3">
      <c r="A26" s="118"/>
      <c r="B26" s="131" t="s">
        <v>37</v>
      </c>
      <c r="C26" s="48">
        <f>Table142628[Sum]*$E$16*$D$16</f>
        <v>342.00000000000006</v>
      </c>
      <c r="D26" s="17"/>
      <c r="E26" s="17"/>
      <c r="F26" s="17"/>
      <c r="G26" s="17"/>
      <c r="H26" s="17"/>
      <c r="I26" s="17"/>
      <c r="J26" s="17"/>
      <c r="P26" s="118"/>
    </row>
    <row r="27" spans="1:16" ht="14.4" x14ac:dyDescent="0.3">
      <c r="A27" s="118"/>
      <c r="B27" s="17"/>
      <c r="F27" s="17"/>
      <c r="P27" s="118"/>
    </row>
    <row r="28" spans="1:16" thickBot="1" x14ac:dyDescent="0.35">
      <c r="A28" s="118"/>
      <c r="B28" s="17"/>
      <c r="F28" s="17"/>
      <c r="P28" s="118"/>
    </row>
    <row r="29" spans="1:16" ht="36" customHeight="1" thickBot="1" x14ac:dyDescent="0.35">
      <c r="A29" s="118"/>
      <c r="B29" s="134" t="s">
        <v>38</v>
      </c>
      <c r="C29" s="99"/>
      <c r="D29" s="108" t="s">
        <v>433</v>
      </c>
      <c r="E29" s="109">
        <f>($J$23+($C$16*$J$23)) / (C26*1000)</f>
        <v>1.4919594089551023</v>
      </c>
      <c r="P29" s="118"/>
    </row>
    <row r="30" spans="1:16" ht="15" hidden="1" customHeight="1" x14ac:dyDescent="0.4">
      <c r="A30" s="118"/>
      <c r="B30" s="135"/>
      <c r="C30" s="18"/>
      <c r="D30" s="19"/>
      <c r="E30" s="17"/>
      <c r="F30" s="17"/>
      <c r="P30" s="118"/>
    </row>
    <row r="31" spans="1:16" ht="14.4" hidden="1" x14ac:dyDescent="0.3">
      <c r="A31" s="118"/>
      <c r="B31" s="17"/>
      <c r="P31" s="118"/>
    </row>
    <row r="32" spans="1:16" ht="14.4" hidden="1" x14ac:dyDescent="0.3">
      <c r="A32" s="118"/>
      <c r="B32" s="17"/>
      <c r="P32" s="118"/>
    </row>
    <row r="33" spans="1:16" ht="14.4" hidden="1" x14ac:dyDescent="0.3">
      <c r="A33" s="118"/>
      <c r="B33" s="17"/>
      <c r="P33" s="118"/>
    </row>
    <row r="34" spans="1:16" ht="14.4" hidden="1" x14ac:dyDescent="0.3">
      <c r="A34" s="118"/>
      <c r="B34" s="17"/>
      <c r="P34" s="118"/>
    </row>
    <row r="35" spans="1:16" ht="14.4" hidden="1" x14ac:dyDescent="0.3">
      <c r="A35" s="118"/>
      <c r="B35" s="17"/>
      <c r="P35" s="118"/>
    </row>
    <row r="36" spans="1:16" ht="15.75" hidden="1" customHeight="1" x14ac:dyDescent="0.3">
      <c r="A36" s="118"/>
      <c r="B36" s="17"/>
      <c r="P36" s="118"/>
    </row>
    <row r="37" spans="1:16" ht="15.75" hidden="1" customHeight="1" x14ac:dyDescent="0.3">
      <c r="A37" s="118"/>
      <c r="B37" s="17"/>
      <c r="P37" s="118"/>
    </row>
    <row r="38" spans="1:16" ht="15.75" hidden="1" customHeight="1" x14ac:dyDescent="0.3">
      <c r="A38" s="118"/>
      <c r="B38" s="17"/>
      <c r="P38" s="118"/>
    </row>
    <row r="39" spans="1:16" ht="15.75" hidden="1" customHeight="1" x14ac:dyDescent="0.3">
      <c r="A39" s="118"/>
      <c r="B39" s="17"/>
      <c r="P39" s="118"/>
    </row>
    <row r="40" spans="1:16" ht="15.75" hidden="1" customHeight="1" x14ac:dyDescent="0.3">
      <c r="A40" s="118"/>
      <c r="B40" s="17"/>
      <c r="P40" s="118"/>
    </row>
    <row r="41" spans="1:16" ht="15.75" hidden="1" customHeight="1" x14ac:dyDescent="0.3">
      <c r="A41" s="118"/>
      <c r="B41" s="17"/>
      <c r="P41" s="118"/>
    </row>
    <row r="42" spans="1:16" ht="15.75" hidden="1" customHeight="1" x14ac:dyDescent="0.3">
      <c r="A42" s="118"/>
      <c r="B42" s="17"/>
      <c r="P42" s="118"/>
    </row>
    <row r="43" spans="1:16" thickBot="1" x14ac:dyDescent="0.35">
      <c r="A43" s="118"/>
      <c r="B43" s="17"/>
      <c r="P43" s="118"/>
    </row>
    <row r="44" spans="1:16" thickBot="1" x14ac:dyDescent="0.35">
      <c r="A44" s="136"/>
      <c r="B44" s="120"/>
      <c r="C44" s="120"/>
      <c r="D44" s="120"/>
      <c r="E44" s="120"/>
      <c r="F44" s="120"/>
      <c r="G44" s="120"/>
      <c r="H44" s="120"/>
      <c r="I44" s="120"/>
      <c r="J44" s="120"/>
      <c r="K44" s="120"/>
      <c r="L44" s="120"/>
      <c r="M44" s="120"/>
      <c r="N44" s="120"/>
      <c r="O44" s="141"/>
      <c r="P44" s="119"/>
    </row>
    <row r="45" spans="1:16" s="111" customFormat="1" ht="14.4" x14ac:dyDescent="0.3">
      <c r="A45" s="140"/>
      <c r="B45" s="140"/>
      <c r="C45" s="140"/>
      <c r="D45" s="140"/>
      <c r="E45" s="140"/>
      <c r="F45" s="140"/>
      <c r="G45" s="140"/>
      <c r="H45" s="140"/>
      <c r="I45" s="140"/>
      <c r="J45" s="140"/>
      <c r="K45" s="140"/>
      <c r="L45" s="140"/>
      <c r="M45" s="140"/>
      <c r="N45" s="140"/>
      <c r="O45" s="140"/>
      <c r="P45" s="140"/>
    </row>
    <row r="46" spans="1:16" s="111" customFormat="1" ht="14.4" x14ac:dyDescent="0.3">
      <c r="A46" s="140"/>
      <c r="B46" s="140"/>
      <c r="C46" s="140"/>
      <c r="D46" s="140"/>
      <c r="E46" s="140"/>
      <c r="F46" s="140"/>
      <c r="G46" s="140"/>
      <c r="H46" s="140"/>
      <c r="I46" s="140"/>
      <c r="J46" s="140"/>
      <c r="K46" s="140"/>
      <c r="L46" s="140"/>
      <c r="M46" s="140"/>
      <c r="N46" s="140"/>
      <c r="O46" s="140"/>
      <c r="P46" s="140"/>
    </row>
    <row r="47" spans="1:16" s="111" customFormat="1" ht="14.4" x14ac:dyDescent="0.3">
      <c r="A47" s="140"/>
      <c r="B47" s="140"/>
      <c r="C47" s="140"/>
      <c r="D47" s="140"/>
      <c r="E47" s="140"/>
      <c r="F47" s="140"/>
      <c r="G47" s="140"/>
      <c r="H47" s="140"/>
      <c r="I47" s="140"/>
      <c r="J47" s="140"/>
      <c r="K47" s="140"/>
      <c r="L47" s="140"/>
      <c r="M47" s="140"/>
      <c r="N47" s="140"/>
      <c r="O47" s="140"/>
      <c r="P47" s="140"/>
    </row>
    <row r="48" spans="1:16" s="111" customFormat="1" ht="14.4" x14ac:dyDescent="0.3">
      <c r="A48" s="140"/>
      <c r="B48" s="140"/>
      <c r="C48" s="140"/>
      <c r="D48" s="140"/>
      <c r="E48" s="140"/>
      <c r="F48" s="140"/>
      <c r="G48" s="140"/>
      <c r="H48" s="140"/>
      <c r="I48" s="140"/>
      <c r="J48" s="140"/>
      <c r="K48" s="140"/>
      <c r="L48" s="140"/>
      <c r="M48" s="140"/>
      <c r="N48" s="140"/>
      <c r="O48" s="140"/>
      <c r="P48" s="140"/>
    </row>
    <row r="49" spans="2:13" ht="14.4" x14ac:dyDescent="0.3"/>
    <row r="50" spans="2:13" ht="16.2" customHeight="1" x14ac:dyDescent="0.3">
      <c r="B50" s="11" t="s">
        <v>463</v>
      </c>
    </row>
    <row r="51" spans="2:13" ht="15.75" customHeight="1" x14ac:dyDescent="0.3">
      <c r="B51" s="11" t="s">
        <v>40</v>
      </c>
      <c r="C51" s="11" t="s">
        <v>2</v>
      </c>
      <c r="D51" s="11" t="s">
        <v>3</v>
      </c>
      <c r="E51" s="11" t="s">
        <v>4</v>
      </c>
      <c r="F51" s="11" t="s">
        <v>5</v>
      </c>
      <c r="G51" s="11" t="s">
        <v>6</v>
      </c>
      <c r="H51" s="11" t="s">
        <v>7</v>
      </c>
      <c r="I51" s="11" t="s">
        <v>8</v>
      </c>
      <c r="J51" s="11" t="s">
        <v>9</v>
      </c>
      <c r="K51" s="11" t="s">
        <v>10</v>
      </c>
      <c r="L51" s="11" t="s">
        <v>11</v>
      </c>
      <c r="M51" t="s">
        <v>459</v>
      </c>
    </row>
    <row r="52" spans="2:13" ht="15.75" customHeight="1" x14ac:dyDescent="0.3">
      <c r="B52" s="11" t="s">
        <v>453</v>
      </c>
      <c r="C52" s="11">
        <f>IF(ISNUMBER(SEARCH("Market",C$10)),0,IF(C$6="",0,INDEX(Assumption_distance[],MATCH($D$12,Cluster,0),MATCH($C$12,Assumption_distance[#Headers],0))))</f>
        <v>2700</v>
      </c>
      <c r="D52" s="11">
        <f>IF(ISNUMBER(SEARCH("Market",D$10)),0,IF(D$6="",0,INDEX(Assumption_distance[],MATCH($D$12,Cluster,0),MATCH($C$12,Assumption_distance[#Headers],0))))</f>
        <v>2700</v>
      </c>
      <c r="E52" s="11">
        <f>IF(ISNUMBER(SEARCH("Market",E$10)),0,IF(E$6="",0,INDEX(Assumption_distance[],MATCH($D$12,Cluster,0),MATCH($C$12,Assumption_distance[#Headers],0))))</f>
        <v>0</v>
      </c>
      <c r="F52" s="11">
        <f>IF(ISNUMBER(SEARCH("Market",F$10)),0,IF(F$6="",0,INDEX(Assumption_distance[],MATCH($D$12,Cluster,0),MATCH($C$12,Assumption_distance[#Headers],0))))</f>
        <v>0</v>
      </c>
      <c r="G52" s="11">
        <f>IF(ISNUMBER(SEARCH("Market",G$10)),0,IF(G$6="",0,INDEX(Assumption_distance[],MATCH($D$12,Cluster,0),MATCH($C$12,Assumption_distance[#Headers],0))))</f>
        <v>0</v>
      </c>
      <c r="H52" s="11">
        <f>IF(ISNUMBER(SEARCH("Market",H$10)),0,IF(H$6="",0,INDEX(Assumption_distance[],MATCH($D$12,Cluster,0),MATCH($C$12,Assumption_distance[#Headers],0))))</f>
        <v>0</v>
      </c>
      <c r="I52" s="11">
        <f>IF(ISNUMBER(SEARCH("Market",I$10)),0,IF(I$6="",0,INDEX(Assumption_distance[],MATCH($D$12,Cluster,0),MATCH($C$12,Assumption_distance[#Headers],0))))</f>
        <v>0</v>
      </c>
      <c r="J52" s="11">
        <f>IF(ISNUMBER(SEARCH("Market",J$10)),0,IF(J$6="",0,INDEX(Assumption_distance[],MATCH($D$12,Cluster,0),MATCH($C$12,Assumption_distance[#Headers],0))))</f>
        <v>0</v>
      </c>
      <c r="K52" s="11">
        <f>IF(ISNUMBER(SEARCH("Market",K$10)),0,IF(K$6="",0,INDEX(Assumption_distance[],MATCH($D$12,Cluster,0),MATCH($C$12,Assumption_distance[#Headers],0))))</f>
        <v>0</v>
      </c>
      <c r="L52" s="11">
        <f>IF(ISNUMBER(SEARCH("Market",L$10)),0,IF(L$6="",0,INDEX(Assumption_distance[],MATCH($D$12,Cluster,0),MATCH($C$12,Assumption_distance[#Headers],0))))</f>
        <v>0</v>
      </c>
      <c r="M52">
        <f>SUM(Calci_indi_summ[[#This Row],[Vehicle '#1]:[Vehicle '#10]])</f>
        <v>5400</v>
      </c>
    </row>
    <row r="53" spans="2:13" ht="15.75" customHeight="1" x14ac:dyDescent="0.3">
      <c r="B53" s="11" t="s">
        <v>454</v>
      </c>
      <c r="C53" s="11">
        <f>INDEX(Mileage_table[],MATCH(C$6,Mileage_table[Vehicle Name],0),20)</f>
        <v>9</v>
      </c>
      <c r="D53" s="11">
        <f>INDEX(Mileage_table[],MATCH(D$6,Mileage_table[Vehicle Name],0),20)</f>
        <v>5</v>
      </c>
      <c r="E53" s="11" t="e">
        <f>INDEX(Mileage_table[],MATCH(E$6,Mileage_table[Vehicle Name],0),20)</f>
        <v>#N/A</v>
      </c>
      <c r="F53" s="11" t="e">
        <f>INDEX(Mileage_table[],MATCH(F$6,Mileage_table[Vehicle Name],0),20)</f>
        <v>#N/A</v>
      </c>
      <c r="G53" s="11" t="e">
        <f>INDEX(Mileage_table[],MATCH(G$6,Mileage_table[Vehicle Name],0),20)</f>
        <v>#N/A</v>
      </c>
      <c r="H53" s="11" t="e">
        <f>INDEX(Mileage_table[],MATCH(H$6,Mileage_table[Vehicle Name],0),20)</f>
        <v>#N/A</v>
      </c>
      <c r="I53" s="11">
        <f>INDEX(Mileage_table[],MATCH(I$6,Mileage_table[Vehicle Name],0),20)</f>
        <v>7</v>
      </c>
      <c r="J53" s="11" t="e">
        <f>INDEX(Mileage_table[],MATCH(J$6,Mileage_table[Vehicle Name],0),20)</f>
        <v>#N/A</v>
      </c>
      <c r="K53" s="11" t="e">
        <f>INDEX(Mileage_table[],MATCH(K$6,Mileage_table[Vehicle Name],0),20)</f>
        <v>#N/A</v>
      </c>
      <c r="L53" s="11" t="e">
        <f>INDEX(Mileage_table[],MATCH(L$6,Mileage_table[Vehicle Name],0),20)</f>
        <v>#N/A</v>
      </c>
      <c r="M53" t="e">
        <f>SUM(Calci_indi_summ[[#This Row],[Vehicle '#1]:[Vehicle '#10]])</f>
        <v>#N/A</v>
      </c>
    </row>
    <row r="54" spans="2:13" ht="15.75" customHeight="1" x14ac:dyDescent="0.3">
      <c r="B54" t="s">
        <v>456</v>
      </c>
      <c r="C54" s="11">
        <f>IFERROR((C$52/C$53)*$F$12,0)</f>
        <v>27000</v>
      </c>
      <c r="D54" s="11">
        <f>IFERROR((D$52/D$53)*$F$12,0)</f>
        <v>48600</v>
      </c>
      <c r="E54" s="11">
        <f>IFERROR((E$52/E$53)*$F$12,0)</f>
        <v>0</v>
      </c>
      <c r="F54" s="11">
        <f>IFERROR((F$52/F$53)*$F$12,0)</f>
        <v>0</v>
      </c>
      <c r="G54" s="11">
        <f>IFERROR((G$52/G$53)*$F$12,0)</f>
        <v>0</v>
      </c>
      <c r="H54" s="11">
        <f>IFERROR((H$52/H$53)*$F$12,0)</f>
        <v>0</v>
      </c>
      <c r="I54" s="11">
        <f>IFERROR((I$52/I$53)*$F$12,0)</f>
        <v>0</v>
      </c>
      <c r="J54" s="11">
        <f>IFERROR((J$52/J$53)*$F$12,0)</f>
        <v>0</v>
      </c>
      <c r="K54" s="11">
        <f>IFERROR((K$52/K$53)*$F$12,0)</f>
        <v>0</v>
      </c>
      <c r="L54" s="11">
        <f>IFERROR((L$52/L$53)*$F$12,0)</f>
        <v>0</v>
      </c>
      <c r="M54">
        <f>SUM(Calci_indi_summ[[#This Row],[Vehicle '#1]:[Vehicle '#10]])</f>
        <v>75600</v>
      </c>
    </row>
    <row r="55" spans="2:13" ht="15.75" customHeight="1" x14ac:dyDescent="0.3">
      <c r="B55"/>
      <c r="M55"/>
    </row>
    <row r="56" spans="2:13" ht="15.75" customHeight="1" x14ac:dyDescent="0.3">
      <c r="M56"/>
    </row>
    <row r="57" spans="2:13" ht="15.75" customHeight="1" x14ac:dyDescent="0.3">
      <c r="B57" t="s">
        <v>465</v>
      </c>
    </row>
    <row r="58" spans="2:13" ht="15.75" customHeight="1" x14ac:dyDescent="0.3">
      <c r="B58" t="s">
        <v>1</v>
      </c>
      <c r="C58" t="s">
        <v>2</v>
      </c>
      <c r="D58" t="s">
        <v>3</v>
      </c>
      <c r="E58" t="s">
        <v>4</v>
      </c>
      <c r="F58" t="s">
        <v>5</v>
      </c>
      <c r="G58" t="s">
        <v>6</v>
      </c>
      <c r="H58" t="s">
        <v>7</v>
      </c>
      <c r="I58" t="s">
        <v>8</v>
      </c>
      <c r="J58" t="s">
        <v>9</v>
      </c>
      <c r="K58" t="s">
        <v>10</v>
      </c>
      <c r="L58" t="s">
        <v>11</v>
      </c>
      <c r="M58" t="s">
        <v>459</v>
      </c>
    </row>
    <row r="59" spans="2:13" ht="15.75" customHeight="1" x14ac:dyDescent="0.3">
      <c r="B59" t="s">
        <v>461</v>
      </c>
      <c r="C59">
        <f>IF(ISNUMBER(SEARCH("Market",C$10)),0,IF(C$6="",0,INDEX(Capacity_and_Expenses[],MATCH(C$6,Vehicle,0),6)))</f>
        <v>5000</v>
      </c>
      <c r="D59">
        <f>IF(ISNUMBER(SEARCH("Market",D$10)),0,IF(D$6="",0,INDEX(Capacity_and_Expenses[],MATCH(D$6,Vehicle,0),6)))</f>
        <v>8000</v>
      </c>
      <c r="E59">
        <f>IF(ISNUMBER(SEARCH("Market",E$10)),0,IF(E$6="",0,INDEX(Capacity_and_Expenses[],MATCH(E$6,Vehicle,0),6)))</f>
        <v>0</v>
      </c>
      <c r="F59">
        <f>IF(ISNUMBER(SEARCH("Market",F$10)),0,IF(F$6="",0,INDEX(Capacity_and_Expenses[],MATCH(F$6,Vehicle,0),6)))</f>
        <v>0</v>
      </c>
      <c r="G59">
        <f>IF(ISNUMBER(SEARCH("Market",G$10)),0,IF(G$6="",0,INDEX(Capacity_and_Expenses[],MATCH(G$6,Vehicle,0),6)))</f>
        <v>0</v>
      </c>
      <c r="H59">
        <f>IF(ISNUMBER(SEARCH("Market",H$10)),0,IF(H$6="",0,INDEX(Capacity_and_Expenses[],MATCH(H$6,Vehicle,0),6)))</f>
        <v>0</v>
      </c>
      <c r="I59">
        <f>IF(ISNUMBER(SEARCH("Market",I$10)),0,IF(I$6="",0,INDEX(Capacity_and_Expenses[],MATCH(I$6,Vehicle,0),6)))</f>
        <v>0</v>
      </c>
      <c r="J59">
        <f>IF(ISNUMBER(SEARCH("Market",J$10)),0,IF(J$6="",0,INDEX(Capacity_and_Expenses[],MATCH(J$6,Vehicle,0),6)))</f>
        <v>0</v>
      </c>
      <c r="K59">
        <f>IF(ISNUMBER(SEARCH("Market",K$10)),0,IF(K$6="",0,INDEX(Capacity_and_Expenses[],MATCH(K$6,Vehicle,0),6)))</f>
        <v>0</v>
      </c>
      <c r="L59">
        <f>IF(ISNUMBER(SEARCH("Market",L$10)),0,IF(L$6="",0,INDEX(Capacity_and_Expenses[],MATCH(L$6,Vehicle,0),6)))</f>
        <v>0</v>
      </c>
      <c r="M59" s="11">
        <f>SUM(Table16[[#This Row],[Vehicle '#1]:[Vehicle '#10]])</f>
        <v>13000</v>
      </c>
    </row>
    <row r="60" spans="2:13" ht="15.75" customHeight="1" x14ac:dyDescent="0.3">
      <c r="B60"/>
    </row>
    <row r="61" spans="2:13" ht="15.75" customHeight="1" x14ac:dyDescent="0.3">
      <c r="B61" s="11" t="s">
        <v>410</v>
      </c>
    </row>
    <row r="62" spans="2:13" ht="15.75" customHeight="1" x14ac:dyDescent="0.3">
      <c r="B62" s="11" t="s">
        <v>40</v>
      </c>
      <c r="C62" s="11" t="s">
        <v>2</v>
      </c>
      <c r="D62" s="11" t="s">
        <v>3</v>
      </c>
      <c r="E62" s="11" t="s">
        <v>4</v>
      </c>
      <c r="F62" s="11" t="s">
        <v>5</v>
      </c>
      <c r="G62" s="11" t="s">
        <v>6</v>
      </c>
      <c r="H62" s="11" t="s">
        <v>7</v>
      </c>
      <c r="I62" s="11" t="s">
        <v>8</v>
      </c>
      <c r="J62" s="11" t="s">
        <v>9</v>
      </c>
      <c r="K62" s="11" t="s">
        <v>10</v>
      </c>
      <c r="L62" s="11" t="s">
        <v>11</v>
      </c>
      <c r="M62" t="s">
        <v>459</v>
      </c>
    </row>
    <row r="63" spans="2:13" ht="15.75" customHeight="1" x14ac:dyDescent="0.3">
      <c r="B63" s="11" t="s">
        <v>410</v>
      </c>
      <c r="C63" s="11">
        <f>IFERROR(INDEX(EMI_table[], MATCH(C$6,Vehicle,0), MATCH(C$10,EMI_table[#Headers],0)),0)</f>
        <v>10317.072181496311</v>
      </c>
      <c r="D63" s="11">
        <f>IFERROR(INDEX(EMI_table[], MATCH(D$6,Vehicle,0), MATCH(D$10,EMI_table[#Headers],0)),0)</f>
        <v>0</v>
      </c>
      <c r="E63" s="11">
        <f>IFERROR(INDEX(EMI_table[], MATCH(E$6,Vehicle,0), MATCH(E$10,EMI_table[#Headers],0)),0)</f>
        <v>0</v>
      </c>
      <c r="F63" s="11">
        <f>IFERROR(INDEX(EMI_table[], MATCH(F$6,Vehicle,0), MATCH(F$10,EMI_table[#Headers],0)),0)</f>
        <v>0</v>
      </c>
      <c r="G63" s="11">
        <f>IFERROR(INDEX(EMI_table[], MATCH(G$6,Vehicle,0), MATCH(G$10,EMI_table[#Headers],0)),0)</f>
        <v>0</v>
      </c>
      <c r="H63" s="11">
        <f>IFERROR(INDEX(EMI_table[], MATCH(H$6,Vehicle,0), MATCH(H$10,EMI_table[#Headers],0)),0)</f>
        <v>0</v>
      </c>
      <c r="I63" s="11">
        <f>IFERROR(INDEX(EMI_table[], MATCH(I$6,Vehicle,0), MATCH(I$10,EMI_table[#Headers],0)),0)</f>
        <v>0</v>
      </c>
      <c r="J63" s="11">
        <f>IFERROR(INDEX(EMI_table[], MATCH(J$6,Vehicle,0), MATCH(J$10,EMI_table[#Headers],0)),0)</f>
        <v>0</v>
      </c>
      <c r="K63" s="11">
        <f>IFERROR(INDEX(EMI_table[], MATCH(K$6,Vehicle,0), MATCH(K$10,EMI_table[#Headers],0)),0)</f>
        <v>0</v>
      </c>
      <c r="L63" s="11">
        <f>IFERROR(INDEX(EMI_table[], MATCH(L$6,Vehicle,0), MATCH(L$10,EMI_table[#Headers],0)),0)</f>
        <v>0</v>
      </c>
      <c r="M63">
        <f>SUM(Table14[[#This Row],[Vehicle '#1]:[Vehicle '#10]])</f>
        <v>10317.072181496311</v>
      </c>
    </row>
    <row r="64" spans="2:13" ht="15.75" customHeight="1" x14ac:dyDescent="0.3">
      <c r="M64"/>
    </row>
    <row r="65" spans="2:13" ht="15.75" customHeight="1" x14ac:dyDescent="0.3">
      <c r="B65" s="11" t="s">
        <v>452</v>
      </c>
      <c r="M65"/>
    </row>
    <row r="66" spans="2:13" ht="15.75" customHeight="1" x14ac:dyDescent="0.3">
      <c r="B66" s="11" t="s">
        <v>40</v>
      </c>
      <c r="C66" s="11" t="s">
        <v>2</v>
      </c>
      <c r="D66" s="11" t="s">
        <v>3</v>
      </c>
      <c r="E66" s="11" t="s">
        <v>4</v>
      </c>
      <c r="F66" s="11" t="s">
        <v>5</v>
      </c>
      <c r="G66" s="11" t="s">
        <v>6</v>
      </c>
      <c r="H66" s="11" t="s">
        <v>7</v>
      </c>
      <c r="I66" s="11" t="s">
        <v>8</v>
      </c>
      <c r="J66" s="11" t="s">
        <v>9</v>
      </c>
      <c r="K66" s="11" t="s">
        <v>10</v>
      </c>
      <c r="L66" s="11" t="s">
        <v>11</v>
      </c>
      <c r="M66" t="s">
        <v>459</v>
      </c>
    </row>
    <row r="67" spans="2:13" ht="15.75" customHeight="1" x14ac:dyDescent="0.3">
      <c r="B67" s="11" t="s">
        <v>466</v>
      </c>
      <c r="C67" s="11">
        <f>IF(ISNUMBER(SEARCH("Market",C$10)), INDEX(Market_table[], MATCH(C$10,Market_types,0),2),0)</f>
        <v>0</v>
      </c>
      <c r="D67" s="11">
        <f>IF(ISNUMBER(SEARCH("Market",D$10)), INDEX(Market_table[], MATCH(D$10,Market_types,0),2),0)</f>
        <v>0</v>
      </c>
      <c r="E67" s="11">
        <f>IF(ISNUMBER(SEARCH("Market",E$10)), INDEX(Market_table[], MATCH(E$10,Market_types,0),2),0)</f>
        <v>0</v>
      </c>
      <c r="F67" s="11">
        <f>IF(ISNUMBER(SEARCH("Market",F$10)), INDEX(Market_table[], MATCH(F$10,Market_types,0),2),0)</f>
        <v>0</v>
      </c>
      <c r="G67" s="11">
        <f>IF(ISNUMBER(SEARCH("Market",G$10)), INDEX(Market_table[], MATCH(G$10,Market_types,0),2),0)</f>
        <v>0</v>
      </c>
      <c r="H67" s="11">
        <f>IF(ISNUMBER(SEARCH("Market",H$10)), INDEX(Market_table[], MATCH(H$10,Market_types,0),2),0)</f>
        <v>0</v>
      </c>
      <c r="I67" s="11">
        <f>IF(ISNUMBER(SEARCH("Market",I$10)), INDEX(Market_table[], MATCH(I$10,Market_types,0),2),0)</f>
        <v>40000</v>
      </c>
      <c r="J67" s="11">
        <f>IF(ISNUMBER(SEARCH("Market",J$10)), INDEX(Market_table[], MATCH(J$10,Market_types,0),2),0)</f>
        <v>0</v>
      </c>
      <c r="K67" s="11">
        <f>IF(ISNUMBER(SEARCH("Market",K$10)), INDEX(Market_table[], MATCH(K$10,Market_types,0),2),0)</f>
        <v>0</v>
      </c>
      <c r="L67" s="11">
        <f>IF(ISNUMBER(SEARCH("Market",L$10)), INDEX(Market_table[], MATCH(L$10,Market_types,0),2),0)</f>
        <v>0</v>
      </c>
      <c r="M67">
        <f>SUM(Table1426[[#This Row],[Vehicle '#1]:[Vehicle '#10]])</f>
        <v>40000</v>
      </c>
    </row>
    <row r="68" spans="2:13" ht="15.75" customHeight="1" x14ac:dyDescent="0.3">
      <c r="M68"/>
    </row>
    <row r="69" spans="2:13" ht="15.75" customHeight="1" x14ac:dyDescent="0.3">
      <c r="B69" s="11" t="s">
        <v>60</v>
      </c>
    </row>
    <row r="70" spans="2:13" ht="15.75" customHeight="1" x14ac:dyDescent="0.3">
      <c r="B70" s="11" t="s">
        <v>457</v>
      </c>
      <c r="C70" s="11" t="s">
        <v>114</v>
      </c>
      <c r="D70" s="11" t="s">
        <v>24</v>
      </c>
      <c r="E70" s="11" t="s">
        <v>95</v>
      </c>
      <c r="F70" s="11" t="s">
        <v>423</v>
      </c>
    </row>
    <row r="71" spans="2:13" ht="15.75" customHeight="1" x14ac:dyDescent="0.3">
      <c r="B71" s="11" t="s">
        <v>458</v>
      </c>
      <c r="C71" s="11">
        <f>IF(C$14="Yes",$C$23*20%,0)</f>
        <v>15120</v>
      </c>
      <c r="D71" s="11">
        <f>IF(D$14="Yes",$C$23*15%,0)</f>
        <v>11340</v>
      </c>
      <c r="E71" s="11">
        <f>IF(E$14="Yes",SUM(G23:H23,Table24[[#This Row],[Terrain charges]],Table24[[#This Row],[Congestion Charges]])*15%,0)</f>
        <v>45899.560827224443</v>
      </c>
      <c r="F71" s="11">
        <f>IF(F$14="Yes",SUM(G23:H23,Table24[[#This Row],[Terrain charges]],Table24[[#This Row],[Congestion Charges]])*30%,0)</f>
        <v>91799.121654448885</v>
      </c>
    </row>
    <row r="72" spans="2:13" ht="15.75" customHeight="1" x14ac:dyDescent="0.3"/>
    <row r="73" spans="2:13" ht="15.75" customHeight="1" x14ac:dyDescent="0.3">
      <c r="B73" s="11" t="s">
        <v>300</v>
      </c>
      <c r="M73"/>
    </row>
    <row r="74" spans="2:13" ht="15.75" customHeight="1" x14ac:dyDescent="0.3">
      <c r="B74" s="11" t="s">
        <v>40</v>
      </c>
      <c r="C74" s="11" t="s">
        <v>2</v>
      </c>
      <c r="D74" s="11" t="s">
        <v>3</v>
      </c>
      <c r="E74" s="11" t="s">
        <v>4</v>
      </c>
      <c r="F74" s="11" t="s">
        <v>5</v>
      </c>
      <c r="G74" s="11" t="s">
        <v>6</v>
      </c>
      <c r="H74" s="11" t="s">
        <v>7</v>
      </c>
      <c r="I74" s="11" t="s">
        <v>8</v>
      </c>
      <c r="J74" s="11" t="s">
        <v>9</v>
      </c>
      <c r="K74" s="11" t="s">
        <v>10</v>
      </c>
      <c r="L74" s="11" t="s">
        <v>11</v>
      </c>
      <c r="M74" t="s">
        <v>459</v>
      </c>
    </row>
    <row r="75" spans="2:13" ht="15.75" customHeight="1" x14ac:dyDescent="0.3">
      <c r="B75" s="11" t="s">
        <v>466</v>
      </c>
      <c r="C75" s="11">
        <f>IFERROR(INDEX(Capacity_and_Expenses[],MATCH(C$6, Vehicle,0),3),0)</f>
        <v>3.5</v>
      </c>
      <c r="D75" s="11">
        <f>IFERROR(INDEX(Capacity_and_Expenses[],MATCH(D$6, Vehicle,0),3),0)</f>
        <v>6.8</v>
      </c>
      <c r="E75" s="11">
        <f>IFERROR(INDEX(Capacity_and_Expenses[],MATCH(E$6, Vehicle,0),3),0)</f>
        <v>0</v>
      </c>
      <c r="F75" s="11">
        <f>IFERROR(INDEX(Capacity_and_Expenses[],MATCH(F$6, Vehicle,0),3),0)</f>
        <v>0</v>
      </c>
      <c r="G75" s="11">
        <f>IFERROR(INDEX(Capacity_and_Expenses[],MATCH(G$6, Vehicle,0),3),0)</f>
        <v>0</v>
      </c>
      <c r="H75" s="11">
        <f>IFERROR(INDEX(Capacity_and_Expenses[],MATCH(H$6, Vehicle,0),3),0)</f>
        <v>0</v>
      </c>
      <c r="I75" s="11">
        <f>IFERROR(INDEX(Capacity_and_Expenses[],MATCH(I$6, Vehicle,0),3),0)</f>
        <v>6.8</v>
      </c>
      <c r="J75" s="11">
        <f>IFERROR(INDEX(Capacity_and_Expenses[],MATCH(J$6, Vehicle,0),3),0)</f>
        <v>0</v>
      </c>
      <c r="K75" s="11">
        <f>IFERROR(INDEX(Capacity_and_Expenses[],MATCH(K$6, Vehicle,0),3),0)</f>
        <v>0</v>
      </c>
      <c r="L75" s="11">
        <f>IFERROR(INDEX(Capacity_and_Expenses[],MATCH(L$6, Vehicle,0),3),0)</f>
        <v>0</v>
      </c>
      <c r="M75">
        <f>SUM(Table142628[[#This Row],[Vehicle '#1]:[Vehicle '#10]])</f>
        <v>17.100000000000001</v>
      </c>
    </row>
    <row r="76" spans="2:13" ht="15.75" customHeight="1" x14ac:dyDescent="0.3"/>
    <row r="77" spans="2:13" ht="15.75" customHeight="1" x14ac:dyDescent="0.3"/>
    <row r="78" spans="2:13" ht="15.75" customHeight="1" x14ac:dyDescent="0.3"/>
    <row r="79" spans="2:13" ht="15.75" customHeight="1" x14ac:dyDescent="0.3"/>
    <row r="80" spans="2:13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  <row r="1001" ht="15.75" customHeight="1" x14ac:dyDescent="0.3"/>
    <row r="1002" ht="15.75" customHeight="1" x14ac:dyDescent="0.3"/>
    <row r="1003" ht="15.75" customHeight="1" x14ac:dyDescent="0.3"/>
    <row r="1004" ht="15.75" customHeight="1" x14ac:dyDescent="0.3"/>
    <row r="1005" ht="15.75" customHeight="1" x14ac:dyDescent="0.3"/>
    <row r="1006" ht="15.75" customHeight="1" x14ac:dyDescent="0.3"/>
    <row r="1007" ht="15.75" customHeight="1" x14ac:dyDescent="0.3"/>
    <row r="1008" ht="15.75" customHeight="1" x14ac:dyDescent="0.3"/>
    <row r="1009" ht="15.75" customHeight="1" x14ac:dyDescent="0.3"/>
    <row r="1010" ht="15.75" customHeight="1" x14ac:dyDescent="0.3"/>
    <row r="1011" ht="15.75" customHeight="1" x14ac:dyDescent="0.3"/>
    <row r="1012" ht="15.75" customHeight="1" x14ac:dyDescent="0.3"/>
    <row r="1013" ht="15.75" customHeight="1" x14ac:dyDescent="0.3"/>
    <row r="1014" ht="15.75" customHeight="1" x14ac:dyDescent="0.3"/>
    <row r="1015" ht="15.75" customHeight="1" x14ac:dyDescent="0.3"/>
    <row r="1016" ht="15.75" customHeight="1" x14ac:dyDescent="0.3"/>
    <row r="1017" ht="15.75" customHeight="1" x14ac:dyDescent="0.3"/>
    <row r="1018" ht="15.75" customHeight="1" x14ac:dyDescent="0.3"/>
    <row r="1019" ht="15.75" customHeight="1" x14ac:dyDescent="0.3"/>
    <row r="1020" ht="15.75" customHeight="1" x14ac:dyDescent="0.3"/>
    <row r="1021" ht="15.75" customHeight="1" x14ac:dyDescent="0.3"/>
    <row r="1022" ht="15.75" customHeight="1" x14ac:dyDescent="0.3"/>
    <row r="1023" ht="15.75" customHeight="1" x14ac:dyDescent="0.3"/>
    <row r="1024" ht="15.75" customHeight="1" x14ac:dyDescent="0.3"/>
    <row r="1025" ht="15.75" customHeight="1" x14ac:dyDescent="0.3"/>
    <row r="1026" ht="15.75" customHeight="1" x14ac:dyDescent="0.3"/>
    <row r="1027" ht="15.75" customHeight="1" x14ac:dyDescent="0.3"/>
    <row r="1028" ht="15.75" customHeight="1" x14ac:dyDescent="0.3"/>
    <row r="1029" ht="15.75" customHeight="1" x14ac:dyDescent="0.3"/>
    <row r="1030" ht="15.75" customHeight="1" x14ac:dyDescent="0.3"/>
    <row r="1031" ht="15.75" customHeight="1" x14ac:dyDescent="0.3"/>
    <row r="1032" ht="15.75" customHeight="1" x14ac:dyDescent="0.3"/>
  </sheetData>
  <mergeCells count="11">
    <mergeCell ref="B3:L4"/>
    <mergeCell ref="B24:B25"/>
    <mergeCell ref="B20:J21"/>
    <mergeCell ref="B29:C29"/>
    <mergeCell ref="B22:B23"/>
    <mergeCell ref="B5:B6"/>
    <mergeCell ref="B7:B8"/>
    <mergeCell ref="B9:B10"/>
    <mergeCell ref="B11:B12"/>
    <mergeCell ref="B13:B14"/>
    <mergeCell ref="B15:B16"/>
  </mergeCells>
  <phoneticPr fontId="12" type="noConversion"/>
  <dataValidations count="8">
    <dataValidation type="list" allowBlank="1" showInputMessage="1" showErrorMessage="1" sqref="C12" xr:uid="{D2D2496A-7F35-4872-86A1-B7322160F771}">
      <formula1>Distance</formula1>
    </dataValidation>
    <dataValidation type="list" allowBlank="1" showInputMessage="1" showErrorMessage="1" sqref="D12" xr:uid="{3BE2E616-C810-40B8-AF54-6F6591C6D168}">
      <formula1>Cluster</formula1>
    </dataValidation>
    <dataValidation type="list" allowBlank="1" showInputMessage="1" showErrorMessage="1" sqref="E12" xr:uid="{371FE51E-EEA1-478F-A25B-8206F9F473A1}">
      <formula1>INDIRECT($D$12)</formula1>
    </dataValidation>
    <dataValidation type="list" allowBlank="1" showInputMessage="1" showErrorMessage="1" sqref="C14:F14" xr:uid="{E85B74B9-3222-4EDD-84F0-03803557C5A6}">
      <formula1>Additional_charges</formula1>
    </dataValidation>
    <dataValidation type="list" allowBlank="1" showInputMessage="1" showErrorMessage="1" sqref="C8:L8" xr:uid="{B9191CD8-B702-4E4D-A043-F6727FE71929}">
      <formula1>Year_of_Make</formula1>
    </dataValidation>
    <dataValidation type="list" allowBlank="1" showInputMessage="1" showErrorMessage="1" sqref="C6:L6" xr:uid="{4C8A6620-17F3-403E-8504-3616F3E73505}">
      <formula1>Vehicle</formula1>
    </dataValidation>
    <dataValidation type="list" allowBlank="1" showInputMessage="1" showErrorMessage="1" sqref="C16" xr:uid="{A0285B77-734F-49A5-A60D-805C7CA0A432}">
      <formula1>Profit_margin</formula1>
    </dataValidation>
    <dataValidation type="list" allowBlank="1" showInputMessage="1" showErrorMessage="1" sqref="C10:L10" xr:uid="{8B0C3DA3-009C-46F3-96E6-9192F2488437}">
      <formula1>Veh_Category</formula1>
    </dataValidation>
  </dataValidations>
  <pageMargins left="0.7" right="0.7" top="0.75" bottom="0.75" header="0" footer="0"/>
  <pageSetup paperSize="9" orientation="portrait" r:id="rId1"/>
  <drawing r:id="rId2"/>
  <tableParts count="6">
    <tablePart r:id="rId3"/>
    <tablePart r:id="rId4"/>
    <tablePart r:id="rId5"/>
    <tablePart r:id="rId6"/>
    <tablePart r:id="rId7"/>
    <tablePart r:id="rId8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1000"/>
  <sheetViews>
    <sheetView zoomScale="75" workbookViewId="0">
      <selection activeCell="A22" sqref="A22"/>
    </sheetView>
  </sheetViews>
  <sheetFormatPr defaultColWidth="12.88671875" defaultRowHeight="15" customHeight="1" x14ac:dyDescent="0.3"/>
  <cols>
    <col min="1" max="1" width="9.109375" style="11" customWidth="1"/>
    <col min="2" max="2" width="15.88671875" style="11" customWidth="1"/>
    <col min="3" max="3" width="12.88671875" style="11" customWidth="1"/>
    <col min="4" max="4" width="9.33203125" style="11" customWidth="1"/>
    <col min="5" max="5" width="14.33203125" style="11" customWidth="1"/>
    <col min="6" max="6" width="12.33203125" style="11" customWidth="1"/>
    <col min="7" max="7" width="13.109375" style="11" customWidth="1"/>
    <col min="8" max="10" width="15.44140625" style="11" customWidth="1"/>
    <col min="11" max="11" width="13.44140625" style="11" bestFit="1" customWidth="1"/>
    <col min="12" max="12" width="49.33203125" style="11" customWidth="1"/>
    <col min="13" max="27" width="9.109375" style="11" customWidth="1"/>
    <col min="28" max="16384" width="12.88671875" style="11"/>
  </cols>
  <sheetData>
    <row r="1" spans="1:11" ht="14.4" x14ac:dyDescent="0.3">
      <c r="A1" s="59" t="s">
        <v>22</v>
      </c>
      <c r="B1" s="60" t="s">
        <v>362</v>
      </c>
      <c r="C1" s="60" t="s">
        <v>363</v>
      </c>
      <c r="D1" s="60" t="s">
        <v>364</v>
      </c>
      <c r="E1" s="60" t="s">
        <v>365</v>
      </c>
      <c r="F1" s="60" t="s">
        <v>366</v>
      </c>
      <c r="G1" s="60" t="s">
        <v>414</v>
      </c>
      <c r="H1" s="61" t="s">
        <v>367</v>
      </c>
      <c r="I1" s="60" t="s">
        <v>459</v>
      </c>
      <c r="J1" s="100"/>
    </row>
    <row r="2" spans="1:11" ht="14.4" x14ac:dyDescent="0.3">
      <c r="A2" s="57" t="s">
        <v>42</v>
      </c>
      <c r="B2" s="9" t="s">
        <v>368</v>
      </c>
      <c r="C2" s="9">
        <v>10809.6</v>
      </c>
      <c r="D2" s="9">
        <v>11917.8</v>
      </c>
      <c r="E2" s="9">
        <v>12513.6</v>
      </c>
      <c r="F2" s="9">
        <f>ROUNDUP(Salary_table[[#This Row],[Semi skilled]],-2)+1000</f>
        <v>11900</v>
      </c>
      <c r="G2" s="9">
        <f>ROUNDUP(Salary_table[[#This Row],[Skilled]],-2)+1000</f>
        <v>13000</v>
      </c>
      <c r="H2" s="58">
        <f>ROUNDUP(Salary_table[[#This Row],[Highly skilled]],-2)+1000</f>
        <v>13600</v>
      </c>
      <c r="I2" s="101">
        <f>SUM(Salary_table[[#This Row],[Supervisor Cap]],Salary_table[[#This Row],[Driver Cap]],Salary_table[[#This Row],[Loader Cap]]*2)</f>
        <v>50400</v>
      </c>
      <c r="J2" s="101"/>
      <c r="K2" s="11" t="s">
        <v>369</v>
      </c>
    </row>
    <row r="3" spans="1:11" ht="14.4" x14ac:dyDescent="0.3">
      <c r="A3" s="57" t="s">
        <v>61</v>
      </c>
      <c r="B3" s="9" t="s">
        <v>370</v>
      </c>
      <c r="C3" s="9">
        <v>9972.3000000000011</v>
      </c>
      <c r="D3" s="9">
        <v>11007.300000000001</v>
      </c>
      <c r="E3" s="9">
        <v>12198.300000000001</v>
      </c>
      <c r="F3" s="9">
        <f>ROUNDUP(Salary_table[[#This Row],[Semi skilled]],-2)+1000</f>
        <v>11000</v>
      </c>
      <c r="G3" s="9">
        <f>ROUNDUP(Salary_table[[#This Row],[Skilled]],-2)+1000</f>
        <v>12100</v>
      </c>
      <c r="H3" s="58">
        <f>ROUNDUP(Salary_table[[#This Row],[Highly skilled]],-2)+1000</f>
        <v>13200</v>
      </c>
      <c r="I3" s="101">
        <f>SUM(Salary_table[[#This Row],[Supervisor Cap]],Salary_table[[#This Row],[Driver Cap]],Salary_table[[#This Row],[Loader Cap]]*2)</f>
        <v>47300</v>
      </c>
      <c r="J3" s="101"/>
      <c r="K3" s="11" t="s">
        <v>403</v>
      </c>
    </row>
    <row r="4" spans="1:11" ht="14.4" x14ac:dyDescent="0.3">
      <c r="A4" s="57" t="s">
        <v>202</v>
      </c>
      <c r="B4" s="9" t="s">
        <v>371</v>
      </c>
      <c r="C4" s="9">
        <v>13429.41</v>
      </c>
      <c r="D4" s="9">
        <v>14704.07</v>
      </c>
      <c r="E4" s="9">
        <v>16106.2</v>
      </c>
      <c r="F4" s="9">
        <f>ROUNDUP(Salary_table[[#This Row],[Semi skilled]],-2)+1000</f>
        <v>14500</v>
      </c>
      <c r="G4" s="9">
        <f>ROUNDUP(Salary_table[[#This Row],[Skilled]],-2)+1000</f>
        <v>15800</v>
      </c>
      <c r="H4" s="58">
        <f>ROUNDUP(Salary_table[[#This Row],[Highly skilled]],-2)+1000</f>
        <v>17200</v>
      </c>
      <c r="I4" s="101">
        <f>SUM(Salary_table[[#This Row],[Supervisor Cap]],Salary_table[[#This Row],[Driver Cap]],Salary_table[[#This Row],[Loader Cap]]*2)</f>
        <v>62000</v>
      </c>
      <c r="J4" s="101"/>
      <c r="K4" s="11" t="s">
        <v>372</v>
      </c>
    </row>
    <row r="5" spans="1:11" ht="14.4" x14ac:dyDescent="0.3">
      <c r="A5" s="57" t="s">
        <v>99</v>
      </c>
      <c r="B5" s="9" t="s">
        <v>373</v>
      </c>
      <c r="C5" s="9">
        <v>13429.41</v>
      </c>
      <c r="D5" s="9">
        <v>14704.07</v>
      </c>
      <c r="E5" s="9">
        <v>16106.2</v>
      </c>
      <c r="F5" s="9">
        <f>ROUNDUP(Salary_table[[#This Row],[Semi skilled]],-2)+1000</f>
        <v>14500</v>
      </c>
      <c r="G5" s="9">
        <f>ROUNDUP(Salary_table[[#This Row],[Skilled]],-2)+1000</f>
        <v>15800</v>
      </c>
      <c r="H5" s="58">
        <f>ROUNDUP(Salary_table[[#This Row],[Highly skilled]],-2)+1000</f>
        <v>17200</v>
      </c>
      <c r="I5" s="101">
        <f>SUM(Salary_table[[#This Row],[Supervisor Cap]],Salary_table[[#This Row],[Driver Cap]],Salary_table[[#This Row],[Loader Cap]]*2)</f>
        <v>62000</v>
      </c>
      <c r="J5" s="101"/>
    </row>
    <row r="6" spans="1:11" ht="14.4" x14ac:dyDescent="0.3">
      <c r="A6" s="57" t="s">
        <v>119</v>
      </c>
      <c r="B6" s="9" t="s">
        <v>373</v>
      </c>
      <c r="C6" s="9">
        <v>13429.41</v>
      </c>
      <c r="D6" s="9">
        <v>14704.07</v>
      </c>
      <c r="E6" s="9">
        <v>16106.2</v>
      </c>
      <c r="F6" s="9">
        <f>ROUNDUP(Salary_table[[#This Row],[Semi skilled]],-2)+1000</f>
        <v>14500</v>
      </c>
      <c r="G6" s="9">
        <f>ROUNDUP(Salary_table[[#This Row],[Skilled]],-2)+1000</f>
        <v>15800</v>
      </c>
      <c r="H6" s="58">
        <f>ROUNDUP(Salary_table[[#This Row],[Highly skilled]],-2)+1000</f>
        <v>17200</v>
      </c>
      <c r="I6" s="101">
        <f>SUM(Salary_table[[#This Row],[Supervisor Cap]],Salary_table[[#This Row],[Driver Cap]],Salary_table[[#This Row],[Loader Cap]]*2)</f>
        <v>62000</v>
      </c>
      <c r="J6" s="101"/>
      <c r="K6" s="11" t="s">
        <v>374</v>
      </c>
    </row>
    <row r="7" spans="1:11" ht="14.4" x14ac:dyDescent="0.3">
      <c r="A7" s="57" t="s">
        <v>281</v>
      </c>
      <c r="B7" s="9" t="s">
        <v>47</v>
      </c>
      <c r="C7" s="9">
        <v>15296</v>
      </c>
      <c r="D7" s="9">
        <v>16858</v>
      </c>
      <c r="E7" s="9">
        <v>18332</v>
      </c>
      <c r="F7" s="9">
        <f>ROUNDUP(Salary_table[[#This Row],[Semi skilled]],-2)+1000</f>
        <v>16300</v>
      </c>
      <c r="G7" s="9">
        <f>ROUNDUP(Salary_table[[#This Row],[Skilled]],-2)+1000</f>
        <v>17900</v>
      </c>
      <c r="H7" s="58">
        <f>ROUNDUP(Salary_table[[#This Row],[Highly skilled]],-2)+1000</f>
        <v>19400</v>
      </c>
      <c r="I7" s="101">
        <f>SUM(Salary_table[[#This Row],[Supervisor Cap]],Salary_table[[#This Row],[Driver Cap]],Salary_table[[#This Row],[Loader Cap]]*2)</f>
        <v>69900</v>
      </c>
      <c r="J7" s="101"/>
    </row>
    <row r="8" spans="1:11" ht="14.4" x14ac:dyDescent="0.3">
      <c r="A8" s="57" t="s">
        <v>102</v>
      </c>
      <c r="B8" s="9" t="s">
        <v>375</v>
      </c>
      <c r="C8" s="9">
        <v>8700</v>
      </c>
      <c r="D8" s="9">
        <v>11100</v>
      </c>
      <c r="E8" s="9">
        <v>13800</v>
      </c>
      <c r="F8" s="9">
        <f>ROUNDUP(Salary_table[[#This Row],[Semi skilled]],-2)+1000</f>
        <v>9700</v>
      </c>
      <c r="G8" s="9">
        <f>ROUNDUP(Salary_table[[#This Row],[Skilled]],-2)+1000</f>
        <v>12100</v>
      </c>
      <c r="H8" s="58">
        <f>ROUNDUP(Salary_table[[#This Row],[Highly skilled]],-2)+1000</f>
        <v>14800</v>
      </c>
      <c r="I8" s="101">
        <f>SUM(Salary_table[[#This Row],[Supervisor Cap]],Salary_table[[#This Row],[Driver Cap]],Salary_table[[#This Row],[Loader Cap]]*2)</f>
        <v>46300</v>
      </c>
      <c r="J8" s="101"/>
    </row>
    <row r="9" spans="1:11" ht="14.4" x14ac:dyDescent="0.3">
      <c r="A9" s="57" t="s">
        <v>175</v>
      </c>
      <c r="B9" s="9" t="s">
        <v>376</v>
      </c>
      <c r="C9" s="9">
        <v>8366</v>
      </c>
      <c r="D9" s="9">
        <v>9618</v>
      </c>
      <c r="E9" s="9">
        <v>10037</v>
      </c>
      <c r="F9" s="9">
        <f>ROUNDUP(Salary_table[[#This Row],[Semi skilled]],-2)+1000</f>
        <v>9400</v>
      </c>
      <c r="G9" s="9">
        <f>ROUNDUP(Salary_table[[#This Row],[Skilled]],-2)+1000</f>
        <v>10700</v>
      </c>
      <c r="H9" s="58">
        <f>ROUNDUP(Salary_table[[#This Row],[Highly skilled]],-2)+1000</f>
        <v>11100</v>
      </c>
      <c r="I9" s="101">
        <f>SUM(Salary_table[[#This Row],[Supervisor Cap]],Salary_table[[#This Row],[Driver Cap]],Salary_table[[#This Row],[Loader Cap]]*2)</f>
        <v>40600</v>
      </c>
      <c r="J9" s="101"/>
      <c r="K9" s="11" t="s">
        <v>435</v>
      </c>
    </row>
    <row r="10" spans="1:11" ht="14.4" x14ac:dyDescent="0.3">
      <c r="A10" s="57" t="s">
        <v>142</v>
      </c>
      <c r="B10" s="9" t="s">
        <v>377</v>
      </c>
      <c r="C10" s="9">
        <v>8182</v>
      </c>
      <c r="D10" s="9">
        <v>9560</v>
      </c>
      <c r="E10" s="9">
        <v>10860</v>
      </c>
      <c r="F10" s="9">
        <f>ROUNDUP(Salary_table[[#This Row],[Semi skilled]],-2)+1000</f>
        <v>9200</v>
      </c>
      <c r="G10" s="9">
        <f>ROUNDUP(Salary_table[[#This Row],[Skilled]],-2)+1000</f>
        <v>10600</v>
      </c>
      <c r="H10" s="58">
        <f>ROUNDUP(Salary_table[[#This Row],[Highly skilled]],-2)+1000</f>
        <v>11900</v>
      </c>
      <c r="I10" s="101">
        <f>SUM(Salary_table[[#This Row],[Supervisor Cap]],Salary_table[[#This Row],[Driver Cap]],Salary_table[[#This Row],[Loader Cap]]*2)</f>
        <v>40900</v>
      </c>
      <c r="J10" s="101"/>
      <c r="K10" s="11" t="s">
        <v>436</v>
      </c>
    </row>
    <row r="11" spans="1:11" ht="14.4" x14ac:dyDescent="0.3">
      <c r="A11" s="57" t="s">
        <v>105</v>
      </c>
      <c r="B11" s="9" t="s">
        <v>378</v>
      </c>
      <c r="C11" s="9">
        <v>5798</v>
      </c>
      <c r="D11" s="9">
        <v>6058</v>
      </c>
      <c r="E11" s="9">
        <v>7358</v>
      </c>
      <c r="F11" s="9">
        <f>ROUNDUP(Salary_table[[#This Row],[Semi skilled]],-2)+1000</f>
        <v>6800</v>
      </c>
      <c r="G11" s="9">
        <f>ROUNDUP(Salary_table[[#This Row],[Skilled]],-2)+1000</f>
        <v>7100</v>
      </c>
      <c r="H11" s="58">
        <f>ROUNDUP(Salary_table[[#This Row],[Highly skilled]],-2)+1000</f>
        <v>8400</v>
      </c>
      <c r="I11" s="101">
        <f>SUM(Salary_table[[#This Row],[Supervisor Cap]],Salary_table[[#This Row],[Driver Cap]],Salary_table[[#This Row],[Loader Cap]]*2)</f>
        <v>29100</v>
      </c>
      <c r="J11" s="101"/>
      <c r="K11" s="11" t="s">
        <v>439</v>
      </c>
    </row>
    <row r="12" spans="1:11" ht="14.4" x14ac:dyDescent="0.3">
      <c r="A12" s="57" t="s">
        <v>193</v>
      </c>
      <c r="B12" s="9" t="s">
        <v>379</v>
      </c>
      <c r="C12" s="9">
        <v>6465.88</v>
      </c>
      <c r="D12" s="9">
        <v>8523.2099999999991</v>
      </c>
      <c r="E12" s="9">
        <v>9845.7800000000007</v>
      </c>
      <c r="F12" s="9">
        <f>ROUNDUP(Salary_table[[#This Row],[Semi skilled]],-2)+1000</f>
        <v>7500</v>
      </c>
      <c r="G12" s="9">
        <f>ROUNDUP(Salary_table[[#This Row],[Skilled]],-2)+1000</f>
        <v>9600</v>
      </c>
      <c r="H12" s="58">
        <f>ROUNDUP(Salary_table[[#This Row],[Highly skilled]],-2)+1000</f>
        <v>10900</v>
      </c>
      <c r="I12" s="101">
        <f>SUM(Salary_table[[#This Row],[Supervisor Cap]],Salary_table[[#This Row],[Driver Cap]],Salary_table[[#This Row],[Loader Cap]]*2)</f>
        <v>35500</v>
      </c>
      <c r="J12" s="101"/>
      <c r="K12" s="11" t="s">
        <v>437</v>
      </c>
    </row>
    <row r="13" spans="1:11" ht="14.4" x14ac:dyDescent="0.3">
      <c r="A13" s="57" t="s">
        <v>179</v>
      </c>
      <c r="B13" s="9" t="s">
        <v>380</v>
      </c>
      <c r="C13" s="9">
        <v>7030</v>
      </c>
      <c r="D13" s="9">
        <v>7038</v>
      </c>
      <c r="E13" s="9">
        <v>7109</v>
      </c>
      <c r="F13" s="9">
        <f>ROUNDUP(Salary_table[[#This Row],[Semi skilled]],-2)+1000</f>
        <v>8100</v>
      </c>
      <c r="G13" s="9">
        <f>ROUNDUP(Salary_table[[#This Row],[Skilled]],-2)+1000</f>
        <v>8100</v>
      </c>
      <c r="H13" s="58">
        <f>ROUNDUP(Salary_table[[#This Row],[Highly skilled]],-2)+1000</f>
        <v>8200</v>
      </c>
      <c r="I13" s="101">
        <f>SUM(Salary_table[[#This Row],[Supervisor Cap]],Salary_table[[#This Row],[Driver Cap]],Salary_table[[#This Row],[Loader Cap]]*2)</f>
        <v>32500</v>
      </c>
      <c r="J13" s="101"/>
      <c r="K13" s="11" t="s">
        <v>438</v>
      </c>
    </row>
    <row r="14" spans="1:11" ht="14.4" x14ac:dyDescent="0.3">
      <c r="A14" s="57" t="s">
        <v>195</v>
      </c>
      <c r="B14" s="9" t="s">
        <v>381</v>
      </c>
      <c r="C14" s="9">
        <v>8374.77</v>
      </c>
      <c r="D14" s="9">
        <v>9381.06</v>
      </c>
      <c r="E14" s="9">
        <v>14000</v>
      </c>
      <c r="F14" s="9">
        <f>ROUNDUP(Salary_table[[#This Row],[Semi skilled]],-2)+1000</f>
        <v>9400</v>
      </c>
      <c r="G14" s="9">
        <f>ROUNDUP(Salary_table[[#This Row],[Skilled]],-2)+1000</f>
        <v>10400</v>
      </c>
      <c r="H14" s="58">
        <f>ROUNDUP(Salary_table[[#This Row],[Highly skilled]],-2)+1000</f>
        <v>15000</v>
      </c>
      <c r="I14" s="101">
        <f>SUM(Salary_table[[#This Row],[Supervisor Cap]],Salary_table[[#This Row],[Driver Cap]],Salary_table[[#This Row],[Loader Cap]]*2)</f>
        <v>44200</v>
      </c>
      <c r="J14" s="101"/>
      <c r="K14" s="11" t="s">
        <v>440</v>
      </c>
    </row>
    <row r="15" spans="1:11" ht="14.4" x14ac:dyDescent="0.3">
      <c r="A15" s="57" t="s">
        <v>196</v>
      </c>
      <c r="B15" s="9" t="s">
        <v>382</v>
      </c>
      <c r="C15" s="9">
        <v>8527</v>
      </c>
      <c r="D15" s="9">
        <v>9627</v>
      </c>
      <c r="E15" s="9">
        <v>14000</v>
      </c>
      <c r="F15" s="9">
        <f>ROUNDUP(Salary_table[[#This Row],[Semi skilled]],-2)+1000</f>
        <v>9600</v>
      </c>
      <c r="G15" s="9">
        <f>ROUNDUP(Salary_table[[#This Row],[Skilled]],-2)+1000</f>
        <v>10700</v>
      </c>
      <c r="H15" s="58">
        <f>ROUNDUP(Salary_table[[#This Row],[Highly skilled]],-2)+1000</f>
        <v>15000</v>
      </c>
      <c r="I15" s="101">
        <f>SUM(Salary_table[[#This Row],[Supervisor Cap]],Salary_table[[#This Row],[Driver Cap]],Salary_table[[#This Row],[Loader Cap]]*2)</f>
        <v>44900</v>
      </c>
      <c r="J15" s="101"/>
    </row>
    <row r="16" spans="1:11" ht="14.4" x14ac:dyDescent="0.3">
      <c r="A16" s="57" t="s">
        <v>129</v>
      </c>
      <c r="B16" s="9" t="s">
        <v>382</v>
      </c>
      <c r="C16" s="9">
        <v>8527</v>
      </c>
      <c r="D16" s="9">
        <v>9627</v>
      </c>
      <c r="E16" s="9">
        <v>14000</v>
      </c>
      <c r="F16" s="9">
        <f>ROUNDUP(Salary_table[[#This Row],[Semi skilled]],-2)+1000</f>
        <v>9600</v>
      </c>
      <c r="G16" s="9">
        <f>ROUNDUP(Salary_table[[#This Row],[Skilled]],-2)+1000</f>
        <v>10700</v>
      </c>
      <c r="H16" s="58">
        <f>ROUNDUP(Salary_table[[#This Row],[Highly skilled]],-2)+1000</f>
        <v>15000</v>
      </c>
      <c r="I16" s="101">
        <f>SUM(Salary_table[[#This Row],[Supervisor Cap]],Salary_table[[#This Row],[Driver Cap]],Salary_table[[#This Row],[Loader Cap]]*2)</f>
        <v>44900</v>
      </c>
      <c r="J16" s="101"/>
      <c r="K16" s="11" t="s">
        <v>441</v>
      </c>
    </row>
    <row r="17" spans="1:11" ht="14.4" x14ac:dyDescent="0.3">
      <c r="A17" s="57" t="s">
        <v>237</v>
      </c>
      <c r="B17" s="9" t="s">
        <v>381</v>
      </c>
      <c r="C17" s="9">
        <v>8374.77</v>
      </c>
      <c r="D17" s="9">
        <v>9381.06</v>
      </c>
      <c r="E17" s="9">
        <v>14000</v>
      </c>
      <c r="F17" s="9">
        <f>ROUNDUP(Salary_table[[#This Row],[Semi skilled]],-2)+1000</f>
        <v>9400</v>
      </c>
      <c r="G17" s="9">
        <f>ROUNDUP(Salary_table[[#This Row],[Skilled]],-2)+1000</f>
        <v>10400</v>
      </c>
      <c r="H17" s="58">
        <f>ROUNDUP(Salary_table[[#This Row],[Highly skilled]],-2)+1000</f>
        <v>15000</v>
      </c>
      <c r="I17" s="101">
        <f>SUM(Salary_table[[#This Row],[Supervisor Cap]],Salary_table[[#This Row],[Driver Cap]],Salary_table[[#This Row],[Loader Cap]]*2)</f>
        <v>44200</v>
      </c>
      <c r="J17" s="101"/>
      <c r="K17" s="11" t="s">
        <v>442</v>
      </c>
    </row>
    <row r="18" spans="1:11" ht="14.4" x14ac:dyDescent="0.3">
      <c r="A18" s="57" t="s">
        <v>276</v>
      </c>
      <c r="B18" s="9" t="s">
        <v>382</v>
      </c>
      <c r="C18" s="9">
        <v>8527</v>
      </c>
      <c r="D18" s="9">
        <v>9627</v>
      </c>
      <c r="E18" s="9">
        <v>14000</v>
      </c>
      <c r="F18" s="9">
        <f>ROUNDUP(Salary_table[[#This Row],[Semi skilled]],-2)+1000</f>
        <v>9600</v>
      </c>
      <c r="G18" s="9">
        <f>ROUNDUP(Salary_table[[#This Row],[Skilled]],-2)+1000</f>
        <v>10700</v>
      </c>
      <c r="H18" s="58">
        <f>ROUNDUP(Salary_table[[#This Row],[Highly skilled]],-2)+1000</f>
        <v>15000</v>
      </c>
      <c r="I18" s="101">
        <f>SUM(Salary_table[[#This Row],[Supervisor Cap]],Salary_table[[#This Row],[Driver Cap]],Salary_table[[#This Row],[Loader Cap]]*2)</f>
        <v>44900</v>
      </c>
      <c r="J18" s="101"/>
      <c r="K18" s="11" t="s">
        <v>443</v>
      </c>
    </row>
    <row r="19" spans="1:11" ht="14.4" x14ac:dyDescent="0.3">
      <c r="A19" s="62" t="s">
        <v>283</v>
      </c>
      <c r="B19" s="63" t="s">
        <v>382</v>
      </c>
      <c r="C19" s="63">
        <v>8527</v>
      </c>
      <c r="D19" s="63">
        <v>9627</v>
      </c>
      <c r="E19" s="63">
        <v>14000</v>
      </c>
      <c r="F19" s="63">
        <f>ROUNDUP(Salary_table[[#This Row],[Semi skilled]],-2)+1000</f>
        <v>9600</v>
      </c>
      <c r="G19" s="63">
        <f>ROUNDUP(Salary_table[[#This Row],[Skilled]],-2)+1000</f>
        <v>10700</v>
      </c>
      <c r="H19" s="64">
        <f>ROUNDUP(Salary_table[[#This Row],[Highly skilled]],-2)+1000</f>
        <v>15000</v>
      </c>
      <c r="I19" s="101">
        <f>SUM(Salary_table[[#This Row],[Supervisor Cap]],Salary_table[[#This Row],[Driver Cap]],Salary_table[[#This Row],[Loader Cap]]*2)</f>
        <v>44900</v>
      </c>
      <c r="J19" s="101"/>
    </row>
    <row r="21" spans="1:11" ht="15.75" customHeight="1" x14ac:dyDescent="0.3"/>
    <row r="22" spans="1:11" ht="15.75" customHeight="1" x14ac:dyDescent="0.3"/>
    <row r="23" spans="1:11" ht="15.75" customHeight="1" x14ac:dyDescent="0.3">
      <c r="C23"/>
    </row>
    <row r="24" spans="1:11" ht="15.75" customHeight="1" x14ac:dyDescent="0.3">
      <c r="C24"/>
    </row>
    <row r="25" spans="1:11" ht="15.75" customHeight="1" x14ac:dyDescent="0.3">
      <c r="C25"/>
    </row>
    <row r="26" spans="1:11" ht="15.75" customHeight="1" x14ac:dyDescent="0.3">
      <c r="C26"/>
    </row>
    <row r="27" spans="1:11" ht="15.75" customHeight="1" x14ac:dyDescent="0.3">
      <c r="B27"/>
      <c r="C27"/>
    </row>
    <row r="28" spans="1:11" ht="15.75" customHeight="1" x14ac:dyDescent="0.3">
      <c r="B28"/>
      <c r="C28"/>
    </row>
    <row r="29" spans="1:11" ht="15.75" customHeight="1" x14ac:dyDescent="0.3">
      <c r="B29"/>
      <c r="C29"/>
    </row>
    <row r="30" spans="1:11" ht="15.75" customHeight="1" x14ac:dyDescent="0.3"/>
    <row r="31" spans="1:11" ht="15.75" customHeight="1" x14ac:dyDescent="0.3"/>
    <row r="32" spans="1:11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1000"/>
  <sheetViews>
    <sheetView zoomScale="98" zoomScaleNormal="100" workbookViewId="0">
      <selection activeCell="I4" sqref="I4"/>
    </sheetView>
  </sheetViews>
  <sheetFormatPr defaultColWidth="12.88671875" defaultRowHeight="15" customHeight="1" x14ac:dyDescent="0.3"/>
  <cols>
    <col min="1" max="1" width="22.6640625" customWidth="1"/>
    <col min="2" max="2" width="12.88671875" customWidth="1"/>
    <col min="3" max="3" width="29.33203125" customWidth="1"/>
    <col min="4" max="4" width="16.44140625" bestFit="1" customWidth="1"/>
    <col min="5" max="5" width="9.109375" customWidth="1"/>
    <col min="6" max="22" width="10.33203125" customWidth="1"/>
  </cols>
  <sheetData>
    <row r="1" spans="1:6" ht="14.4" x14ac:dyDescent="0.3">
      <c r="A1" s="60" t="s">
        <v>40</v>
      </c>
      <c r="B1" s="59" t="s">
        <v>383</v>
      </c>
      <c r="C1" s="60" t="s">
        <v>300</v>
      </c>
      <c r="D1" s="60" t="s">
        <v>420</v>
      </c>
      <c r="E1" s="61" t="s">
        <v>386</v>
      </c>
      <c r="F1" s="60" t="s">
        <v>460</v>
      </c>
    </row>
    <row r="2" spans="1:6" ht="14.4" x14ac:dyDescent="0.3">
      <c r="A2" s="102" t="str">
        <f>VLOOKUP(Capacity_and_Expenses[[#This Row],[Vehicles]],Vehicle_code_vs_name[],2,0)</f>
        <v>22 ft</v>
      </c>
      <c r="B2" s="65" t="s">
        <v>184</v>
      </c>
      <c r="C2" s="9">
        <v>6.8</v>
      </c>
      <c r="D2" s="9">
        <v>5000</v>
      </c>
      <c r="E2" s="58">
        <v>3000</v>
      </c>
      <c r="F2">
        <f>SUM(Capacity_and_Expenses[[#This Row],[Insurance and RTO (Fitness Etc)]],Capacity_and_Expenses[[#This Row],[Driver Expenses]])</f>
        <v>8000</v>
      </c>
    </row>
    <row r="3" spans="1:6" ht="14.4" x14ac:dyDescent="0.3">
      <c r="A3" s="57" t="str">
        <f>VLOOKUP(Capacity_and_Expenses[[#This Row],[Vehicles]],Vehicle_code_vs_name[],2,0)</f>
        <v>24 FT</v>
      </c>
      <c r="B3" s="65" t="s">
        <v>292</v>
      </c>
      <c r="C3" s="9">
        <v>7.5</v>
      </c>
      <c r="D3" s="9">
        <v>4000</v>
      </c>
      <c r="E3" s="58">
        <v>3000</v>
      </c>
      <c r="F3">
        <f>SUM(Capacity_and_Expenses[[#This Row],[Insurance and RTO (Fitness Etc)]],Capacity_and_Expenses[[#This Row],[Driver Expenses]])</f>
        <v>7000</v>
      </c>
    </row>
    <row r="4" spans="1:6" ht="14.4" x14ac:dyDescent="0.3">
      <c r="A4" s="57" t="str">
        <f>VLOOKUP(Capacity_and_Expenses[[#This Row],[Vehicles]],Vehicle_code_vs_name[],2,0)</f>
        <v>3wheeler</v>
      </c>
      <c r="B4" s="65" t="s">
        <v>227</v>
      </c>
      <c r="C4" s="9">
        <v>0.8</v>
      </c>
      <c r="D4" s="9">
        <v>2000</v>
      </c>
      <c r="E4" s="58">
        <v>2000</v>
      </c>
      <c r="F4">
        <f>SUM(Capacity_and_Expenses[[#This Row],[Insurance and RTO (Fitness Etc)]],Capacity_and_Expenses[[#This Row],[Driver Expenses]])</f>
        <v>4000</v>
      </c>
    </row>
    <row r="5" spans="1:6" ht="14.4" x14ac:dyDescent="0.3">
      <c r="A5" s="57" t="str">
        <f>VLOOKUP(Capacity_and_Expenses[[#This Row],[Vehicles]],Vehicle_code_vs_name[],2,0)</f>
        <v>AL Dost</v>
      </c>
      <c r="B5" s="65" t="s">
        <v>295</v>
      </c>
      <c r="C5" s="9">
        <v>1.25</v>
      </c>
      <c r="D5" s="9">
        <v>2000</v>
      </c>
      <c r="E5" s="58">
        <v>2500</v>
      </c>
      <c r="F5">
        <f>SUM(Capacity_and_Expenses[[#This Row],[Insurance and RTO (Fitness Etc)]],Capacity_and_Expenses[[#This Row],[Driver Expenses]])</f>
        <v>4500</v>
      </c>
    </row>
    <row r="6" spans="1:6" ht="14.4" x14ac:dyDescent="0.3">
      <c r="A6" s="57" t="str">
        <f>VLOOKUP(Capacity_and_Expenses[[#This Row],[Vehicles]],Vehicle_code_vs_name[],2,0)</f>
        <v>Cargo king</v>
      </c>
      <c r="B6" s="65" t="s">
        <v>15</v>
      </c>
      <c r="C6" s="9">
        <v>2.5</v>
      </c>
      <c r="D6" s="9">
        <v>4000</v>
      </c>
      <c r="E6" s="58">
        <v>3000</v>
      </c>
      <c r="F6">
        <f>SUM(Capacity_and_Expenses[[#This Row],[Insurance and RTO (Fitness Etc)]],Capacity_and_Expenses[[#This Row],[Driver Expenses]])</f>
        <v>7000</v>
      </c>
    </row>
    <row r="7" spans="1:6" ht="14.4" x14ac:dyDescent="0.3">
      <c r="A7" s="57" t="str">
        <f>VLOOKUP(Capacity_and_Expenses[[#This Row],[Vehicles]],Vehicle_code_vs_name[],2,0)</f>
        <v>Champion</v>
      </c>
      <c r="B7" s="65" t="s">
        <v>269</v>
      </c>
      <c r="C7" s="9">
        <v>0.75</v>
      </c>
      <c r="D7" s="9">
        <v>2000</v>
      </c>
      <c r="E7" s="58">
        <v>2000</v>
      </c>
      <c r="F7">
        <f>SUM(Capacity_and_Expenses[[#This Row],[Insurance and RTO (Fitness Etc)]],Capacity_and_Expenses[[#This Row],[Driver Expenses]])</f>
        <v>4000</v>
      </c>
    </row>
    <row r="8" spans="1:6" ht="14.4" x14ac:dyDescent="0.3">
      <c r="A8" s="57" t="str">
        <f>VLOOKUP(Capacity_and_Expenses[[#This Row],[Vehicles]],Vehicle_code_vs_name[],2,0)</f>
        <v>Eicher 14</v>
      </c>
      <c r="B8" s="65" t="s">
        <v>396</v>
      </c>
      <c r="C8" s="9">
        <v>2.5</v>
      </c>
      <c r="D8" s="9">
        <v>4000</v>
      </c>
      <c r="E8" s="58">
        <v>3000</v>
      </c>
      <c r="F8">
        <f>SUM(Capacity_and_Expenses[[#This Row],[Insurance and RTO (Fitness Etc)]],Capacity_and_Expenses[[#This Row],[Driver Expenses]])</f>
        <v>7000</v>
      </c>
    </row>
    <row r="9" spans="1:6" ht="14.4" x14ac:dyDescent="0.3">
      <c r="A9" s="57" t="str">
        <f>VLOOKUP(Capacity_and_Expenses[[#This Row],[Vehicles]],Vehicle_code_vs_name[],2,0)</f>
        <v>Eicher 17</v>
      </c>
      <c r="B9" s="65" t="s">
        <v>397</v>
      </c>
      <c r="C9" s="9">
        <v>4.5</v>
      </c>
      <c r="D9" s="9">
        <v>5000</v>
      </c>
      <c r="E9" s="58">
        <v>3000</v>
      </c>
      <c r="F9">
        <f>SUM(Capacity_and_Expenses[[#This Row],[Insurance and RTO (Fitness Etc)]],Capacity_and_Expenses[[#This Row],[Driver Expenses]])</f>
        <v>8000</v>
      </c>
    </row>
    <row r="10" spans="1:6" ht="14.4" x14ac:dyDescent="0.3">
      <c r="A10" s="57" t="str">
        <f>VLOOKUP(Capacity_and_Expenses[[#This Row],[Vehicles]],Vehicle_code_vs_name[],2,0)</f>
        <v>Eicher 19</v>
      </c>
      <c r="B10" s="65" t="s">
        <v>400</v>
      </c>
      <c r="C10" s="9">
        <v>6.5</v>
      </c>
      <c r="D10" s="9">
        <v>5000</v>
      </c>
      <c r="E10" s="58">
        <v>3000</v>
      </c>
      <c r="F10">
        <f>SUM(Capacity_and_Expenses[[#This Row],[Insurance and RTO (Fitness Etc)]],Capacity_and_Expenses[[#This Row],[Driver Expenses]])</f>
        <v>8000</v>
      </c>
    </row>
    <row r="11" spans="1:6" ht="14.4" x14ac:dyDescent="0.3">
      <c r="A11" s="57" t="str">
        <f>VLOOKUP(Capacity_and_Expenses[[#This Row],[Vehicles]],Vehicle_code_vs_name[],2,0)</f>
        <v>Eicher 20</v>
      </c>
      <c r="B11" s="65" t="s">
        <v>399</v>
      </c>
      <c r="C11" s="9">
        <v>6.5</v>
      </c>
      <c r="D11" s="9">
        <v>4500</v>
      </c>
      <c r="E11" s="58">
        <v>3000</v>
      </c>
      <c r="F11">
        <f>SUM(Capacity_and_Expenses[[#This Row],[Insurance and RTO (Fitness Etc)]],Capacity_and_Expenses[[#This Row],[Driver Expenses]])</f>
        <v>7500</v>
      </c>
    </row>
    <row r="12" spans="1:6" ht="14.4" x14ac:dyDescent="0.3">
      <c r="A12" s="57" t="str">
        <f>VLOOKUP(Capacity_and_Expenses[[#This Row],[Vehicles]],Vehicle_code_vs_name[],2,0)</f>
        <v>Eicher 32 ft</v>
      </c>
      <c r="B12" s="65" t="s">
        <v>402</v>
      </c>
      <c r="C12" s="9">
        <v>8</v>
      </c>
      <c r="D12" s="9">
        <v>6000</v>
      </c>
      <c r="E12" s="58">
        <v>3000</v>
      </c>
      <c r="F12">
        <f>SUM(Capacity_and_Expenses[[#This Row],[Insurance and RTO (Fitness Etc)]],Capacity_and_Expenses[[#This Row],[Driver Expenses]])</f>
        <v>9000</v>
      </c>
    </row>
    <row r="13" spans="1:6" ht="14.4" x14ac:dyDescent="0.3">
      <c r="A13" s="57" t="str">
        <f>VLOOKUP(Capacity_and_Expenses[[#This Row],[Vehicles]],Vehicle_code_vs_name[],2,0)</f>
        <v>Mahindra</v>
      </c>
      <c r="B13" s="65" t="s">
        <v>260</v>
      </c>
      <c r="C13" s="9">
        <v>1.5</v>
      </c>
      <c r="D13" s="9">
        <v>2000</v>
      </c>
      <c r="E13" s="58">
        <v>2000</v>
      </c>
      <c r="F13">
        <f>SUM(Capacity_and_Expenses[[#This Row],[Insurance and RTO (Fitness Etc)]],Capacity_and_Expenses[[#This Row],[Driver Expenses]])</f>
        <v>4000</v>
      </c>
    </row>
    <row r="14" spans="1:6" ht="14.4" x14ac:dyDescent="0.3">
      <c r="A14" s="57" t="str">
        <f>VLOOKUP(Capacity_and_Expenses[[#This Row],[Vehicles]],Vehicle_code_vs_name[],2,0)</f>
        <v>Pickup</v>
      </c>
      <c r="B14" s="65" t="s">
        <v>14</v>
      </c>
      <c r="C14" s="9">
        <v>1.5</v>
      </c>
      <c r="D14" s="9">
        <v>2100</v>
      </c>
      <c r="E14" s="58">
        <v>2000</v>
      </c>
      <c r="F14">
        <f>SUM(Capacity_and_Expenses[[#This Row],[Insurance and RTO (Fitness Etc)]],Capacity_and_Expenses[[#This Row],[Driver Expenses]])</f>
        <v>4100</v>
      </c>
    </row>
    <row r="15" spans="1:6" ht="14.4" x14ac:dyDescent="0.3">
      <c r="A15" s="57" t="str">
        <f>VLOOKUP(Capacity_and_Expenses[[#This Row],[Vehicles]],Vehicle_code_vs_name[],2,0)</f>
        <v>Super ace</v>
      </c>
      <c r="B15" s="65" t="s">
        <v>284</v>
      </c>
      <c r="C15" s="9">
        <v>1.2</v>
      </c>
      <c r="D15" s="9">
        <v>2000</v>
      </c>
      <c r="E15" s="58">
        <v>2500</v>
      </c>
      <c r="F15">
        <f>SUM(Capacity_and_Expenses[[#This Row],[Insurance and RTO (Fitness Etc)]],Capacity_and_Expenses[[#This Row],[Driver Expenses]])</f>
        <v>4500</v>
      </c>
    </row>
    <row r="16" spans="1:6" ht="14.4" x14ac:dyDescent="0.3">
      <c r="A16" s="57" t="str">
        <f>VLOOKUP(Capacity_and_Expenses[[#This Row],[Vehicles]],Vehicle_code_vs_name[],2,0)</f>
        <v>Tata 1109</v>
      </c>
      <c r="B16" s="65">
        <v>1109</v>
      </c>
      <c r="C16" s="9">
        <v>7.5</v>
      </c>
      <c r="D16" s="9">
        <v>6000</v>
      </c>
      <c r="E16" s="58">
        <v>3000</v>
      </c>
      <c r="F16">
        <f>SUM(Capacity_and_Expenses[[#This Row],[Insurance and RTO (Fitness Etc)]],Capacity_and_Expenses[[#This Row],[Driver Expenses]])</f>
        <v>9000</v>
      </c>
    </row>
    <row r="17" spans="1:6" ht="14.4" x14ac:dyDescent="0.3">
      <c r="A17" s="57" t="str">
        <f>VLOOKUP(Capacity_and_Expenses[[#This Row],[Vehicles]],Vehicle_code_vs_name[],2,0)</f>
        <v>Tata 407</v>
      </c>
      <c r="B17" s="65" t="s">
        <v>113</v>
      </c>
      <c r="C17" s="9">
        <v>3.5</v>
      </c>
      <c r="D17" s="9">
        <v>2500</v>
      </c>
      <c r="E17" s="58">
        <v>2500</v>
      </c>
      <c r="F17">
        <f>SUM(Capacity_and_Expenses[[#This Row],[Insurance and RTO (Fitness Etc)]],Capacity_and_Expenses[[#This Row],[Driver Expenses]])</f>
        <v>5000</v>
      </c>
    </row>
    <row r="18" spans="1:6" ht="14.4" x14ac:dyDescent="0.3">
      <c r="A18" s="57" t="str">
        <f>VLOOKUP(Capacity_and_Expenses[[#This Row],[Vehicles]],Vehicle_code_vs_name[],2,0)</f>
        <v>Tata 909</v>
      </c>
      <c r="B18" s="65">
        <v>909</v>
      </c>
      <c r="C18" s="9">
        <v>6.8</v>
      </c>
      <c r="D18" s="9">
        <v>5000</v>
      </c>
      <c r="E18" s="58">
        <v>3000</v>
      </c>
      <c r="F18">
        <f>SUM(Capacity_and_Expenses[[#This Row],[Insurance and RTO (Fitness Etc)]],Capacity_and_Expenses[[#This Row],[Driver Expenses]])</f>
        <v>8000</v>
      </c>
    </row>
    <row r="19" spans="1:6" ht="14.4" x14ac:dyDescent="0.3">
      <c r="A19" s="103" t="str">
        <f>VLOOKUP(Capacity_and_Expenses[[#This Row],[Vehicles]],Vehicle_code_vs_name[],2,0)</f>
        <v>Tata Ace</v>
      </c>
      <c r="B19" s="65" t="s">
        <v>12</v>
      </c>
      <c r="C19" s="9">
        <v>0.75</v>
      </c>
      <c r="D19" s="9">
        <v>1800</v>
      </c>
      <c r="E19" s="58">
        <v>2000</v>
      </c>
      <c r="F19">
        <f>SUM(Capacity_and_Expenses[[#This Row],[Insurance and RTO (Fitness Etc)]],Capacity_and_Expenses[[#This Row],[Driver Expenses]])</f>
        <v>3800</v>
      </c>
    </row>
    <row r="20" spans="1:6" ht="14.4" x14ac:dyDescent="0.3">
      <c r="A20" s="57" t="str">
        <f>VLOOKUP(Capacity_and_Expenses[[#This Row],[Vehicles]],Vehicle_code_vs_name[],2,0)</f>
        <v>Taurus</v>
      </c>
      <c r="B20" s="65" t="s">
        <v>298</v>
      </c>
      <c r="C20" s="9">
        <v>16</v>
      </c>
      <c r="D20" s="9">
        <v>6000</v>
      </c>
      <c r="E20" s="58">
        <v>3000</v>
      </c>
      <c r="F20">
        <f>SUM(Capacity_and_Expenses[[#This Row],[Insurance and RTO (Fitness Etc)]],Capacity_and_Expenses[[#This Row],[Driver Expenses]])</f>
        <v>9000</v>
      </c>
    </row>
    <row r="21" spans="1:6" ht="15.75" customHeight="1" x14ac:dyDescent="0.3">
      <c r="A21" s="62" t="str">
        <f>VLOOKUP(Capacity_and_Expenses[[#This Row],[Vehicles]],Vehicle_code_vs_name[],2,0)</f>
        <v>Trump Forec</v>
      </c>
      <c r="B21" s="66" t="s">
        <v>277</v>
      </c>
      <c r="C21" s="63">
        <v>1</v>
      </c>
      <c r="D21" s="63">
        <v>2000</v>
      </c>
      <c r="E21" s="64">
        <v>2000</v>
      </c>
      <c r="F21">
        <f>SUM(Capacity_and_Expenses[[#This Row],[Insurance and RTO (Fitness Etc)]],Capacity_and_Expenses[[#This Row],[Driver Expenses]])</f>
        <v>4000</v>
      </c>
    </row>
    <row r="22" spans="1:6" ht="15.75" customHeight="1" x14ac:dyDescent="0.3">
      <c r="A22" s="11"/>
      <c r="B22" s="11"/>
      <c r="C22" s="11"/>
      <c r="D22" s="11"/>
    </row>
    <row r="23" spans="1:6" ht="15.75" customHeight="1" x14ac:dyDescent="0.3">
      <c r="A23" s="14" t="s">
        <v>418</v>
      </c>
      <c r="B23" s="17">
        <v>0.3</v>
      </c>
      <c r="C23" s="11"/>
      <c r="D23" s="11"/>
    </row>
    <row r="24" spans="1:6" ht="15.75" customHeight="1" x14ac:dyDescent="0.3">
      <c r="A24" s="14" t="s">
        <v>419</v>
      </c>
      <c r="B24" s="17">
        <v>1</v>
      </c>
      <c r="C24" s="11"/>
      <c r="D24" s="11"/>
    </row>
    <row r="25" spans="1:6" ht="15.75" customHeight="1" x14ac:dyDescent="0.3"/>
    <row r="26" spans="1:6" ht="15.75" customHeight="1" x14ac:dyDescent="0.3"/>
    <row r="27" spans="1:6" ht="15.75" customHeight="1" x14ac:dyDescent="0.3"/>
    <row r="28" spans="1:6" ht="15.75" customHeight="1" x14ac:dyDescent="0.3"/>
    <row r="29" spans="1:6" ht="15.75" customHeight="1" x14ac:dyDescent="0.3"/>
    <row r="30" spans="1:6" ht="15.75" customHeight="1" x14ac:dyDescent="0.3"/>
    <row r="31" spans="1:6" ht="15.75" customHeight="1" x14ac:dyDescent="0.3"/>
    <row r="32" spans="1:6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1002"/>
  <sheetViews>
    <sheetView workbookViewId="0"/>
  </sheetViews>
  <sheetFormatPr defaultColWidth="12.88671875" defaultRowHeight="15" customHeight="1" x14ac:dyDescent="0.3"/>
  <cols>
    <col min="1" max="1" width="18.33203125" style="11" customWidth="1"/>
    <col min="2" max="2" width="19.21875" style="11" customWidth="1"/>
    <col min="3" max="3" width="17.21875" style="11" customWidth="1"/>
    <col min="4" max="4" width="22.88671875" style="11" customWidth="1"/>
    <col min="5" max="5" width="15.77734375" style="11" customWidth="1"/>
    <col min="6" max="6" width="18.6640625" style="11" customWidth="1"/>
    <col min="7" max="9" width="19.6640625" style="11" customWidth="1"/>
    <col min="10" max="10" width="13.88671875" style="11" customWidth="1"/>
    <col min="11" max="11" width="20.33203125" style="11" customWidth="1"/>
    <col min="12" max="12" width="13.88671875" style="11" customWidth="1"/>
    <col min="13" max="13" width="20.33203125" style="11" customWidth="1"/>
    <col min="14" max="26" width="9.109375" style="11" customWidth="1"/>
    <col min="27" max="16384" width="12.88671875" style="11"/>
  </cols>
  <sheetData>
    <row r="1" spans="1:10" ht="15" customHeight="1" x14ac:dyDescent="0.3">
      <c r="E1" s="11" t="s">
        <v>421</v>
      </c>
      <c r="F1" s="11">
        <v>3</v>
      </c>
      <c r="G1" s="11">
        <v>4</v>
      </c>
      <c r="H1" s="11">
        <v>5</v>
      </c>
      <c r="I1" s="11">
        <v>8</v>
      </c>
    </row>
    <row r="2" spans="1:10" ht="15" customHeight="1" x14ac:dyDescent="0.3">
      <c r="E2" s="11" t="s">
        <v>422</v>
      </c>
      <c r="F2" s="11">
        <f>F1*12</f>
        <v>36</v>
      </c>
      <c r="G2" s="11">
        <f t="shared" ref="G2:H2" si="0">G1*12</f>
        <v>48</v>
      </c>
      <c r="H2" s="11">
        <f t="shared" si="0"/>
        <v>60</v>
      </c>
      <c r="I2" s="11">
        <f>I1*12</f>
        <v>96</v>
      </c>
    </row>
    <row r="3" spans="1:10" ht="14.4" x14ac:dyDescent="0.3">
      <c r="A3" s="68" t="s">
        <v>462</v>
      </c>
      <c r="B3" s="59" t="s">
        <v>383</v>
      </c>
      <c r="C3" s="60" t="s">
        <v>447</v>
      </c>
      <c r="D3" s="60" t="s">
        <v>384</v>
      </c>
      <c r="E3" s="60" t="s">
        <v>444</v>
      </c>
      <c r="F3" s="60" t="s">
        <v>385</v>
      </c>
      <c r="G3" s="67" t="s">
        <v>152</v>
      </c>
      <c r="H3" s="67" t="s">
        <v>133</v>
      </c>
      <c r="I3" s="67" t="s">
        <v>17</v>
      </c>
      <c r="J3" s="67" t="s">
        <v>168</v>
      </c>
    </row>
    <row r="4" spans="1:10" ht="14.4" x14ac:dyDescent="0.3">
      <c r="A4" s="104" t="str">
        <f>VLOOKUP(B4,Vehicle_code_vs_name[],2,0)</f>
        <v>22 ft</v>
      </c>
      <c r="B4" s="65" t="s">
        <v>184</v>
      </c>
      <c r="C4" s="10">
        <v>1400000</v>
      </c>
      <c r="D4" s="52">
        <v>0.2</v>
      </c>
      <c r="E4" s="10">
        <f>EMI_table[[#This Row],[Ex-Showroom Price]]-(EMI_table[[#This Row],[Downpayment %]]*EMI_table[[#This Row],[Ex-Showroom Price]])</f>
        <v>1120000</v>
      </c>
      <c r="F4" s="53">
        <v>0.105</v>
      </c>
      <c r="G4" s="10">
        <f>(EMI_table[[#This Row],[Balance]]*(EMI_table[[#This Row],[Rate of Interest]]/12)*(POWER(1+(EMI_table[[#This Row],[Rate of Interest]]/12),F$2)))/((POWER(1+(EMI_table[[#This Row],[Rate of Interest]]/12),F$2))-1)</f>
        <v>36402.736725249059</v>
      </c>
      <c r="H4" s="10">
        <f>(EMI_table[[#This Row],[Balance]]*(EMI_table[[#This Row],[Rate of Interest]]/12)*(POWER(1+(EMI_table[[#This Row],[Rate of Interest]]/12),G$2)))/((POWER(1+(EMI_table[[#This Row],[Rate of Interest]]/12),G$2))-1)</f>
        <v>28675.785322132302</v>
      </c>
      <c r="I4" s="10">
        <f>(EMI_table[[#This Row],[Balance]]*(EMI_table[[#This Row],[Rate of Interest]]/12)*(POWER(1+(EMI_table[[#This Row],[Rate of Interest]]/12),H$2)))/((POWER(1+(EMI_table[[#This Row],[Rate of Interest]]/12),H$2))-1)</f>
        <v>24073.168423491388</v>
      </c>
      <c r="J4" s="10">
        <f>(EMI_table[[#This Row],[Balance]]*(EMI_table[[#This Row],[Rate of Interest]]/12)*(POWER(1+(EMI_table[[#This Row],[Rate of Interest]]/12),I$2)))/((POWER(1+(EMI_table[[#This Row],[Rate of Interest]]/12),I$2))-1)</f>
        <v>17292.818148798615</v>
      </c>
    </row>
    <row r="5" spans="1:10" ht="14.4" x14ac:dyDescent="0.3">
      <c r="A5" s="87" t="str">
        <f>VLOOKUP(B5,Vehicle_code_vs_name[],2,0)</f>
        <v>24 FT</v>
      </c>
      <c r="B5" s="65" t="s">
        <v>292</v>
      </c>
      <c r="C5" s="10">
        <v>1200000</v>
      </c>
      <c r="D5" s="52">
        <v>0.2</v>
      </c>
      <c r="E5" s="10">
        <f>EMI_table[[#This Row],[Ex-Showroom Price]]-(EMI_table[[#This Row],[Downpayment %]]*EMI_table[[#This Row],[Ex-Showroom Price]])</f>
        <v>960000</v>
      </c>
      <c r="F5" s="53">
        <v>0.105</v>
      </c>
      <c r="G5" s="10">
        <f>(EMI_table[[#This Row],[Balance]]*(EMI_table[[#This Row],[Rate of Interest]]/12)*(POWER(1+(EMI_table[[#This Row],[Rate of Interest]]/12),F$2)))/((POWER(1+(EMI_table[[#This Row],[Rate of Interest]]/12),F$2))-1)</f>
        <v>31202.345764499194</v>
      </c>
      <c r="H5" s="10">
        <f>(EMI_table[[#This Row],[Balance]]*(EMI_table[[#This Row],[Rate of Interest]]/12)*(POWER(1+(EMI_table[[#This Row],[Rate of Interest]]/12),G$2)))/((POWER(1+(EMI_table[[#This Row],[Rate of Interest]]/12),G$2))-1)</f>
        <v>24579.244561827694</v>
      </c>
      <c r="I5" s="10">
        <f>(EMI_table[[#This Row],[Balance]]*(EMI_table[[#This Row],[Rate of Interest]]/12)*(POWER(1+(EMI_table[[#This Row],[Rate of Interest]]/12),H$2)))/((POWER(1+(EMI_table[[#This Row],[Rate of Interest]]/12),H$2))-1)</f>
        <v>20634.144362992622</v>
      </c>
      <c r="J5" s="81">
        <f>(EMI_table[[#This Row],[Balance]]*(EMI_table[[#This Row],[Rate of Interest]]/12)*(POWER(1+(EMI_table[[#This Row],[Rate of Interest]]/12),I$2)))/((POWER(1+(EMI_table[[#This Row],[Rate of Interest]]/12),I$2))-1)</f>
        <v>14822.415556113101</v>
      </c>
    </row>
    <row r="6" spans="1:10" ht="14.4" x14ac:dyDescent="0.3">
      <c r="A6" s="87" t="str">
        <f>VLOOKUP(B6,Vehicle_code_vs_name[],2,0)</f>
        <v>3wheeler</v>
      </c>
      <c r="B6" s="65" t="s">
        <v>227</v>
      </c>
      <c r="C6" s="10">
        <v>250000</v>
      </c>
      <c r="D6" s="52">
        <v>0.2</v>
      </c>
      <c r="E6" s="10">
        <f>EMI_table[[#This Row],[Ex-Showroom Price]]-(EMI_table[[#This Row],[Downpayment %]]*EMI_table[[#This Row],[Ex-Showroom Price]])</f>
        <v>200000</v>
      </c>
      <c r="F6" s="53">
        <v>0.105</v>
      </c>
      <c r="G6" s="10">
        <f>(EMI_table[[#This Row],[Balance]]*(EMI_table[[#This Row],[Rate of Interest]]/12)*(POWER(1+(EMI_table[[#This Row],[Rate of Interest]]/12),F$2)))/((POWER(1+(EMI_table[[#This Row],[Rate of Interest]]/12),F$2))-1)</f>
        <v>6500.4887009373315</v>
      </c>
      <c r="H6" s="10">
        <f>(EMI_table[[#This Row],[Balance]]*(EMI_table[[#This Row],[Rate of Interest]]/12)*(POWER(1+(EMI_table[[#This Row],[Rate of Interest]]/12),G$2)))/((POWER(1+(EMI_table[[#This Row],[Rate of Interest]]/12),G$2))-1)</f>
        <v>5120.6759503807689</v>
      </c>
      <c r="I6" s="10">
        <f>(EMI_table[[#This Row],[Balance]]*(EMI_table[[#This Row],[Rate of Interest]]/12)*(POWER(1+(EMI_table[[#This Row],[Rate of Interest]]/12),H$2)))/((POWER(1+(EMI_table[[#This Row],[Rate of Interest]]/12),H$2))-1)</f>
        <v>4298.7800756234619</v>
      </c>
      <c r="J6" s="81">
        <f>(EMI_table[[#This Row],[Balance]]*(EMI_table[[#This Row],[Rate of Interest]]/12)*(POWER(1+(EMI_table[[#This Row],[Rate of Interest]]/12),I$2)))/((POWER(1+(EMI_table[[#This Row],[Rate of Interest]]/12),I$2))-1)</f>
        <v>3088.0032408568954</v>
      </c>
    </row>
    <row r="7" spans="1:10" ht="14.4" x14ac:dyDescent="0.3">
      <c r="A7" s="87" t="str">
        <f>VLOOKUP(B7,Vehicle_code_vs_name[],2,0)</f>
        <v>AL Dost</v>
      </c>
      <c r="B7" s="65" t="s">
        <v>295</v>
      </c>
      <c r="C7" s="10">
        <v>500000</v>
      </c>
      <c r="D7" s="52">
        <v>0.2</v>
      </c>
      <c r="E7" s="10">
        <f>EMI_table[[#This Row],[Ex-Showroom Price]]-(EMI_table[[#This Row],[Downpayment %]]*EMI_table[[#This Row],[Ex-Showroom Price]])</f>
        <v>400000</v>
      </c>
      <c r="F7" s="53">
        <v>0.105</v>
      </c>
      <c r="G7" s="10">
        <f>(EMI_table[[#This Row],[Balance]]*(EMI_table[[#This Row],[Rate of Interest]]/12)*(POWER(1+(EMI_table[[#This Row],[Rate of Interest]]/12),F$2)))/((POWER(1+(EMI_table[[#This Row],[Rate of Interest]]/12),F$2))-1)</f>
        <v>13000.977401874663</v>
      </c>
      <c r="H7" s="10">
        <f>(EMI_table[[#This Row],[Balance]]*(EMI_table[[#This Row],[Rate of Interest]]/12)*(POWER(1+(EMI_table[[#This Row],[Rate of Interest]]/12),G$2)))/((POWER(1+(EMI_table[[#This Row],[Rate of Interest]]/12),G$2))-1)</f>
        <v>10241.351900761538</v>
      </c>
      <c r="I7" s="10">
        <f>(EMI_table[[#This Row],[Balance]]*(EMI_table[[#This Row],[Rate of Interest]]/12)*(POWER(1+(EMI_table[[#This Row],[Rate of Interest]]/12),H$2)))/((POWER(1+(EMI_table[[#This Row],[Rate of Interest]]/12),H$2))-1)</f>
        <v>8597.5601512469239</v>
      </c>
      <c r="J7" s="81">
        <f>(EMI_table[[#This Row],[Balance]]*(EMI_table[[#This Row],[Rate of Interest]]/12)*(POWER(1+(EMI_table[[#This Row],[Rate of Interest]]/12),I$2)))/((POWER(1+(EMI_table[[#This Row],[Rate of Interest]]/12),I$2))-1)</f>
        <v>6176.0064817137909</v>
      </c>
    </row>
    <row r="8" spans="1:10" ht="14.4" x14ac:dyDescent="0.3">
      <c r="A8" s="87" t="str">
        <f>VLOOKUP(B8,Vehicle_code_vs_name[],2,0)</f>
        <v>Cargo king</v>
      </c>
      <c r="B8" s="65" t="s">
        <v>15</v>
      </c>
      <c r="C8" s="10">
        <v>700000</v>
      </c>
      <c r="D8" s="52">
        <v>0.2</v>
      </c>
      <c r="E8" s="10">
        <f>EMI_table[[#This Row],[Ex-Showroom Price]]-(EMI_table[[#This Row],[Downpayment %]]*EMI_table[[#This Row],[Ex-Showroom Price]])</f>
        <v>560000</v>
      </c>
      <c r="F8" s="53">
        <v>0.105</v>
      </c>
      <c r="G8" s="10">
        <f>(EMI_table[[#This Row],[Balance]]*(EMI_table[[#This Row],[Rate of Interest]]/12)*(POWER(1+(EMI_table[[#This Row],[Rate of Interest]]/12),F$2)))/((POWER(1+(EMI_table[[#This Row],[Rate of Interest]]/12),F$2))-1)</f>
        <v>18201.368362624529</v>
      </c>
      <c r="H8" s="10">
        <f>(EMI_table[[#This Row],[Balance]]*(EMI_table[[#This Row],[Rate of Interest]]/12)*(POWER(1+(EMI_table[[#This Row],[Rate of Interest]]/12),G$2)))/((POWER(1+(EMI_table[[#This Row],[Rate of Interest]]/12),G$2))-1)</f>
        <v>14337.892661066151</v>
      </c>
      <c r="I8" s="10">
        <f>(EMI_table[[#This Row],[Balance]]*(EMI_table[[#This Row],[Rate of Interest]]/12)*(POWER(1+(EMI_table[[#This Row],[Rate of Interest]]/12),H$2)))/((POWER(1+(EMI_table[[#This Row],[Rate of Interest]]/12),H$2))-1)</f>
        <v>12036.584211745694</v>
      </c>
      <c r="J8" s="81">
        <f>(EMI_table[[#This Row],[Balance]]*(EMI_table[[#This Row],[Rate of Interest]]/12)*(POWER(1+(EMI_table[[#This Row],[Rate of Interest]]/12),I$2)))/((POWER(1+(EMI_table[[#This Row],[Rate of Interest]]/12),I$2))-1)</f>
        <v>8646.4090743993074</v>
      </c>
    </row>
    <row r="9" spans="1:10" ht="14.4" x14ac:dyDescent="0.3">
      <c r="A9" s="87" t="str">
        <f>VLOOKUP(B9,Vehicle_code_vs_name[],2,0)</f>
        <v>Champion</v>
      </c>
      <c r="B9" s="65" t="s">
        <v>269</v>
      </c>
      <c r="C9" s="10">
        <v>300000</v>
      </c>
      <c r="D9" s="52">
        <v>0.2</v>
      </c>
      <c r="E9" s="10">
        <f>EMI_table[[#This Row],[Ex-Showroom Price]]-(EMI_table[[#This Row],[Downpayment %]]*EMI_table[[#This Row],[Ex-Showroom Price]])</f>
        <v>240000</v>
      </c>
      <c r="F9" s="53">
        <v>0.105</v>
      </c>
      <c r="G9" s="10">
        <f>(EMI_table[[#This Row],[Balance]]*(EMI_table[[#This Row],[Rate of Interest]]/12)*(POWER(1+(EMI_table[[#This Row],[Rate of Interest]]/12),F$2)))/((POWER(1+(EMI_table[[#This Row],[Rate of Interest]]/12),F$2))-1)</f>
        <v>7800.5864411247985</v>
      </c>
      <c r="H9" s="10">
        <f>(EMI_table[[#This Row],[Balance]]*(EMI_table[[#This Row],[Rate of Interest]]/12)*(POWER(1+(EMI_table[[#This Row],[Rate of Interest]]/12),G$2)))/((POWER(1+(EMI_table[[#This Row],[Rate of Interest]]/12),G$2))-1)</f>
        <v>6144.8111404569236</v>
      </c>
      <c r="I9" s="10">
        <f>(EMI_table[[#This Row],[Balance]]*(EMI_table[[#This Row],[Rate of Interest]]/12)*(POWER(1+(EMI_table[[#This Row],[Rate of Interest]]/12),H$2)))/((POWER(1+(EMI_table[[#This Row],[Rate of Interest]]/12),H$2))-1)</f>
        <v>5158.5360907481554</v>
      </c>
      <c r="J9" s="81">
        <f>(EMI_table[[#This Row],[Balance]]*(EMI_table[[#This Row],[Rate of Interest]]/12)*(POWER(1+(EMI_table[[#This Row],[Rate of Interest]]/12),I$2)))/((POWER(1+(EMI_table[[#This Row],[Rate of Interest]]/12),I$2))-1)</f>
        <v>3705.6038890282753</v>
      </c>
    </row>
    <row r="10" spans="1:10" ht="14.4" x14ac:dyDescent="0.3">
      <c r="A10" s="87" t="str">
        <f>VLOOKUP(B10,Vehicle_code_vs_name[],2,0)</f>
        <v>Eicher 14</v>
      </c>
      <c r="B10" s="65" t="s">
        <v>396</v>
      </c>
      <c r="C10" s="10">
        <v>750000</v>
      </c>
      <c r="D10" s="52">
        <v>0.2</v>
      </c>
      <c r="E10" s="10">
        <f>EMI_table[[#This Row],[Ex-Showroom Price]]-(EMI_table[[#This Row],[Downpayment %]]*EMI_table[[#This Row],[Ex-Showroom Price]])</f>
        <v>600000</v>
      </c>
      <c r="F10" s="53">
        <v>0.105</v>
      </c>
      <c r="G10" s="10">
        <f>(EMI_table[[#This Row],[Balance]]*(EMI_table[[#This Row],[Rate of Interest]]/12)*(POWER(1+(EMI_table[[#This Row],[Rate of Interest]]/12),F$2)))/((POWER(1+(EMI_table[[#This Row],[Rate of Interest]]/12),F$2))-1)</f>
        <v>19501.466102811992</v>
      </c>
      <c r="H10" s="10">
        <f>(EMI_table[[#This Row],[Balance]]*(EMI_table[[#This Row],[Rate of Interest]]/12)*(POWER(1+(EMI_table[[#This Row],[Rate of Interest]]/12),G$2)))/((POWER(1+(EMI_table[[#This Row],[Rate of Interest]]/12),G$2))-1)</f>
        <v>15362.027851142304</v>
      </c>
      <c r="I10" s="10">
        <f>(EMI_table[[#This Row],[Balance]]*(EMI_table[[#This Row],[Rate of Interest]]/12)*(POWER(1+(EMI_table[[#This Row],[Rate of Interest]]/12),H$2)))/((POWER(1+(EMI_table[[#This Row],[Rate of Interest]]/12),H$2))-1)</f>
        <v>12896.340226870387</v>
      </c>
      <c r="J10" s="81">
        <f>(EMI_table[[#This Row],[Balance]]*(EMI_table[[#This Row],[Rate of Interest]]/12)*(POWER(1+(EMI_table[[#This Row],[Rate of Interest]]/12),I$2)))/((POWER(1+(EMI_table[[#This Row],[Rate of Interest]]/12),I$2))-1)</f>
        <v>9264.0097225706868</v>
      </c>
    </row>
    <row r="11" spans="1:10" ht="14.4" x14ac:dyDescent="0.3">
      <c r="A11" s="87" t="str">
        <f>VLOOKUP(B11,Vehicle_code_vs_name[],2,0)</f>
        <v>Eicher 17</v>
      </c>
      <c r="B11" s="65" t="s">
        <v>397</v>
      </c>
      <c r="C11" s="10">
        <v>1150000</v>
      </c>
      <c r="D11" s="52">
        <v>0.2</v>
      </c>
      <c r="E11" s="10">
        <f>EMI_table[[#This Row],[Ex-Showroom Price]]-(EMI_table[[#This Row],[Downpayment %]]*EMI_table[[#This Row],[Ex-Showroom Price]])</f>
        <v>920000</v>
      </c>
      <c r="F11" s="53">
        <v>0.105</v>
      </c>
      <c r="G11" s="10">
        <f>(EMI_table[[#This Row],[Balance]]*(EMI_table[[#This Row],[Rate of Interest]]/12)*(POWER(1+(EMI_table[[#This Row],[Rate of Interest]]/12),F$2)))/((POWER(1+(EMI_table[[#This Row],[Rate of Interest]]/12),F$2))-1)</f>
        <v>29902.248024311724</v>
      </c>
      <c r="H11" s="10">
        <f>(EMI_table[[#This Row],[Balance]]*(EMI_table[[#This Row],[Rate of Interest]]/12)*(POWER(1+(EMI_table[[#This Row],[Rate of Interest]]/12),G$2)))/((POWER(1+(EMI_table[[#This Row],[Rate of Interest]]/12),G$2))-1)</f>
        <v>23555.109371751536</v>
      </c>
      <c r="I11" s="10">
        <f>(EMI_table[[#This Row],[Balance]]*(EMI_table[[#This Row],[Rate of Interest]]/12)*(POWER(1+(EMI_table[[#This Row],[Rate of Interest]]/12),H$2)))/((POWER(1+(EMI_table[[#This Row],[Rate of Interest]]/12),H$2))-1)</f>
        <v>19774.388347867927</v>
      </c>
      <c r="J11" s="81">
        <f>(EMI_table[[#This Row],[Balance]]*(EMI_table[[#This Row],[Rate of Interest]]/12)*(POWER(1+(EMI_table[[#This Row],[Rate of Interest]]/12),I$2)))/((POWER(1+(EMI_table[[#This Row],[Rate of Interest]]/12),I$2))-1)</f>
        <v>14204.814907941718</v>
      </c>
    </row>
    <row r="12" spans="1:10" ht="14.4" x14ac:dyDescent="0.3">
      <c r="A12" s="87" t="str">
        <f>VLOOKUP(B12,Vehicle_code_vs_name[],2,0)</f>
        <v>Eicher 19</v>
      </c>
      <c r="B12" s="65" t="s">
        <v>400</v>
      </c>
      <c r="C12" s="10">
        <v>1150000</v>
      </c>
      <c r="D12" s="52">
        <v>0.2</v>
      </c>
      <c r="E12" s="10">
        <f>EMI_table[[#This Row],[Ex-Showroom Price]]-(EMI_table[[#This Row],[Downpayment %]]*EMI_table[[#This Row],[Ex-Showroom Price]])</f>
        <v>920000</v>
      </c>
      <c r="F12" s="53">
        <v>0.105</v>
      </c>
      <c r="G12" s="10">
        <f>(EMI_table[[#This Row],[Balance]]*(EMI_table[[#This Row],[Rate of Interest]]/12)*(POWER(1+(EMI_table[[#This Row],[Rate of Interest]]/12),F$2)))/((POWER(1+(EMI_table[[#This Row],[Rate of Interest]]/12),F$2))-1)</f>
        <v>29902.248024311724</v>
      </c>
      <c r="H12" s="10">
        <f>(EMI_table[[#This Row],[Balance]]*(EMI_table[[#This Row],[Rate of Interest]]/12)*(POWER(1+(EMI_table[[#This Row],[Rate of Interest]]/12),G$2)))/((POWER(1+(EMI_table[[#This Row],[Rate of Interest]]/12),G$2))-1)</f>
        <v>23555.109371751536</v>
      </c>
      <c r="I12" s="10">
        <f>(EMI_table[[#This Row],[Balance]]*(EMI_table[[#This Row],[Rate of Interest]]/12)*(POWER(1+(EMI_table[[#This Row],[Rate of Interest]]/12),H$2)))/((POWER(1+(EMI_table[[#This Row],[Rate of Interest]]/12),H$2))-1)</f>
        <v>19774.388347867927</v>
      </c>
      <c r="J12" s="81">
        <f>(EMI_table[[#This Row],[Balance]]*(EMI_table[[#This Row],[Rate of Interest]]/12)*(POWER(1+(EMI_table[[#This Row],[Rate of Interest]]/12),I$2)))/((POWER(1+(EMI_table[[#This Row],[Rate of Interest]]/12),I$2))-1)</f>
        <v>14204.814907941718</v>
      </c>
    </row>
    <row r="13" spans="1:10" ht="14.4" x14ac:dyDescent="0.3">
      <c r="A13" s="87" t="str">
        <f>VLOOKUP(B13,Vehicle_code_vs_name[],2,0)</f>
        <v>Eicher 20</v>
      </c>
      <c r="B13" s="65" t="s">
        <v>399</v>
      </c>
      <c r="C13" s="10">
        <v>1250000</v>
      </c>
      <c r="D13" s="52">
        <v>0.2</v>
      </c>
      <c r="E13" s="10">
        <f>EMI_table[[#This Row],[Ex-Showroom Price]]-(EMI_table[[#This Row],[Downpayment %]]*EMI_table[[#This Row],[Ex-Showroom Price]])</f>
        <v>1000000</v>
      </c>
      <c r="F13" s="53">
        <v>0.105</v>
      </c>
      <c r="G13" s="10">
        <f>(EMI_table[[#This Row],[Balance]]*(EMI_table[[#This Row],[Rate of Interest]]/12)*(POWER(1+(EMI_table[[#This Row],[Rate of Interest]]/12),F$2)))/((POWER(1+(EMI_table[[#This Row],[Rate of Interest]]/12),F$2))-1)</f>
        <v>32502.443504686664</v>
      </c>
      <c r="H13" s="10">
        <f>(EMI_table[[#This Row],[Balance]]*(EMI_table[[#This Row],[Rate of Interest]]/12)*(POWER(1+(EMI_table[[#This Row],[Rate of Interest]]/12),G$2)))/((POWER(1+(EMI_table[[#This Row],[Rate of Interest]]/12),G$2))-1)</f>
        <v>25603.379751903845</v>
      </c>
      <c r="I13" s="10">
        <f>(EMI_table[[#This Row],[Balance]]*(EMI_table[[#This Row],[Rate of Interest]]/12)*(POWER(1+(EMI_table[[#This Row],[Rate of Interest]]/12),H$2)))/((POWER(1+(EMI_table[[#This Row],[Rate of Interest]]/12),H$2))-1)</f>
        <v>21493.900378117312</v>
      </c>
      <c r="J13" s="81">
        <f>(EMI_table[[#This Row],[Balance]]*(EMI_table[[#This Row],[Rate of Interest]]/12)*(POWER(1+(EMI_table[[#This Row],[Rate of Interest]]/12),I$2)))/((POWER(1+(EMI_table[[#This Row],[Rate of Interest]]/12),I$2))-1)</f>
        <v>15440.016204284477</v>
      </c>
    </row>
    <row r="14" spans="1:10" ht="14.4" x14ac:dyDescent="0.3">
      <c r="A14" s="87" t="str">
        <f>VLOOKUP(B14,Vehicle_code_vs_name[],2,0)</f>
        <v>Eicher 32 ft</v>
      </c>
      <c r="B14" s="65" t="s">
        <v>402</v>
      </c>
      <c r="C14" s="10">
        <v>1450000</v>
      </c>
      <c r="D14" s="52">
        <v>0.2</v>
      </c>
      <c r="E14" s="10">
        <f>EMI_table[[#This Row],[Ex-Showroom Price]]-(EMI_table[[#This Row],[Downpayment %]]*EMI_table[[#This Row],[Ex-Showroom Price]])</f>
        <v>1160000</v>
      </c>
      <c r="F14" s="53">
        <v>0.105</v>
      </c>
      <c r="G14" s="10">
        <f>(EMI_table[[#This Row],[Balance]]*(EMI_table[[#This Row],[Rate of Interest]]/12)*(POWER(1+(EMI_table[[#This Row],[Rate of Interest]]/12),F$2)))/((POWER(1+(EMI_table[[#This Row],[Rate of Interest]]/12),F$2))-1)</f>
        <v>37702.834465436521</v>
      </c>
      <c r="H14" s="10">
        <f>(EMI_table[[#This Row],[Balance]]*(EMI_table[[#This Row],[Rate of Interest]]/12)*(POWER(1+(EMI_table[[#This Row],[Rate of Interest]]/12),G$2)))/((POWER(1+(EMI_table[[#This Row],[Rate of Interest]]/12),G$2))-1)</f>
        <v>29699.920512208453</v>
      </c>
      <c r="I14" s="10">
        <f>(EMI_table[[#This Row],[Balance]]*(EMI_table[[#This Row],[Rate of Interest]]/12)*(POWER(1+(EMI_table[[#This Row],[Rate of Interest]]/12),H$2)))/((POWER(1+(EMI_table[[#This Row],[Rate of Interest]]/12),H$2))-1)</f>
        <v>24932.924438616079</v>
      </c>
      <c r="J14" s="81">
        <f>(EMI_table[[#This Row],[Balance]]*(EMI_table[[#This Row],[Rate of Interest]]/12)*(POWER(1+(EMI_table[[#This Row],[Rate of Interest]]/12),I$2)))/((POWER(1+(EMI_table[[#This Row],[Rate of Interest]]/12),I$2))-1)</f>
        <v>17910.418796969992</v>
      </c>
    </row>
    <row r="15" spans="1:10" ht="14.4" x14ac:dyDescent="0.3">
      <c r="A15" s="87" t="str">
        <f>VLOOKUP(B15,Vehicle_code_vs_name[],2,0)</f>
        <v>Mahindra</v>
      </c>
      <c r="B15" s="65" t="s">
        <v>260</v>
      </c>
      <c r="C15" s="10">
        <v>750000</v>
      </c>
      <c r="D15" s="52">
        <v>0.2</v>
      </c>
      <c r="E15" s="10">
        <f>EMI_table[[#This Row],[Ex-Showroom Price]]-(EMI_table[[#This Row],[Downpayment %]]*EMI_table[[#This Row],[Ex-Showroom Price]])</f>
        <v>600000</v>
      </c>
      <c r="F15" s="53">
        <v>0.105</v>
      </c>
      <c r="G15" s="10">
        <f>(EMI_table[[#This Row],[Balance]]*(EMI_table[[#This Row],[Rate of Interest]]/12)*(POWER(1+(EMI_table[[#This Row],[Rate of Interest]]/12),F$2)))/((POWER(1+(EMI_table[[#This Row],[Rate of Interest]]/12),F$2))-1)</f>
        <v>19501.466102811992</v>
      </c>
      <c r="H15" s="10">
        <f>(EMI_table[[#This Row],[Balance]]*(EMI_table[[#This Row],[Rate of Interest]]/12)*(POWER(1+(EMI_table[[#This Row],[Rate of Interest]]/12),G$2)))/((POWER(1+(EMI_table[[#This Row],[Rate of Interest]]/12),G$2))-1)</f>
        <v>15362.027851142304</v>
      </c>
      <c r="I15" s="10">
        <f>(EMI_table[[#This Row],[Balance]]*(EMI_table[[#This Row],[Rate of Interest]]/12)*(POWER(1+(EMI_table[[#This Row],[Rate of Interest]]/12),H$2)))/((POWER(1+(EMI_table[[#This Row],[Rate of Interest]]/12),H$2))-1)</f>
        <v>12896.340226870387</v>
      </c>
      <c r="J15" s="81">
        <f>(EMI_table[[#This Row],[Balance]]*(EMI_table[[#This Row],[Rate of Interest]]/12)*(POWER(1+(EMI_table[[#This Row],[Rate of Interest]]/12),I$2)))/((POWER(1+(EMI_table[[#This Row],[Rate of Interest]]/12),I$2))-1)</f>
        <v>9264.0097225706868</v>
      </c>
    </row>
    <row r="16" spans="1:10" ht="14.4" x14ac:dyDescent="0.3">
      <c r="A16" s="87" t="str">
        <f>VLOOKUP(B16,Vehicle_code_vs_name[],2,0)</f>
        <v>Pickup</v>
      </c>
      <c r="B16" s="65" t="s">
        <v>14</v>
      </c>
      <c r="C16" s="10">
        <v>650000</v>
      </c>
      <c r="D16" s="52">
        <v>0.2</v>
      </c>
      <c r="E16" s="10">
        <f>EMI_table[[#This Row],[Ex-Showroom Price]]-(EMI_table[[#This Row],[Downpayment %]]*EMI_table[[#This Row],[Ex-Showroom Price]])</f>
        <v>520000</v>
      </c>
      <c r="F16" s="53">
        <v>0.105</v>
      </c>
      <c r="G16" s="10">
        <f>(EMI_table[[#This Row],[Balance]]*(EMI_table[[#This Row],[Rate of Interest]]/12)*(POWER(1+(EMI_table[[#This Row],[Rate of Interest]]/12),F$2)))/((POWER(1+(EMI_table[[#This Row],[Rate of Interest]]/12),F$2))-1)</f>
        <v>16901.270622437063</v>
      </c>
      <c r="H16" s="10">
        <f>(EMI_table[[#This Row],[Balance]]*(EMI_table[[#This Row],[Rate of Interest]]/12)*(POWER(1+(EMI_table[[#This Row],[Rate of Interest]]/12),G$2)))/((POWER(1+(EMI_table[[#This Row],[Rate of Interest]]/12),G$2))-1)</f>
        <v>13313.757470989996</v>
      </c>
      <c r="I16" s="10">
        <f>(EMI_table[[#This Row],[Balance]]*(EMI_table[[#This Row],[Rate of Interest]]/12)*(POWER(1+(EMI_table[[#This Row],[Rate of Interest]]/12),H$2)))/((POWER(1+(EMI_table[[#This Row],[Rate of Interest]]/12),H$2))-1)</f>
        <v>11176.828196621002</v>
      </c>
      <c r="J16" s="81">
        <f>(EMI_table[[#This Row],[Balance]]*(EMI_table[[#This Row],[Rate of Interest]]/12)*(POWER(1+(EMI_table[[#This Row],[Rate of Interest]]/12),I$2)))/((POWER(1+(EMI_table[[#This Row],[Rate of Interest]]/12),I$2))-1)</f>
        <v>8028.8084262279272</v>
      </c>
    </row>
    <row r="17" spans="1:10" ht="14.4" x14ac:dyDescent="0.3">
      <c r="A17" s="87" t="str">
        <f>VLOOKUP(B17,Vehicle_code_vs_name[],2,0)</f>
        <v>Super ace</v>
      </c>
      <c r="B17" s="65" t="s">
        <v>284</v>
      </c>
      <c r="C17" s="10">
        <v>550000</v>
      </c>
      <c r="D17" s="52">
        <v>0.2</v>
      </c>
      <c r="E17" s="10">
        <f>EMI_table[[#This Row],[Ex-Showroom Price]]-(EMI_table[[#This Row],[Downpayment %]]*EMI_table[[#This Row],[Ex-Showroom Price]])</f>
        <v>440000</v>
      </c>
      <c r="F17" s="53">
        <v>0.105</v>
      </c>
      <c r="G17" s="10">
        <f>(EMI_table[[#This Row],[Balance]]*(EMI_table[[#This Row],[Rate of Interest]]/12)*(POWER(1+(EMI_table[[#This Row],[Rate of Interest]]/12),F$2)))/((POWER(1+(EMI_table[[#This Row],[Rate of Interest]]/12),F$2))-1)</f>
        <v>14301.075142062131</v>
      </c>
      <c r="H17" s="10">
        <f>(EMI_table[[#This Row],[Balance]]*(EMI_table[[#This Row],[Rate of Interest]]/12)*(POWER(1+(EMI_table[[#This Row],[Rate of Interest]]/12),G$2)))/((POWER(1+(EMI_table[[#This Row],[Rate of Interest]]/12),G$2))-1)</f>
        <v>11265.487090837691</v>
      </c>
      <c r="I17" s="10">
        <f>(EMI_table[[#This Row],[Balance]]*(EMI_table[[#This Row],[Rate of Interest]]/12)*(POWER(1+(EMI_table[[#This Row],[Rate of Interest]]/12),H$2)))/((POWER(1+(EMI_table[[#This Row],[Rate of Interest]]/12),H$2))-1)</f>
        <v>9457.3161663716182</v>
      </c>
      <c r="J17" s="81">
        <f>(EMI_table[[#This Row],[Balance]]*(EMI_table[[#This Row],[Rate of Interest]]/12)*(POWER(1+(EMI_table[[#This Row],[Rate of Interest]]/12),I$2)))/((POWER(1+(EMI_table[[#This Row],[Rate of Interest]]/12),I$2))-1)</f>
        <v>6793.6071298851693</v>
      </c>
    </row>
    <row r="18" spans="1:10" ht="14.4" x14ac:dyDescent="0.3">
      <c r="A18" s="87" t="str">
        <f>VLOOKUP(B18,Vehicle_code_vs_name[],2,0)</f>
        <v>Tata 1109</v>
      </c>
      <c r="B18" s="65">
        <v>1109</v>
      </c>
      <c r="C18" s="10">
        <v>1400000</v>
      </c>
      <c r="D18" s="52">
        <v>0.2</v>
      </c>
      <c r="E18" s="10">
        <f>EMI_table[[#This Row],[Ex-Showroom Price]]-(EMI_table[[#This Row],[Downpayment %]]*EMI_table[[#This Row],[Ex-Showroom Price]])</f>
        <v>1120000</v>
      </c>
      <c r="F18" s="53">
        <v>0.105</v>
      </c>
      <c r="G18" s="10">
        <f>(EMI_table[[#This Row],[Balance]]*(EMI_table[[#This Row],[Rate of Interest]]/12)*(POWER(1+(EMI_table[[#This Row],[Rate of Interest]]/12),F$2)))/((POWER(1+(EMI_table[[#This Row],[Rate of Interest]]/12),F$2))-1)</f>
        <v>36402.736725249059</v>
      </c>
      <c r="H18" s="10">
        <f>(EMI_table[[#This Row],[Balance]]*(EMI_table[[#This Row],[Rate of Interest]]/12)*(POWER(1+(EMI_table[[#This Row],[Rate of Interest]]/12),G$2)))/((POWER(1+(EMI_table[[#This Row],[Rate of Interest]]/12),G$2))-1)</f>
        <v>28675.785322132302</v>
      </c>
      <c r="I18" s="10">
        <f>(EMI_table[[#This Row],[Balance]]*(EMI_table[[#This Row],[Rate of Interest]]/12)*(POWER(1+(EMI_table[[#This Row],[Rate of Interest]]/12),H$2)))/((POWER(1+(EMI_table[[#This Row],[Rate of Interest]]/12),H$2))-1)</f>
        <v>24073.168423491388</v>
      </c>
      <c r="J18" s="81">
        <f>(EMI_table[[#This Row],[Balance]]*(EMI_table[[#This Row],[Rate of Interest]]/12)*(POWER(1+(EMI_table[[#This Row],[Rate of Interest]]/12),I$2)))/((POWER(1+(EMI_table[[#This Row],[Rate of Interest]]/12),I$2))-1)</f>
        <v>17292.818148798615</v>
      </c>
    </row>
    <row r="19" spans="1:10" ht="14.4" x14ac:dyDescent="0.3">
      <c r="A19" s="87" t="str">
        <f>VLOOKUP(B19,Vehicle_code_vs_name[],2,0)</f>
        <v>Tata 407</v>
      </c>
      <c r="B19" s="65" t="s">
        <v>113</v>
      </c>
      <c r="C19" s="10">
        <v>600000</v>
      </c>
      <c r="D19" s="52">
        <v>0.2</v>
      </c>
      <c r="E19" s="10">
        <f>EMI_table[[#This Row],[Ex-Showroom Price]]-(EMI_table[[#This Row],[Downpayment %]]*EMI_table[[#This Row],[Ex-Showroom Price]])</f>
        <v>480000</v>
      </c>
      <c r="F19" s="53">
        <v>0.105</v>
      </c>
      <c r="G19" s="10">
        <f>(EMI_table[[#This Row],[Balance]]*(EMI_table[[#This Row],[Rate of Interest]]/12)*(POWER(1+(EMI_table[[#This Row],[Rate of Interest]]/12),F$2)))/((POWER(1+(EMI_table[[#This Row],[Rate of Interest]]/12),F$2))-1)</f>
        <v>15601.172882249597</v>
      </c>
      <c r="H19" s="10">
        <f>(EMI_table[[#This Row],[Balance]]*(EMI_table[[#This Row],[Rate of Interest]]/12)*(POWER(1+(EMI_table[[#This Row],[Rate of Interest]]/12),G$2)))/((POWER(1+(EMI_table[[#This Row],[Rate of Interest]]/12),G$2))-1)</f>
        <v>12289.622280913847</v>
      </c>
      <c r="I19" s="10">
        <f>(EMI_table[[#This Row],[Balance]]*(EMI_table[[#This Row],[Rate of Interest]]/12)*(POWER(1+(EMI_table[[#This Row],[Rate of Interest]]/12),H$2)))/((POWER(1+(EMI_table[[#This Row],[Rate of Interest]]/12),H$2))-1)</f>
        <v>10317.072181496311</v>
      </c>
      <c r="J19" s="81">
        <f>(EMI_table[[#This Row],[Balance]]*(EMI_table[[#This Row],[Rate of Interest]]/12)*(POWER(1+(EMI_table[[#This Row],[Rate of Interest]]/12),I$2)))/((POWER(1+(EMI_table[[#This Row],[Rate of Interest]]/12),I$2))-1)</f>
        <v>7411.2077780565505</v>
      </c>
    </row>
    <row r="20" spans="1:10" ht="14.4" x14ac:dyDescent="0.3">
      <c r="A20" s="87" t="str">
        <f>VLOOKUP(B20,Vehicle_code_vs_name[],2,0)</f>
        <v>Tata 909</v>
      </c>
      <c r="B20" s="65">
        <v>909</v>
      </c>
      <c r="C20" s="10">
        <v>1200000</v>
      </c>
      <c r="D20" s="52">
        <v>0.2</v>
      </c>
      <c r="E20" s="10">
        <f>EMI_table[[#This Row],[Ex-Showroom Price]]-(EMI_table[[#This Row],[Downpayment %]]*EMI_table[[#This Row],[Ex-Showroom Price]])</f>
        <v>960000</v>
      </c>
      <c r="F20" s="53">
        <v>0.105</v>
      </c>
      <c r="G20" s="10">
        <f>(EMI_table[[#This Row],[Balance]]*(EMI_table[[#This Row],[Rate of Interest]]/12)*(POWER(1+(EMI_table[[#This Row],[Rate of Interest]]/12),F$2)))/((POWER(1+(EMI_table[[#This Row],[Rate of Interest]]/12),F$2))-1)</f>
        <v>31202.345764499194</v>
      </c>
      <c r="H20" s="10">
        <f>(EMI_table[[#This Row],[Balance]]*(EMI_table[[#This Row],[Rate of Interest]]/12)*(POWER(1+(EMI_table[[#This Row],[Rate of Interest]]/12),G$2)))/((POWER(1+(EMI_table[[#This Row],[Rate of Interest]]/12),G$2))-1)</f>
        <v>24579.244561827694</v>
      </c>
      <c r="I20" s="10">
        <f>(EMI_table[[#This Row],[Balance]]*(EMI_table[[#This Row],[Rate of Interest]]/12)*(POWER(1+(EMI_table[[#This Row],[Rate of Interest]]/12),H$2)))/((POWER(1+(EMI_table[[#This Row],[Rate of Interest]]/12),H$2))-1)</f>
        <v>20634.144362992622</v>
      </c>
      <c r="J20" s="81">
        <f>(EMI_table[[#This Row],[Balance]]*(EMI_table[[#This Row],[Rate of Interest]]/12)*(POWER(1+(EMI_table[[#This Row],[Rate of Interest]]/12),I$2)))/((POWER(1+(EMI_table[[#This Row],[Rate of Interest]]/12),I$2))-1)</f>
        <v>14822.415556113101</v>
      </c>
    </row>
    <row r="21" spans="1:10" ht="14.4" x14ac:dyDescent="0.3">
      <c r="A21" s="9" t="str">
        <f>VLOOKUP(B21,Vehicle_code_vs_name[],2,0)</f>
        <v>Tata Ace</v>
      </c>
      <c r="B21" s="65" t="s">
        <v>12</v>
      </c>
      <c r="C21" s="10">
        <v>400000</v>
      </c>
      <c r="D21" s="52">
        <v>0.2</v>
      </c>
      <c r="E21" s="10">
        <f>EMI_table[[#This Row],[Ex-Showroom Price]]-(EMI_table[[#This Row],[Downpayment %]]*EMI_table[[#This Row],[Ex-Showroom Price]])</f>
        <v>320000</v>
      </c>
      <c r="F21" s="53">
        <v>0.105</v>
      </c>
      <c r="G21" s="10">
        <f>(EMI_table[[#This Row],[Balance]]*(EMI_table[[#This Row],[Rate of Interest]]/12)*(POWER(1+(EMI_table[[#This Row],[Rate of Interest]]/12),F$2)))/((POWER(1+(EMI_table[[#This Row],[Rate of Interest]]/12),F$2))-1)</f>
        <v>10400.781921499731</v>
      </c>
      <c r="H21" s="10">
        <f>(EMI_table[[#This Row],[Balance]]*(EMI_table[[#This Row],[Rate of Interest]]/12)*(POWER(1+(EMI_table[[#This Row],[Rate of Interest]]/12),G$2)))/((POWER(1+(EMI_table[[#This Row],[Rate of Interest]]/12),G$2))-1)</f>
        <v>8193.0815206092302</v>
      </c>
      <c r="I21" s="10">
        <f>(EMI_table[[#This Row],[Balance]]*(EMI_table[[#This Row],[Rate of Interest]]/12)*(POWER(1+(EMI_table[[#This Row],[Rate of Interest]]/12),H$2)))/((POWER(1+(EMI_table[[#This Row],[Rate of Interest]]/12),H$2))-1)</f>
        <v>6878.0481209975387</v>
      </c>
      <c r="J21" s="81">
        <f>(EMI_table[[#This Row],[Balance]]*(EMI_table[[#This Row],[Rate of Interest]]/12)*(POWER(1+(EMI_table[[#This Row],[Rate of Interest]]/12),I$2)))/((POWER(1+(EMI_table[[#This Row],[Rate of Interest]]/12),I$2))-1)</f>
        <v>4940.8051853710322</v>
      </c>
    </row>
    <row r="22" spans="1:10" ht="14.4" x14ac:dyDescent="0.3">
      <c r="A22" s="87" t="str">
        <f>VLOOKUP(B22,Vehicle_code_vs_name[],2,0)</f>
        <v>Taurus</v>
      </c>
      <c r="B22" s="65" t="s">
        <v>298</v>
      </c>
      <c r="C22" s="10">
        <v>2000000</v>
      </c>
      <c r="D22" s="52">
        <v>0.2</v>
      </c>
      <c r="E22" s="10">
        <f>EMI_table[[#This Row],[Ex-Showroom Price]]-(EMI_table[[#This Row],[Downpayment %]]*EMI_table[[#This Row],[Ex-Showroom Price]])</f>
        <v>1600000</v>
      </c>
      <c r="F22" s="53">
        <v>0.105</v>
      </c>
      <c r="G22" s="10">
        <f>(EMI_table[[#This Row],[Balance]]*(EMI_table[[#This Row],[Rate of Interest]]/12)*(POWER(1+(EMI_table[[#This Row],[Rate of Interest]]/12),F$2)))/((POWER(1+(EMI_table[[#This Row],[Rate of Interest]]/12),F$2))-1)</f>
        <v>52003.909607498652</v>
      </c>
      <c r="H22" s="10">
        <f>(EMI_table[[#This Row],[Balance]]*(EMI_table[[#This Row],[Rate of Interest]]/12)*(POWER(1+(EMI_table[[#This Row],[Rate of Interest]]/12),G$2)))/((POWER(1+(EMI_table[[#This Row],[Rate of Interest]]/12),G$2))-1)</f>
        <v>40965.407603046151</v>
      </c>
      <c r="I22" s="10">
        <f>(EMI_table[[#This Row],[Balance]]*(EMI_table[[#This Row],[Rate of Interest]]/12)*(POWER(1+(EMI_table[[#This Row],[Rate of Interest]]/12),H$2)))/((POWER(1+(EMI_table[[#This Row],[Rate of Interest]]/12),H$2))-1)</f>
        <v>34390.240604987695</v>
      </c>
      <c r="J22" s="81">
        <f>(EMI_table[[#This Row],[Balance]]*(EMI_table[[#This Row],[Rate of Interest]]/12)*(POWER(1+(EMI_table[[#This Row],[Rate of Interest]]/12),I$2)))/((POWER(1+(EMI_table[[#This Row],[Rate of Interest]]/12),I$2))-1)</f>
        <v>24704.025926855164</v>
      </c>
    </row>
    <row r="23" spans="1:10" ht="15.75" customHeight="1" x14ac:dyDescent="0.3">
      <c r="A23" s="88" t="str">
        <f>VLOOKUP(B23,Vehicle_code_vs_name[],2,0)</f>
        <v>Trump Forec</v>
      </c>
      <c r="B23" s="66" t="s">
        <v>277</v>
      </c>
      <c r="C23" s="69">
        <v>450000</v>
      </c>
      <c r="D23" s="70">
        <v>0.2</v>
      </c>
      <c r="E23" s="69">
        <f>EMI_table[[#This Row],[Ex-Showroom Price]]-(EMI_table[[#This Row],[Downpayment %]]*EMI_table[[#This Row],[Ex-Showroom Price]])</f>
        <v>360000</v>
      </c>
      <c r="F23" s="71">
        <v>0.105</v>
      </c>
      <c r="G23" s="69">
        <f>(EMI_table[[#This Row],[Balance]]*(EMI_table[[#This Row],[Rate of Interest]]/12)*(POWER(1+(EMI_table[[#This Row],[Rate of Interest]]/12),F$2)))/((POWER(1+(EMI_table[[#This Row],[Rate of Interest]]/12),F$2))-1)</f>
        <v>11700.879661687197</v>
      </c>
      <c r="H23" s="69">
        <f>(EMI_table[[#This Row],[Balance]]*(EMI_table[[#This Row],[Rate of Interest]]/12)*(POWER(1+(EMI_table[[#This Row],[Rate of Interest]]/12),G$2)))/((POWER(1+(EMI_table[[#This Row],[Rate of Interest]]/12),G$2))-1)</f>
        <v>9217.2167106853831</v>
      </c>
      <c r="I23" s="69">
        <f>(EMI_table[[#This Row],[Balance]]*(EMI_table[[#This Row],[Rate of Interest]]/12)*(POWER(1+(EMI_table[[#This Row],[Rate of Interest]]/12),H$2)))/((POWER(1+(EMI_table[[#This Row],[Rate of Interest]]/12),H$2))-1)</f>
        <v>7737.8041361222322</v>
      </c>
      <c r="J23" s="82">
        <f>(EMI_table[[#This Row],[Balance]]*(EMI_table[[#This Row],[Rate of Interest]]/12)*(POWER(1+(EMI_table[[#This Row],[Rate of Interest]]/12),I$2)))/((POWER(1+(EMI_table[[#This Row],[Rate of Interest]]/12),I$2))-1)</f>
        <v>5558.4058335424115</v>
      </c>
    </row>
    <row r="24" spans="1:10" ht="15.75" customHeight="1" x14ac:dyDescent="0.3"/>
    <row r="25" spans="1:10" ht="15.75" customHeight="1" x14ac:dyDescent="0.3">
      <c r="A25" s="11" t="s">
        <v>468</v>
      </c>
    </row>
    <row r="26" spans="1:10" ht="15.75" customHeight="1" x14ac:dyDescent="0.3">
      <c r="A26" s="92" t="s">
        <v>467</v>
      </c>
      <c r="B26" s="92" t="s">
        <v>464</v>
      </c>
    </row>
    <row r="27" spans="1:10" ht="15.75" customHeight="1" x14ac:dyDescent="0.3">
      <c r="A27" s="91" t="s">
        <v>19</v>
      </c>
      <c r="B27" s="92">
        <v>20000</v>
      </c>
    </row>
    <row r="28" spans="1:10" ht="15.75" customHeight="1" x14ac:dyDescent="0.3">
      <c r="A28" s="89" t="s">
        <v>18</v>
      </c>
      <c r="B28" s="91">
        <v>30000</v>
      </c>
    </row>
    <row r="29" spans="1:10" ht="15.75" customHeight="1" x14ac:dyDescent="0.3">
      <c r="A29" s="91" t="s">
        <v>213</v>
      </c>
      <c r="B29" s="91">
        <v>40000</v>
      </c>
    </row>
    <row r="30" spans="1:10" ht="15.75" customHeight="1" x14ac:dyDescent="0.3">
      <c r="A30" s="89" t="s">
        <v>228</v>
      </c>
      <c r="B30" s="91">
        <v>50000</v>
      </c>
    </row>
    <row r="31" spans="1:10" ht="15.75" customHeight="1" x14ac:dyDescent="0.3">
      <c r="A31" s="91" t="s">
        <v>240</v>
      </c>
      <c r="B31" s="91">
        <v>60000</v>
      </c>
    </row>
    <row r="32" spans="1:10" ht="15.75" customHeight="1" x14ac:dyDescent="0.3">
      <c r="A32" s="89" t="s">
        <v>251</v>
      </c>
      <c r="B32" s="91">
        <v>70000</v>
      </c>
    </row>
    <row r="33" spans="1:2" ht="15.75" customHeight="1" x14ac:dyDescent="0.3">
      <c r="A33" s="93" t="s">
        <v>261</v>
      </c>
      <c r="B33" s="93">
        <v>80000</v>
      </c>
    </row>
    <row r="34" spans="1:2" ht="15.75" customHeight="1" x14ac:dyDescent="0.3"/>
    <row r="35" spans="1:2" ht="15.75" customHeight="1" x14ac:dyDescent="0.3"/>
    <row r="36" spans="1:2" ht="15.75" customHeight="1" x14ac:dyDescent="0.3"/>
    <row r="37" spans="1:2" ht="15.75" customHeight="1" x14ac:dyDescent="0.3"/>
    <row r="38" spans="1:2" ht="15.75" customHeight="1" x14ac:dyDescent="0.3"/>
    <row r="39" spans="1:2" ht="15.75" customHeight="1" x14ac:dyDescent="0.3"/>
    <row r="40" spans="1:2" ht="15.75" customHeight="1" x14ac:dyDescent="0.3"/>
    <row r="41" spans="1:2" ht="15.75" customHeight="1" x14ac:dyDescent="0.3"/>
    <row r="42" spans="1:2" ht="15.75" customHeight="1" x14ac:dyDescent="0.3"/>
    <row r="43" spans="1:2" ht="15.75" customHeight="1" x14ac:dyDescent="0.3"/>
    <row r="44" spans="1:2" ht="15.75" customHeight="1" x14ac:dyDescent="0.3"/>
    <row r="45" spans="1:2" ht="15.75" customHeight="1" x14ac:dyDescent="0.3"/>
    <row r="46" spans="1:2" ht="15.75" customHeight="1" x14ac:dyDescent="0.3"/>
    <row r="47" spans="1:2" ht="15.75" customHeight="1" x14ac:dyDescent="0.3"/>
    <row r="48" spans="1:2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  <row r="1001" ht="15.75" customHeight="1" x14ac:dyDescent="0.3"/>
    <row r="1002" ht="15.75" customHeight="1" x14ac:dyDescent="0.3"/>
  </sheetData>
  <pageMargins left="0.7" right="0.7" top="0.75" bottom="0.75" header="0" footer="0"/>
  <pageSetup orientation="landscape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000"/>
  <sheetViews>
    <sheetView zoomScaleNormal="100" workbookViewId="0"/>
  </sheetViews>
  <sheetFormatPr defaultColWidth="12.88671875" defaultRowHeight="15" customHeight="1" x14ac:dyDescent="0.3"/>
  <cols>
    <col min="1" max="1" width="11.33203125" style="11" bestFit="1" customWidth="1"/>
    <col min="2" max="2" width="12" style="11" customWidth="1"/>
    <col min="3" max="3" width="19.33203125" style="11" customWidth="1"/>
    <col min="4" max="4" width="14.77734375" style="11" bestFit="1" customWidth="1"/>
    <col min="5" max="5" width="12.33203125" style="11" bestFit="1" customWidth="1"/>
    <col min="6" max="6" width="9.109375" style="11" customWidth="1"/>
    <col min="7" max="7" width="11.88671875" style="11" customWidth="1"/>
    <col min="8" max="23" width="9.109375" style="11" customWidth="1"/>
    <col min="24" max="16384" width="12.88671875" style="11"/>
  </cols>
  <sheetData>
    <row r="1" spans="1:6" ht="14.4" x14ac:dyDescent="0.3">
      <c r="A1" s="60" t="s">
        <v>450</v>
      </c>
      <c r="B1" s="59" t="s">
        <v>22</v>
      </c>
      <c r="C1" s="60" t="s">
        <v>416</v>
      </c>
      <c r="D1" s="61" t="s">
        <v>415</v>
      </c>
      <c r="F1" s="11" t="s">
        <v>451</v>
      </c>
    </row>
    <row r="2" spans="1:6" ht="14.4" x14ac:dyDescent="0.3">
      <c r="A2" s="59" t="str">
        <f>VLOOKUP(Assumption_distance[[#This Row],[Cluster]],Cluster_code_vs_name[],2,0)</f>
        <v>Ahmedabad</v>
      </c>
      <c r="B2" s="57" t="s">
        <v>42</v>
      </c>
      <c r="C2" s="9">
        <v>1500</v>
      </c>
      <c r="D2" s="58">
        <v>2100</v>
      </c>
      <c r="F2" s="11" t="s">
        <v>416</v>
      </c>
    </row>
    <row r="3" spans="1:6" ht="14.4" x14ac:dyDescent="0.3">
      <c r="A3" s="57" t="str">
        <f>VLOOKUP(Assumption_distance[[#This Row],[Cluster]],Cluster_code_vs_name[],2,0)</f>
        <v>Ambala</v>
      </c>
      <c r="B3" s="57" t="s">
        <v>61</v>
      </c>
      <c r="C3" s="9">
        <v>1500</v>
      </c>
      <c r="D3" s="58">
        <v>2200</v>
      </c>
      <c r="F3" s="11" t="s">
        <v>415</v>
      </c>
    </row>
    <row r="4" spans="1:6" ht="14.4" x14ac:dyDescent="0.3">
      <c r="A4" s="57" t="str">
        <f>VLOOKUP(Assumption_distance[[#This Row],[Cluster]],Cluster_code_vs_name[],2,0)</f>
        <v>Bangalore</v>
      </c>
      <c r="B4" s="57" t="s">
        <v>202</v>
      </c>
      <c r="C4" s="9">
        <v>1200</v>
      </c>
      <c r="D4" s="58">
        <v>2200</v>
      </c>
    </row>
    <row r="5" spans="1:6" ht="14.4" x14ac:dyDescent="0.3">
      <c r="A5" s="57" t="str">
        <f>VLOOKUP(Assumption_distance[[#This Row],[Cluster]],Cluster_code_vs_name[],2,0)</f>
        <v>Chennai</v>
      </c>
      <c r="B5" s="57" t="s">
        <v>99</v>
      </c>
      <c r="C5" s="9">
        <v>1200</v>
      </c>
      <c r="D5" s="58">
        <v>2200</v>
      </c>
    </row>
    <row r="6" spans="1:6" ht="14.4" x14ac:dyDescent="0.3">
      <c r="A6" s="57" t="str">
        <f>VLOOKUP(Assumption_distance[[#This Row],[Cluster]],Cluster_code_vs_name[],2,0)</f>
        <v>Coimbatore</v>
      </c>
      <c r="B6" s="57" t="s">
        <v>119</v>
      </c>
      <c r="C6" s="9">
        <v>1200</v>
      </c>
      <c r="D6" s="58">
        <v>2400</v>
      </c>
    </row>
    <row r="7" spans="1:6" ht="14.4" x14ac:dyDescent="0.3">
      <c r="A7" s="57" t="str">
        <f>VLOOKUP(Assumption_distance[[#This Row],[Cluster]],Cluster_code_vs_name[],2,0)</f>
        <v>Delhi</v>
      </c>
      <c r="B7" s="57" t="s">
        <v>281</v>
      </c>
      <c r="C7" s="9">
        <v>1300</v>
      </c>
      <c r="D7" s="58">
        <v>2700</v>
      </c>
    </row>
    <row r="8" spans="1:6" ht="14.4" x14ac:dyDescent="0.3">
      <c r="A8" s="57" t="str">
        <f>VLOOKUP(Assumption_distance[[#This Row],[Cluster]],Cluster_code_vs_name[],2,0)</f>
        <v>Guwahati</v>
      </c>
      <c r="B8" s="57" t="s">
        <v>102</v>
      </c>
      <c r="C8" s="9">
        <v>1300</v>
      </c>
      <c r="D8" s="58">
        <v>2300</v>
      </c>
    </row>
    <row r="9" spans="1:6" ht="14.4" x14ac:dyDescent="0.3">
      <c r="A9" s="57" t="str">
        <f>VLOOKUP(Assumption_distance[[#This Row],[Cluster]],Cluster_code_vs_name[],2,0)</f>
        <v>Hyderabad</v>
      </c>
      <c r="B9" s="57" t="s">
        <v>175</v>
      </c>
      <c r="C9" s="9">
        <v>1500</v>
      </c>
      <c r="D9" s="58">
        <v>2500</v>
      </c>
    </row>
    <row r="10" spans="1:6" ht="14.4" x14ac:dyDescent="0.3">
      <c r="A10" s="57" t="str">
        <f>VLOOKUP(Assumption_distance[[#This Row],[Cluster]],Cluster_code_vs_name[],2,0)</f>
        <v>Indore</v>
      </c>
      <c r="B10" s="57" t="s">
        <v>142</v>
      </c>
      <c r="C10" s="9">
        <v>1500</v>
      </c>
      <c r="D10" s="58">
        <v>1800</v>
      </c>
    </row>
    <row r="11" spans="1:6" ht="14.4" x14ac:dyDescent="0.3">
      <c r="A11" s="57" t="str">
        <f>VLOOKUP(Assumption_distance[[#This Row],[Cluster]],Cluster_code_vs_name[],2,0)</f>
        <v>Jaipur</v>
      </c>
      <c r="B11" s="57" t="s">
        <v>105</v>
      </c>
      <c r="C11" s="9">
        <v>1400</v>
      </c>
      <c r="D11" s="58">
        <v>2000</v>
      </c>
    </row>
    <row r="12" spans="1:6" ht="14.4" x14ac:dyDescent="0.3">
      <c r="A12" s="57" t="str">
        <f>VLOOKUP(Assumption_distance[[#This Row],[Cluster]],Cluster_code_vs_name[],2,0)</f>
        <v>Jamshedpur</v>
      </c>
      <c r="B12" s="57" t="s">
        <v>193</v>
      </c>
      <c r="C12" s="9">
        <v>1200</v>
      </c>
      <c r="D12" s="58">
        <v>2400</v>
      </c>
    </row>
    <row r="13" spans="1:6" ht="14.4" x14ac:dyDescent="0.3">
      <c r="A13" s="57" t="str">
        <f>VLOOKUP(Assumption_distance[[#This Row],[Cluster]],Cluster_code_vs_name[],2,0)</f>
        <v>Kolkata</v>
      </c>
      <c r="B13" s="57" t="s">
        <v>179</v>
      </c>
      <c r="C13" s="9">
        <v>1300</v>
      </c>
      <c r="D13" s="58">
        <v>2100</v>
      </c>
    </row>
    <row r="14" spans="1:6" ht="14.4" x14ac:dyDescent="0.3">
      <c r="A14" s="57" t="str">
        <f>VLOOKUP(Assumption_distance[[#This Row],[Cluster]],Cluster_code_vs_name[],2,0)</f>
        <v>Lucknow</v>
      </c>
      <c r="B14" s="57" t="s">
        <v>195</v>
      </c>
      <c r="C14" s="9">
        <v>1500</v>
      </c>
      <c r="D14" s="58">
        <v>2600</v>
      </c>
    </row>
    <row r="15" spans="1:6" ht="14.4" x14ac:dyDescent="0.3">
      <c r="A15" s="57" t="str">
        <f>VLOOKUP(Assumption_distance[[#This Row],[Cluster]],Cluster_code_vs_name[],2,0)</f>
        <v>Mumbai</v>
      </c>
      <c r="B15" s="57" t="s">
        <v>196</v>
      </c>
      <c r="C15" s="9">
        <v>1400</v>
      </c>
      <c r="D15" s="58">
        <v>2200</v>
      </c>
    </row>
    <row r="16" spans="1:6" ht="14.4" x14ac:dyDescent="0.3">
      <c r="A16" s="57" t="str">
        <f>VLOOKUP(Assumption_distance[[#This Row],[Cluster]],Cluster_code_vs_name[],2,0)</f>
        <v>Nagpur</v>
      </c>
      <c r="B16" s="57" t="s">
        <v>129</v>
      </c>
      <c r="C16" s="9">
        <v>1100</v>
      </c>
      <c r="D16" s="58">
        <v>2700</v>
      </c>
    </row>
    <row r="17" spans="1:4" ht="14.4" x14ac:dyDescent="0.3">
      <c r="A17" s="57" t="str">
        <f>VLOOKUP(Assumption_distance[[#This Row],[Cluster]],Cluster_code_vs_name[],2,0)</f>
        <v>Noida</v>
      </c>
      <c r="B17" s="57" t="s">
        <v>237</v>
      </c>
      <c r="C17" s="9">
        <v>1100</v>
      </c>
      <c r="D17" s="58">
        <v>2500</v>
      </c>
    </row>
    <row r="18" spans="1:4" ht="14.4" x14ac:dyDescent="0.3">
      <c r="A18" s="62" t="str">
        <f>VLOOKUP(Assumption_distance[[#This Row],[Cluster]],Cluster_code_vs_name[],2,0)</f>
        <v>Pune</v>
      </c>
      <c r="B18" s="62" t="s">
        <v>276</v>
      </c>
      <c r="C18" s="63">
        <v>1300</v>
      </c>
      <c r="D18" s="64">
        <v>2200</v>
      </c>
    </row>
    <row r="19" spans="1:4" ht="14.4" x14ac:dyDescent="0.3"/>
    <row r="20" spans="1:4" ht="14.4" x14ac:dyDescent="0.3"/>
    <row r="21" spans="1:4" ht="15.75" customHeight="1" x14ac:dyDescent="0.3"/>
    <row r="22" spans="1:4" ht="15.75" customHeight="1" x14ac:dyDescent="0.3"/>
    <row r="23" spans="1:4" ht="15.75" customHeight="1" x14ac:dyDescent="0.3"/>
    <row r="24" spans="1:4" ht="15.75" customHeight="1" x14ac:dyDescent="0.3"/>
    <row r="25" spans="1:4" ht="15.75" customHeight="1" x14ac:dyDescent="0.3"/>
    <row r="26" spans="1:4" ht="15.75" customHeight="1" x14ac:dyDescent="0.3"/>
    <row r="27" spans="1:4" ht="15.75" customHeight="1" x14ac:dyDescent="0.3"/>
    <row r="28" spans="1:4" ht="15.75" customHeight="1" x14ac:dyDescent="0.3"/>
    <row r="29" spans="1:4" ht="15.75" customHeight="1" x14ac:dyDescent="0.3"/>
    <row r="30" spans="1:4" ht="15.75" customHeight="1" x14ac:dyDescent="0.3"/>
    <row r="31" spans="1:4" ht="15.75" customHeight="1" x14ac:dyDescent="0.3"/>
    <row r="32" spans="1:4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  <tableParts count="2">
    <tablePart r:id="rId1"/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Y999"/>
  <sheetViews>
    <sheetView workbookViewId="0"/>
  </sheetViews>
  <sheetFormatPr defaultColWidth="12.88671875" defaultRowHeight="15" customHeight="1" x14ac:dyDescent="0.3"/>
  <cols>
    <col min="1" max="1" width="43.44140625" style="17" bestFit="1" customWidth="1"/>
    <col min="2" max="2" width="10" style="17" customWidth="1"/>
    <col min="3" max="3" width="9.33203125" style="17" customWidth="1"/>
    <col min="4" max="4" width="11.33203125" style="17" customWidth="1"/>
    <col min="5" max="5" width="9.33203125" style="17" customWidth="1"/>
    <col min="6" max="6" width="9.77734375" style="17" customWidth="1"/>
    <col min="7" max="8" width="9.33203125" style="17" customWidth="1"/>
    <col min="9" max="9" width="12.109375" style="17" customWidth="1"/>
    <col min="10" max="10" width="12.77734375" style="17" customWidth="1"/>
    <col min="11" max="11" width="13.21875" style="17" customWidth="1"/>
    <col min="12" max="12" width="9.33203125" style="17" customWidth="1"/>
    <col min="13" max="13" width="10.88671875" style="17" customWidth="1"/>
    <col min="14" max="14" width="9.33203125" style="17" customWidth="1"/>
    <col min="15" max="15" width="13.109375" style="17" customWidth="1"/>
    <col min="16" max="16" width="9.33203125" style="17" customWidth="1"/>
    <col min="17" max="17" width="10.44140625" style="17" customWidth="1"/>
    <col min="18" max="18" width="16.77734375" style="17" customWidth="1"/>
    <col min="19" max="19" width="12.6640625" style="17" customWidth="1"/>
    <col min="20" max="20" width="11.33203125" style="17" customWidth="1"/>
    <col min="21" max="21" width="13.109375" style="17" customWidth="1"/>
    <col min="22" max="22" width="9.109375" style="17" customWidth="1"/>
    <col min="23" max="23" width="9.109375" style="17" hidden="1" customWidth="1"/>
    <col min="24" max="24" width="29.33203125" style="17" hidden="1" customWidth="1"/>
    <col min="25" max="25" width="9.88671875" style="17" hidden="1" customWidth="1"/>
    <col min="26" max="16384" width="12.88671875" style="17"/>
  </cols>
  <sheetData>
    <row r="1" spans="1:25" ht="15" customHeight="1" x14ac:dyDescent="0.3">
      <c r="A1" s="75" t="s">
        <v>455</v>
      </c>
      <c r="B1" s="74" t="s">
        <v>40</v>
      </c>
      <c r="C1" s="75" t="s">
        <v>55</v>
      </c>
      <c r="D1" s="75" t="s">
        <v>47</v>
      </c>
      <c r="E1" s="75" t="s">
        <v>44</v>
      </c>
      <c r="F1" s="75" t="s">
        <v>53</v>
      </c>
      <c r="G1" s="75" t="s">
        <v>45</v>
      </c>
      <c r="H1" s="75" t="s">
        <v>43</v>
      </c>
      <c r="I1" s="75" t="s">
        <v>57</v>
      </c>
      <c r="J1" s="75" t="s">
        <v>49</v>
      </c>
      <c r="K1" s="75" t="s">
        <v>46</v>
      </c>
      <c r="L1" s="75" t="s">
        <v>25</v>
      </c>
      <c r="M1" s="75" t="s">
        <v>58</v>
      </c>
      <c r="N1" s="75" t="s">
        <v>48</v>
      </c>
      <c r="O1" s="75" t="s">
        <v>50</v>
      </c>
      <c r="P1" s="75" t="s">
        <v>52</v>
      </c>
      <c r="Q1" s="75" t="s">
        <v>51</v>
      </c>
      <c r="R1" s="75" t="s">
        <v>54</v>
      </c>
      <c r="S1" s="75" t="s">
        <v>301</v>
      </c>
      <c r="T1" s="76" t="s">
        <v>412</v>
      </c>
      <c r="X1" s="17" t="s">
        <v>302</v>
      </c>
      <c r="Y1" s="17" t="s">
        <v>303</v>
      </c>
    </row>
    <row r="2" spans="1:25" ht="14.4" x14ac:dyDescent="0.3">
      <c r="A2" s="17" t="str">
        <f>VLOOKUP(B2,Vehicle_code_vs_name[],2,0)</f>
        <v>Tata Ace</v>
      </c>
      <c r="B2" s="72" t="s">
        <v>12</v>
      </c>
      <c r="C2" s="55">
        <v>14</v>
      </c>
      <c r="D2" s="55">
        <v>13</v>
      </c>
      <c r="E2" s="55">
        <v>15</v>
      </c>
      <c r="F2" s="55">
        <v>14</v>
      </c>
      <c r="G2" s="55">
        <v>14</v>
      </c>
      <c r="H2" s="55">
        <v>10</v>
      </c>
      <c r="I2" s="55">
        <v>14</v>
      </c>
      <c r="J2" s="55">
        <v>16</v>
      </c>
      <c r="K2" s="83">
        <f>0</f>
        <v>0</v>
      </c>
      <c r="L2" s="83">
        <f>0</f>
        <v>0</v>
      </c>
      <c r="M2" s="83">
        <f>0</f>
        <v>0</v>
      </c>
      <c r="N2" s="55">
        <v>12</v>
      </c>
      <c r="O2" s="55">
        <v>12</v>
      </c>
      <c r="P2" s="55">
        <v>16</v>
      </c>
      <c r="Q2" s="83">
        <f>0</f>
        <v>0</v>
      </c>
      <c r="R2" s="55">
        <v>13</v>
      </c>
      <c r="S2" s="56">
        <f>SUM(Mileage_table[[#This Row],[Mumbai]:[Lucknow]])/COUNTIF(Mileage_table[[#This Row],[Mumbai]:[Lucknow]],"&gt;0")</f>
        <v>13.583333333333334</v>
      </c>
      <c r="T2" s="73">
        <f>ROUNDDOWN(Mileage_table[[#This Row],[Average mileage]],0)</f>
        <v>13</v>
      </c>
      <c r="X2" s="17" t="s">
        <v>304</v>
      </c>
      <c r="Y2" s="17" t="s">
        <v>305</v>
      </c>
    </row>
    <row r="3" spans="1:25" ht="14.4" x14ac:dyDescent="0.3">
      <c r="A3" s="85" t="str">
        <f>VLOOKUP(B3,Vehicle_code_vs_name[],2,0)</f>
        <v>Pickup</v>
      </c>
      <c r="B3" s="72" t="s">
        <v>14</v>
      </c>
      <c r="C3" s="55">
        <v>11</v>
      </c>
      <c r="D3" s="55">
        <v>12</v>
      </c>
      <c r="E3" s="55">
        <v>14</v>
      </c>
      <c r="F3" s="55">
        <v>14</v>
      </c>
      <c r="G3" s="55">
        <v>14</v>
      </c>
      <c r="H3" s="83">
        <f>0</f>
        <v>0</v>
      </c>
      <c r="I3" s="83">
        <f>0</f>
        <v>0</v>
      </c>
      <c r="J3" s="55">
        <v>12</v>
      </c>
      <c r="K3" s="83">
        <f>0</f>
        <v>0</v>
      </c>
      <c r="L3" s="83">
        <f>0</f>
        <v>0</v>
      </c>
      <c r="M3" s="83">
        <f>0</f>
        <v>0</v>
      </c>
      <c r="N3" s="55">
        <v>10</v>
      </c>
      <c r="O3" s="55">
        <v>8</v>
      </c>
      <c r="P3" s="55">
        <v>14</v>
      </c>
      <c r="Q3" s="55">
        <v>10</v>
      </c>
      <c r="R3" s="83">
        <f>0</f>
        <v>0</v>
      </c>
      <c r="S3" s="56">
        <f>SUM(Mileage_table[[#This Row],[Mumbai]:[Lucknow]])/COUNTIF(Mileage_table[[#This Row],[Mumbai]:[Lucknow]],"&gt;0")</f>
        <v>11.9</v>
      </c>
      <c r="T3" s="73">
        <f>ROUNDDOWN(Mileage_table[[#This Row],[Average mileage]],0)</f>
        <v>11</v>
      </c>
      <c r="X3" s="17" t="s">
        <v>306</v>
      </c>
      <c r="Y3" s="17" t="s">
        <v>307</v>
      </c>
    </row>
    <row r="4" spans="1:25" ht="14.4" x14ac:dyDescent="0.3">
      <c r="A4" s="85" t="str">
        <f>VLOOKUP(B4,Vehicle_code_vs_name[],2,0)</f>
        <v>Tata 407</v>
      </c>
      <c r="B4" s="72" t="s">
        <v>113</v>
      </c>
      <c r="C4" s="55">
        <v>7</v>
      </c>
      <c r="D4" s="55">
        <v>9</v>
      </c>
      <c r="E4" s="55">
        <v>10</v>
      </c>
      <c r="F4" s="55">
        <v>10</v>
      </c>
      <c r="G4" s="55">
        <v>10</v>
      </c>
      <c r="H4" s="83">
        <f>0</f>
        <v>0</v>
      </c>
      <c r="I4" s="83">
        <f>0</f>
        <v>0</v>
      </c>
      <c r="J4" s="55">
        <v>10</v>
      </c>
      <c r="K4" s="83">
        <f>0</f>
        <v>0</v>
      </c>
      <c r="L4" s="83">
        <f>0</f>
        <v>0</v>
      </c>
      <c r="M4" s="83">
        <f>0</f>
        <v>0</v>
      </c>
      <c r="N4" s="55">
        <v>10</v>
      </c>
      <c r="O4" s="83">
        <f>0</f>
        <v>0</v>
      </c>
      <c r="P4" s="83">
        <f>0</f>
        <v>0</v>
      </c>
      <c r="Q4" s="55">
        <v>9</v>
      </c>
      <c r="R4" s="83">
        <f>0</f>
        <v>0</v>
      </c>
      <c r="S4" s="56">
        <f>SUM(Mileage_table[[#This Row],[Mumbai]:[Lucknow]])/COUNTIF(Mileage_table[[#This Row],[Mumbai]:[Lucknow]],"&gt;0")</f>
        <v>9.375</v>
      </c>
      <c r="T4" s="73">
        <f>ROUNDDOWN(Mileage_table[[#This Row],[Average mileage]],0)</f>
        <v>9</v>
      </c>
      <c r="X4" s="17" t="s">
        <v>308</v>
      </c>
      <c r="Y4" s="17" t="s">
        <v>309</v>
      </c>
    </row>
    <row r="5" spans="1:25" ht="14.4" x14ac:dyDescent="0.3">
      <c r="A5" s="85" t="str">
        <f>VLOOKUP(B5,Vehicle_code_vs_name[],2,0)</f>
        <v>Eicher 14</v>
      </c>
      <c r="B5" s="72" t="s">
        <v>396</v>
      </c>
      <c r="C5" s="55">
        <v>9</v>
      </c>
      <c r="D5" s="55">
        <v>8</v>
      </c>
      <c r="E5" s="55">
        <v>9</v>
      </c>
      <c r="F5" s="55">
        <v>9</v>
      </c>
      <c r="G5" s="55">
        <v>9</v>
      </c>
      <c r="H5" s="83">
        <f>0</f>
        <v>0</v>
      </c>
      <c r="I5" s="55">
        <v>7</v>
      </c>
      <c r="J5" s="55">
        <v>6</v>
      </c>
      <c r="K5" s="83">
        <f>0</f>
        <v>0</v>
      </c>
      <c r="L5" s="83">
        <f>0</f>
        <v>0</v>
      </c>
      <c r="M5" s="83">
        <f>0</f>
        <v>0</v>
      </c>
      <c r="N5" s="83">
        <f>0</f>
        <v>0</v>
      </c>
      <c r="O5" s="55">
        <v>7</v>
      </c>
      <c r="P5" s="55">
        <v>9</v>
      </c>
      <c r="Q5" s="55">
        <v>7</v>
      </c>
      <c r="R5" s="55">
        <v>9</v>
      </c>
      <c r="S5" s="56">
        <f>SUM(Mileage_table[[#This Row],[Mumbai]:[Lucknow]])/COUNTIF(Mileage_table[[#This Row],[Mumbai]:[Lucknow]],"&gt;0")</f>
        <v>8.0909090909090917</v>
      </c>
      <c r="T5" s="73">
        <f>ROUNDDOWN(Mileage_table[[#This Row],[Average mileage]],0)</f>
        <v>8</v>
      </c>
      <c r="X5" s="17" t="s">
        <v>310</v>
      </c>
      <c r="Y5" s="17" t="s">
        <v>311</v>
      </c>
    </row>
    <row r="6" spans="1:25" ht="14.4" x14ac:dyDescent="0.3">
      <c r="A6" s="85" t="str">
        <f>VLOOKUP(B6,Vehicle_code_vs_name[],2,0)</f>
        <v>Eicher 17</v>
      </c>
      <c r="B6" s="72" t="s">
        <v>397</v>
      </c>
      <c r="C6" s="55">
        <v>7</v>
      </c>
      <c r="D6" s="55">
        <v>7</v>
      </c>
      <c r="E6" s="55">
        <v>7</v>
      </c>
      <c r="F6" s="55">
        <v>7</v>
      </c>
      <c r="G6" s="55">
        <v>7</v>
      </c>
      <c r="H6" s="55">
        <v>8</v>
      </c>
      <c r="I6" s="83">
        <f>0</f>
        <v>0</v>
      </c>
      <c r="J6" s="55">
        <v>6</v>
      </c>
      <c r="K6" s="83">
        <f>0</f>
        <v>0</v>
      </c>
      <c r="L6" s="83">
        <f>0</f>
        <v>0</v>
      </c>
      <c r="M6" s="83">
        <f>0</f>
        <v>0</v>
      </c>
      <c r="N6" s="83">
        <f>0</f>
        <v>0</v>
      </c>
      <c r="O6" s="55">
        <v>6</v>
      </c>
      <c r="P6" s="83">
        <f>0</f>
        <v>0</v>
      </c>
      <c r="Q6" s="55">
        <v>7</v>
      </c>
      <c r="R6" s="55">
        <v>7</v>
      </c>
      <c r="S6" s="56">
        <f>SUM(Mileage_table[[#This Row],[Mumbai]:[Lucknow]])/COUNTIF(Mileage_table[[#This Row],[Mumbai]:[Lucknow]],"&gt;0")</f>
        <v>6.9</v>
      </c>
      <c r="T6" s="73">
        <f>ROUNDDOWN(Mileage_table[[#This Row],[Average mileage]],0)</f>
        <v>6</v>
      </c>
      <c r="X6" s="17" t="s">
        <v>312</v>
      </c>
      <c r="Y6" s="17" t="s">
        <v>313</v>
      </c>
    </row>
    <row r="7" spans="1:25" ht="14.4" x14ac:dyDescent="0.3">
      <c r="A7" s="85" t="str">
        <f>VLOOKUP(B7,Vehicle_code_vs_name[],2,0)</f>
        <v>Eicher 19</v>
      </c>
      <c r="B7" s="72" t="s">
        <v>400</v>
      </c>
      <c r="C7" s="55">
        <v>7</v>
      </c>
      <c r="D7" s="55">
        <v>7</v>
      </c>
      <c r="E7" s="55">
        <v>7</v>
      </c>
      <c r="F7" s="55">
        <v>7</v>
      </c>
      <c r="G7" s="55">
        <v>7</v>
      </c>
      <c r="H7" s="83">
        <f>0</f>
        <v>0</v>
      </c>
      <c r="I7" s="83">
        <f>0</f>
        <v>0</v>
      </c>
      <c r="J7" s="55">
        <v>6</v>
      </c>
      <c r="K7" s="83">
        <f>0</f>
        <v>0</v>
      </c>
      <c r="L7" s="83">
        <f>0</f>
        <v>0</v>
      </c>
      <c r="M7" s="83">
        <f>0</f>
        <v>0</v>
      </c>
      <c r="N7" s="55">
        <v>7</v>
      </c>
      <c r="O7" s="55">
        <v>7</v>
      </c>
      <c r="P7" s="55">
        <v>7</v>
      </c>
      <c r="Q7" s="55">
        <v>7</v>
      </c>
      <c r="R7" s="55">
        <v>7</v>
      </c>
      <c r="S7" s="56">
        <f>SUM(Mileage_table[[#This Row],[Mumbai]:[Lucknow]])/COUNTIF(Mileage_table[[#This Row],[Mumbai]:[Lucknow]],"&gt;0")</f>
        <v>6.9090909090909092</v>
      </c>
      <c r="T7" s="73">
        <f>ROUNDDOWN(Mileage_table[[#This Row],[Average mileage]],0)</f>
        <v>6</v>
      </c>
      <c r="X7" s="17" t="s">
        <v>314</v>
      </c>
      <c r="Y7" s="17" t="s">
        <v>303</v>
      </c>
    </row>
    <row r="8" spans="1:25" ht="14.4" x14ac:dyDescent="0.3">
      <c r="A8" s="85" t="str">
        <f>VLOOKUP(B8,Vehicle_code_vs_name[],2,0)</f>
        <v>22 ft</v>
      </c>
      <c r="B8" s="72" t="s">
        <v>184</v>
      </c>
      <c r="C8" s="55">
        <v>5</v>
      </c>
      <c r="D8" s="55">
        <v>6</v>
      </c>
      <c r="E8" s="55">
        <v>6</v>
      </c>
      <c r="F8" s="55">
        <v>6</v>
      </c>
      <c r="G8" s="55">
        <v>6</v>
      </c>
      <c r="H8" s="83">
        <f>0</f>
        <v>0</v>
      </c>
      <c r="I8" s="55">
        <v>6</v>
      </c>
      <c r="J8" s="55">
        <v>5</v>
      </c>
      <c r="K8" s="83">
        <f>0</f>
        <v>0</v>
      </c>
      <c r="L8" s="83">
        <f>0</f>
        <v>0</v>
      </c>
      <c r="M8" s="83">
        <f>0</f>
        <v>0</v>
      </c>
      <c r="N8" s="83">
        <f>0</f>
        <v>0</v>
      </c>
      <c r="O8" s="55">
        <v>6</v>
      </c>
      <c r="P8" s="83">
        <f>0</f>
        <v>0</v>
      </c>
      <c r="Q8" s="55">
        <v>6</v>
      </c>
      <c r="R8" s="83">
        <f>0</f>
        <v>0</v>
      </c>
      <c r="S8" s="56">
        <f>SUM(Mileage_table[[#This Row],[Mumbai]:[Lucknow]])/COUNTIF(Mileage_table[[#This Row],[Mumbai]:[Lucknow]],"&gt;0")</f>
        <v>5.7777777777777777</v>
      </c>
      <c r="T8" s="73">
        <f>ROUNDDOWN(Mileage_table[[#This Row],[Average mileage]],0)</f>
        <v>5</v>
      </c>
      <c r="X8" s="17" t="s">
        <v>315</v>
      </c>
      <c r="Y8" s="17" t="s">
        <v>316</v>
      </c>
    </row>
    <row r="9" spans="1:25" ht="14.4" x14ac:dyDescent="0.3">
      <c r="A9" s="85" t="str">
        <f>VLOOKUP(B9,Vehicle_code_vs_name[],2,0)</f>
        <v>Eicher 20</v>
      </c>
      <c r="B9" s="72" t="s">
        <v>399</v>
      </c>
      <c r="C9" s="55">
        <v>7</v>
      </c>
      <c r="D9" s="55">
        <v>7</v>
      </c>
      <c r="E9" s="55">
        <v>6</v>
      </c>
      <c r="F9" s="55">
        <v>6</v>
      </c>
      <c r="G9" s="55">
        <v>6</v>
      </c>
      <c r="H9" s="55">
        <v>7</v>
      </c>
      <c r="I9" s="83">
        <f>0</f>
        <v>0</v>
      </c>
      <c r="J9" s="83">
        <f>0</f>
        <v>0</v>
      </c>
      <c r="K9" s="83">
        <f>0</f>
        <v>0</v>
      </c>
      <c r="L9" s="83">
        <f>0</f>
        <v>0</v>
      </c>
      <c r="M9" s="83">
        <f>0</f>
        <v>0</v>
      </c>
      <c r="N9" s="55">
        <v>7</v>
      </c>
      <c r="O9" s="55">
        <v>7</v>
      </c>
      <c r="P9" s="55">
        <v>6</v>
      </c>
      <c r="Q9" s="55">
        <v>6</v>
      </c>
      <c r="R9" s="55">
        <v>6</v>
      </c>
      <c r="S9" s="56">
        <f>SUM(Mileage_table[[#This Row],[Mumbai]:[Lucknow]])/COUNTIF(Mileage_table[[#This Row],[Mumbai]:[Lucknow]],"&gt;0")</f>
        <v>6.4545454545454541</v>
      </c>
      <c r="T9" s="73">
        <f>ROUNDDOWN(Mileage_table[[#This Row],[Average mileage]],0)</f>
        <v>6</v>
      </c>
      <c r="X9" s="17" t="s">
        <v>317</v>
      </c>
      <c r="Y9" s="17" t="s">
        <v>318</v>
      </c>
    </row>
    <row r="10" spans="1:25" ht="14.4" x14ac:dyDescent="0.3">
      <c r="A10" s="85" t="str">
        <f>VLOOKUP(B10,Vehicle_code_vs_name[],2,0)</f>
        <v>Eicher 32 ft</v>
      </c>
      <c r="B10" s="72" t="s">
        <v>402</v>
      </c>
      <c r="C10" s="55">
        <v>3</v>
      </c>
      <c r="D10" s="55">
        <v>3</v>
      </c>
      <c r="E10" s="55">
        <v>3</v>
      </c>
      <c r="F10" s="55">
        <v>3</v>
      </c>
      <c r="G10" s="55">
        <v>3</v>
      </c>
      <c r="H10" s="83">
        <f>0</f>
        <v>0</v>
      </c>
      <c r="I10" s="83">
        <f>0</f>
        <v>0</v>
      </c>
      <c r="J10" s="55">
        <v>3</v>
      </c>
      <c r="K10" s="83">
        <f>0</f>
        <v>0</v>
      </c>
      <c r="L10" s="83">
        <f>0</f>
        <v>0</v>
      </c>
      <c r="M10" s="83">
        <f>0</f>
        <v>0</v>
      </c>
      <c r="N10" s="83">
        <f>0</f>
        <v>0</v>
      </c>
      <c r="O10" s="55">
        <v>3</v>
      </c>
      <c r="P10" s="83">
        <f>0</f>
        <v>0</v>
      </c>
      <c r="Q10" s="83">
        <f>0</f>
        <v>0</v>
      </c>
      <c r="R10" s="83">
        <f>0</f>
        <v>0</v>
      </c>
      <c r="S10" s="56">
        <f>SUM(Mileage_table[[#This Row],[Mumbai]:[Lucknow]])/COUNTIF(Mileage_table[[#This Row],[Mumbai]:[Lucknow]],"&gt;0")</f>
        <v>3</v>
      </c>
      <c r="T10" s="73">
        <f>ROUNDDOWN(Mileage_table[[#This Row],[Average mileage]],0)</f>
        <v>3</v>
      </c>
      <c r="X10" s="17" t="s">
        <v>319</v>
      </c>
      <c r="Y10" s="17" t="s">
        <v>320</v>
      </c>
    </row>
    <row r="11" spans="1:25" ht="14.4" x14ac:dyDescent="0.3">
      <c r="A11" s="85" t="str">
        <f>VLOOKUP(B11,Vehicle_code_vs_name[],2,0)</f>
        <v>3wheeler</v>
      </c>
      <c r="B11" s="72" t="s">
        <v>227</v>
      </c>
      <c r="C11" s="55">
        <v>10</v>
      </c>
      <c r="D11" s="55">
        <v>10</v>
      </c>
      <c r="E11" s="55">
        <v>10</v>
      </c>
      <c r="F11" s="55">
        <v>10</v>
      </c>
      <c r="G11" s="55">
        <v>10</v>
      </c>
      <c r="H11" s="83">
        <f>0</f>
        <v>0</v>
      </c>
      <c r="I11" s="83">
        <f>0</f>
        <v>0</v>
      </c>
      <c r="J11" s="55">
        <v>10</v>
      </c>
      <c r="K11" s="83">
        <f>0</f>
        <v>0</v>
      </c>
      <c r="L11" s="83">
        <f>0</f>
        <v>0</v>
      </c>
      <c r="M11" s="83">
        <f>0</f>
        <v>0</v>
      </c>
      <c r="N11" s="83">
        <f>0</f>
        <v>0</v>
      </c>
      <c r="O11" s="55">
        <v>10</v>
      </c>
      <c r="P11" s="55">
        <v>10</v>
      </c>
      <c r="Q11" s="55">
        <v>10</v>
      </c>
      <c r="R11" s="83">
        <f>0</f>
        <v>0</v>
      </c>
      <c r="S11" s="56">
        <f>SUM(Mileage_table[[#This Row],[Mumbai]:[Lucknow]])/COUNTIF(Mileage_table[[#This Row],[Mumbai]:[Lucknow]],"&gt;0")</f>
        <v>10</v>
      </c>
      <c r="T11" s="73">
        <f>ROUNDDOWN(Mileage_table[[#This Row],[Average mileage]],0)</f>
        <v>10</v>
      </c>
      <c r="X11" s="17" t="s">
        <v>321</v>
      </c>
      <c r="Y11" s="17" t="s">
        <v>322</v>
      </c>
    </row>
    <row r="12" spans="1:25" ht="14.4" x14ac:dyDescent="0.3">
      <c r="A12" s="85" t="str">
        <f>VLOOKUP(B12,Vehicle_code_vs_name[],2,0)</f>
        <v>Tata 909</v>
      </c>
      <c r="B12" s="72">
        <v>909</v>
      </c>
      <c r="C12" s="55">
        <v>7</v>
      </c>
      <c r="D12" s="55">
        <v>7</v>
      </c>
      <c r="E12" s="55">
        <v>7</v>
      </c>
      <c r="F12" s="55">
        <v>7</v>
      </c>
      <c r="G12" s="55">
        <v>7</v>
      </c>
      <c r="H12" s="55">
        <v>7</v>
      </c>
      <c r="I12" s="55">
        <v>7</v>
      </c>
      <c r="J12" s="55">
        <v>7</v>
      </c>
      <c r="K12" s="55">
        <v>7</v>
      </c>
      <c r="L12" s="55">
        <v>7</v>
      </c>
      <c r="M12" s="55">
        <v>7</v>
      </c>
      <c r="N12" s="55">
        <v>7</v>
      </c>
      <c r="O12" s="55">
        <v>7</v>
      </c>
      <c r="P12" s="55">
        <v>7</v>
      </c>
      <c r="Q12" s="55">
        <v>7</v>
      </c>
      <c r="R12" s="55">
        <v>7</v>
      </c>
      <c r="S12" s="56">
        <f>SUM(Mileage_table[[#This Row],[Mumbai]:[Lucknow]])/COUNTIF(Mileage_table[[#This Row],[Mumbai]:[Lucknow]],"&gt;0")</f>
        <v>7</v>
      </c>
      <c r="T12" s="73">
        <f>ROUNDDOWN(Mileage_table[[#This Row],[Average mileage]],0)</f>
        <v>7</v>
      </c>
      <c r="X12" s="17" t="s">
        <v>323</v>
      </c>
      <c r="Y12" s="17" t="s">
        <v>324</v>
      </c>
    </row>
    <row r="13" spans="1:25" ht="14.4" x14ac:dyDescent="0.3">
      <c r="A13" s="85" t="str">
        <f>VLOOKUP(B13,Vehicle_code_vs_name[],2,0)</f>
        <v>Tata 1109</v>
      </c>
      <c r="B13" s="72">
        <v>1109</v>
      </c>
      <c r="C13" s="55">
        <v>6</v>
      </c>
      <c r="D13" s="55">
        <v>6</v>
      </c>
      <c r="E13" s="55">
        <v>6</v>
      </c>
      <c r="F13" s="55">
        <v>6</v>
      </c>
      <c r="G13" s="55">
        <v>6</v>
      </c>
      <c r="H13" s="55">
        <v>6</v>
      </c>
      <c r="I13" s="55">
        <v>6</v>
      </c>
      <c r="J13" s="55">
        <v>6</v>
      </c>
      <c r="K13" s="55">
        <v>6</v>
      </c>
      <c r="L13" s="55">
        <v>6</v>
      </c>
      <c r="M13" s="55">
        <v>6</v>
      </c>
      <c r="N13" s="55">
        <v>8</v>
      </c>
      <c r="O13" s="55">
        <v>6</v>
      </c>
      <c r="P13" s="55">
        <v>6</v>
      </c>
      <c r="Q13" s="55">
        <v>6</v>
      </c>
      <c r="R13" s="55">
        <v>6</v>
      </c>
      <c r="S13" s="56">
        <f>SUM(Mileage_table[[#This Row],[Mumbai]:[Lucknow]])/COUNTIF(Mileage_table[[#This Row],[Mumbai]:[Lucknow]],"&gt;0")</f>
        <v>6.125</v>
      </c>
      <c r="T13" s="73">
        <f>ROUNDDOWN(Mileage_table[[#This Row],[Average mileage]],0)</f>
        <v>6</v>
      </c>
      <c r="X13" s="17" t="s">
        <v>325</v>
      </c>
      <c r="Y13" s="17" t="s">
        <v>326</v>
      </c>
    </row>
    <row r="14" spans="1:25" ht="14.4" x14ac:dyDescent="0.3">
      <c r="A14" s="85" t="str">
        <f>VLOOKUP(B14,Vehicle_code_vs_name[],2,0)</f>
        <v>Mahindra</v>
      </c>
      <c r="B14" s="72" t="s">
        <v>260</v>
      </c>
      <c r="C14" s="55">
        <v>12</v>
      </c>
      <c r="D14" s="55">
        <v>12</v>
      </c>
      <c r="E14" s="55">
        <v>12</v>
      </c>
      <c r="F14" s="55">
        <v>12</v>
      </c>
      <c r="G14" s="55">
        <v>12</v>
      </c>
      <c r="H14" s="83">
        <f>0</f>
        <v>0</v>
      </c>
      <c r="I14" s="83">
        <f>0</f>
        <v>0</v>
      </c>
      <c r="J14" s="55">
        <v>12</v>
      </c>
      <c r="K14" s="83">
        <f>0</f>
        <v>0</v>
      </c>
      <c r="L14" s="83">
        <f>0</f>
        <v>0</v>
      </c>
      <c r="M14" s="83">
        <f>0</f>
        <v>0</v>
      </c>
      <c r="N14" s="83">
        <f>0</f>
        <v>0</v>
      </c>
      <c r="O14" s="55">
        <v>12</v>
      </c>
      <c r="P14" s="55">
        <v>12</v>
      </c>
      <c r="Q14" s="55">
        <v>12</v>
      </c>
      <c r="R14" s="83">
        <f>0</f>
        <v>0</v>
      </c>
      <c r="S14" s="56">
        <f>SUM(Mileage_table[[#This Row],[Mumbai]:[Lucknow]])/COUNTIF(Mileage_table[[#This Row],[Mumbai]:[Lucknow]],"&gt;0")</f>
        <v>12</v>
      </c>
      <c r="T14" s="73">
        <f>ROUNDDOWN(Mileage_table[[#This Row],[Average mileage]],0)</f>
        <v>12</v>
      </c>
      <c r="X14" s="17" t="s">
        <v>327</v>
      </c>
      <c r="Y14" s="17" t="s">
        <v>328</v>
      </c>
    </row>
    <row r="15" spans="1:25" ht="14.4" x14ac:dyDescent="0.3">
      <c r="A15" s="85" t="str">
        <f>VLOOKUP(B15,Vehicle_code_vs_name[],2,0)</f>
        <v>Champion</v>
      </c>
      <c r="B15" s="72" t="s">
        <v>269</v>
      </c>
      <c r="C15" s="55">
        <v>10</v>
      </c>
      <c r="D15" s="55">
        <v>10</v>
      </c>
      <c r="E15" s="55">
        <v>10</v>
      </c>
      <c r="F15" s="55">
        <v>10</v>
      </c>
      <c r="G15" s="55">
        <v>10</v>
      </c>
      <c r="H15" s="83">
        <f>0</f>
        <v>0</v>
      </c>
      <c r="I15" s="83">
        <f>0</f>
        <v>0</v>
      </c>
      <c r="J15" s="55">
        <v>10</v>
      </c>
      <c r="K15" s="83">
        <f>0</f>
        <v>0</v>
      </c>
      <c r="L15" s="83">
        <f>0</f>
        <v>0</v>
      </c>
      <c r="M15" s="83">
        <f>0</f>
        <v>0</v>
      </c>
      <c r="N15" s="83">
        <f>0</f>
        <v>0</v>
      </c>
      <c r="O15" s="55">
        <v>10</v>
      </c>
      <c r="P15" s="55">
        <v>10</v>
      </c>
      <c r="Q15" s="55">
        <v>10</v>
      </c>
      <c r="R15" s="83">
        <f>0</f>
        <v>0</v>
      </c>
      <c r="S15" s="56">
        <f>SUM(Mileage_table[[#This Row],[Mumbai]:[Lucknow]])/COUNTIF(Mileage_table[[#This Row],[Mumbai]:[Lucknow]],"&gt;0")</f>
        <v>10</v>
      </c>
      <c r="T15" s="73">
        <f>ROUNDDOWN(Mileage_table[[#This Row],[Average mileage]],0)</f>
        <v>10</v>
      </c>
      <c r="X15" s="17" t="s">
        <v>329</v>
      </c>
      <c r="Y15" s="17" t="s">
        <v>330</v>
      </c>
    </row>
    <row r="16" spans="1:25" ht="14.4" x14ac:dyDescent="0.3">
      <c r="A16" s="85" t="str">
        <f>VLOOKUP(B16,Vehicle_code_vs_name[],2,0)</f>
        <v>Trump Forec</v>
      </c>
      <c r="B16" s="72" t="s">
        <v>277</v>
      </c>
      <c r="C16" s="55">
        <v>15</v>
      </c>
      <c r="D16" s="55">
        <v>15</v>
      </c>
      <c r="E16" s="55">
        <v>15</v>
      </c>
      <c r="F16" s="55">
        <v>15</v>
      </c>
      <c r="G16" s="55">
        <v>15</v>
      </c>
      <c r="H16" s="83">
        <f>0</f>
        <v>0</v>
      </c>
      <c r="I16" s="55">
        <v>15</v>
      </c>
      <c r="J16" s="55">
        <v>15</v>
      </c>
      <c r="K16" s="55">
        <v>15</v>
      </c>
      <c r="L16" s="55">
        <v>15</v>
      </c>
      <c r="M16" s="83">
        <f>0</f>
        <v>0</v>
      </c>
      <c r="N16" s="83">
        <f>0</f>
        <v>0</v>
      </c>
      <c r="O16" s="55">
        <v>15</v>
      </c>
      <c r="P16" s="55">
        <v>15</v>
      </c>
      <c r="Q16" s="55">
        <v>15</v>
      </c>
      <c r="R16" s="83">
        <f>0</f>
        <v>0</v>
      </c>
      <c r="S16" s="56">
        <f>SUM(Mileage_table[[#This Row],[Mumbai]:[Lucknow]])/COUNTIF(Mileage_table[[#This Row],[Mumbai]:[Lucknow]],"&gt;0")</f>
        <v>15</v>
      </c>
      <c r="T16" s="73">
        <f>ROUNDDOWN(Mileage_table[[#This Row],[Average mileage]],0)</f>
        <v>15</v>
      </c>
      <c r="X16" s="17" t="s">
        <v>331</v>
      </c>
      <c r="Y16" s="17" t="s">
        <v>332</v>
      </c>
    </row>
    <row r="17" spans="1:25" ht="14.4" x14ac:dyDescent="0.3">
      <c r="A17" s="85" t="str">
        <f>VLOOKUP(B17,Vehicle_code_vs_name[],2,0)</f>
        <v>Super ace</v>
      </c>
      <c r="B17" s="72" t="s">
        <v>284</v>
      </c>
      <c r="C17" s="55">
        <v>15</v>
      </c>
      <c r="D17" s="55">
        <v>15</v>
      </c>
      <c r="E17" s="55">
        <v>15</v>
      </c>
      <c r="F17" s="55">
        <v>15</v>
      </c>
      <c r="G17" s="55">
        <v>15</v>
      </c>
      <c r="H17" s="83">
        <f>0</f>
        <v>0</v>
      </c>
      <c r="I17" s="55">
        <v>15</v>
      </c>
      <c r="J17" s="55">
        <v>15</v>
      </c>
      <c r="K17" s="55">
        <v>15</v>
      </c>
      <c r="L17" s="55">
        <v>15</v>
      </c>
      <c r="M17" s="83">
        <f>0</f>
        <v>0</v>
      </c>
      <c r="N17" s="55">
        <v>13</v>
      </c>
      <c r="O17" s="55">
        <v>15</v>
      </c>
      <c r="P17" s="55">
        <v>15</v>
      </c>
      <c r="Q17" s="55">
        <v>15</v>
      </c>
      <c r="R17" s="83">
        <f>0</f>
        <v>0</v>
      </c>
      <c r="S17" s="56">
        <f>SUM(Mileage_table[[#This Row],[Mumbai]:[Lucknow]])/COUNTIF(Mileage_table[[#This Row],[Mumbai]:[Lucknow]],"&gt;0")</f>
        <v>14.846153846153847</v>
      </c>
      <c r="T17" s="73">
        <f>ROUNDDOWN(Mileage_table[[#This Row],[Average mileage]],0)</f>
        <v>14</v>
      </c>
      <c r="X17" s="17" t="s">
        <v>333</v>
      </c>
      <c r="Y17" s="17" t="s">
        <v>334</v>
      </c>
    </row>
    <row r="18" spans="1:25" ht="14.4" x14ac:dyDescent="0.3">
      <c r="A18" s="85" t="str">
        <f>VLOOKUP(B18,Vehicle_code_vs_name[],2,0)</f>
        <v>Cargo king</v>
      </c>
      <c r="B18" s="72" t="s">
        <v>15</v>
      </c>
      <c r="C18" s="55">
        <v>10</v>
      </c>
      <c r="D18" s="55">
        <v>10</v>
      </c>
      <c r="E18" s="55">
        <v>10</v>
      </c>
      <c r="F18" s="55">
        <v>10</v>
      </c>
      <c r="G18" s="55">
        <v>10</v>
      </c>
      <c r="H18" s="83">
        <f>0</f>
        <v>0</v>
      </c>
      <c r="I18" s="55">
        <v>10</v>
      </c>
      <c r="J18" s="55">
        <v>10</v>
      </c>
      <c r="K18" s="55">
        <v>10</v>
      </c>
      <c r="L18" s="55">
        <v>10</v>
      </c>
      <c r="M18" s="83">
        <f>0</f>
        <v>0</v>
      </c>
      <c r="N18" s="83">
        <f>0</f>
        <v>0</v>
      </c>
      <c r="O18" s="55">
        <v>10</v>
      </c>
      <c r="P18" s="55">
        <v>10</v>
      </c>
      <c r="Q18" s="55">
        <v>10</v>
      </c>
      <c r="R18" s="83">
        <f>0</f>
        <v>0</v>
      </c>
      <c r="S18" s="56">
        <f>SUM(Mileage_table[[#This Row],[Mumbai]:[Lucknow]])/COUNTIF(Mileage_table[[#This Row],[Mumbai]:[Lucknow]],"&gt;0")</f>
        <v>10</v>
      </c>
      <c r="T18" s="73">
        <f>ROUNDDOWN(Mileage_table[[#This Row],[Average mileage]],0)</f>
        <v>10</v>
      </c>
      <c r="X18" s="17" t="s">
        <v>335</v>
      </c>
      <c r="Y18" s="17" t="s">
        <v>336</v>
      </c>
    </row>
    <row r="19" spans="1:25" ht="14.4" x14ac:dyDescent="0.3">
      <c r="A19" s="85" t="str">
        <f>VLOOKUP(B19,Vehicle_code_vs_name[],2,0)</f>
        <v>24 FT</v>
      </c>
      <c r="B19" s="72" t="s">
        <v>292</v>
      </c>
      <c r="C19" s="55">
        <v>4</v>
      </c>
      <c r="D19" s="55">
        <v>4</v>
      </c>
      <c r="E19" s="55">
        <v>4</v>
      </c>
      <c r="F19" s="55">
        <v>4</v>
      </c>
      <c r="G19" s="55">
        <v>4</v>
      </c>
      <c r="H19" s="55">
        <v>4</v>
      </c>
      <c r="I19" s="55">
        <v>4</v>
      </c>
      <c r="J19" s="83">
        <f>0</f>
        <v>0</v>
      </c>
      <c r="K19" s="55">
        <v>4</v>
      </c>
      <c r="L19" s="55">
        <v>4</v>
      </c>
      <c r="M19" s="83">
        <f>0</f>
        <v>0</v>
      </c>
      <c r="N19" s="83">
        <f>0</f>
        <v>0</v>
      </c>
      <c r="O19" s="55">
        <v>4</v>
      </c>
      <c r="P19" s="55">
        <v>4</v>
      </c>
      <c r="Q19" s="55">
        <v>4</v>
      </c>
      <c r="R19" s="83">
        <f>0</f>
        <v>0</v>
      </c>
      <c r="S19" s="56">
        <f>SUM(Mileage_table[[#This Row],[Mumbai]:[Lucknow]])/COUNTIF(Mileage_table[[#This Row],[Mumbai]:[Lucknow]],"&gt;0")</f>
        <v>4</v>
      </c>
      <c r="T19" s="73">
        <f>ROUNDDOWN(Mileage_table[[#This Row],[Average mileage]],0)</f>
        <v>4</v>
      </c>
      <c r="X19" s="17" t="s">
        <v>337</v>
      </c>
      <c r="Y19" s="17" t="s">
        <v>338</v>
      </c>
    </row>
    <row r="20" spans="1:25" ht="15.75" customHeight="1" x14ac:dyDescent="0.3">
      <c r="A20" s="85" t="str">
        <f>VLOOKUP(B20,Vehicle_code_vs_name[],2,0)</f>
        <v>AL Dost</v>
      </c>
      <c r="B20" s="72" t="s">
        <v>295</v>
      </c>
      <c r="C20" s="55">
        <v>12</v>
      </c>
      <c r="D20" s="55">
        <v>12</v>
      </c>
      <c r="E20" s="55">
        <v>12</v>
      </c>
      <c r="F20" s="55">
        <v>12</v>
      </c>
      <c r="G20" s="55">
        <v>12</v>
      </c>
      <c r="H20" s="55">
        <v>12</v>
      </c>
      <c r="I20" s="55">
        <v>12</v>
      </c>
      <c r="J20" s="83">
        <f>0</f>
        <v>0</v>
      </c>
      <c r="K20" s="55">
        <v>12</v>
      </c>
      <c r="L20" s="55">
        <v>12</v>
      </c>
      <c r="M20" s="83">
        <f>0</f>
        <v>0</v>
      </c>
      <c r="N20" s="83">
        <f>0</f>
        <v>0</v>
      </c>
      <c r="O20" s="55">
        <v>12</v>
      </c>
      <c r="P20" s="55">
        <v>12</v>
      </c>
      <c r="Q20" s="55">
        <v>12</v>
      </c>
      <c r="R20" s="83">
        <f>0</f>
        <v>0</v>
      </c>
      <c r="S20" s="56">
        <f>SUM(Mileage_table[[#This Row],[Mumbai]:[Lucknow]])/COUNTIF(Mileage_table[[#This Row],[Mumbai]:[Lucknow]],"&gt;0")</f>
        <v>12</v>
      </c>
      <c r="T20" s="73">
        <f>ROUNDDOWN(Mileage_table[[#This Row],[Average mileage]],0)</f>
        <v>12</v>
      </c>
      <c r="X20" s="17" t="s">
        <v>339</v>
      </c>
      <c r="Y20" s="17" t="s">
        <v>340</v>
      </c>
    </row>
    <row r="21" spans="1:25" ht="15.75" customHeight="1" x14ac:dyDescent="0.3">
      <c r="A21" s="86" t="str">
        <f>VLOOKUP(B21,Vehicle_code_vs_name[],2,0)</f>
        <v>Taurus</v>
      </c>
      <c r="B21" s="77" t="s">
        <v>298</v>
      </c>
      <c r="C21" s="84">
        <f>0</f>
        <v>0</v>
      </c>
      <c r="D21" s="78">
        <v>6</v>
      </c>
      <c r="E21" s="84">
        <f>0</f>
        <v>0</v>
      </c>
      <c r="F21" s="84">
        <f>0</f>
        <v>0</v>
      </c>
      <c r="G21" s="84">
        <f>0</f>
        <v>0</v>
      </c>
      <c r="H21" s="78">
        <v>6</v>
      </c>
      <c r="I21" s="84">
        <f>0</f>
        <v>0</v>
      </c>
      <c r="J21" s="84">
        <f>0</f>
        <v>0</v>
      </c>
      <c r="K21" s="84">
        <f>0</f>
        <v>0</v>
      </c>
      <c r="L21" s="84">
        <f>0</f>
        <v>0</v>
      </c>
      <c r="M21" s="84">
        <f>0</f>
        <v>0</v>
      </c>
      <c r="N21" s="84">
        <f>0</f>
        <v>0</v>
      </c>
      <c r="O21" s="78">
        <v>6</v>
      </c>
      <c r="P21" s="84">
        <f>0</f>
        <v>0</v>
      </c>
      <c r="Q21" s="84">
        <f>0</f>
        <v>0</v>
      </c>
      <c r="R21" s="84">
        <f>0</f>
        <v>0</v>
      </c>
      <c r="S21" s="79">
        <f>SUM(Mileage_table[[#This Row],[Mumbai]:[Lucknow]])/COUNTIF(Mileage_table[[#This Row],[Mumbai]:[Lucknow]],"&gt;0")</f>
        <v>6</v>
      </c>
      <c r="T21" s="80">
        <f>ROUNDDOWN(Mileage_table[[#This Row],[Average mileage]],0)</f>
        <v>6</v>
      </c>
      <c r="X21" s="17" t="s">
        <v>341</v>
      </c>
      <c r="Y21" s="17" t="s">
        <v>342</v>
      </c>
    </row>
    <row r="22" spans="1:25" ht="15.75" customHeight="1" thickBot="1" x14ac:dyDescent="0.35">
      <c r="X22" s="17" t="s">
        <v>343</v>
      </c>
      <c r="Y22" s="17" t="s">
        <v>344</v>
      </c>
    </row>
    <row r="23" spans="1:25" ht="15.75" customHeight="1" thickBot="1" x14ac:dyDescent="0.35">
      <c r="A23" s="110" t="s">
        <v>469</v>
      </c>
      <c r="X23" s="17" t="s">
        <v>345</v>
      </c>
      <c r="Y23" s="17" t="s">
        <v>346</v>
      </c>
    </row>
    <row r="24" spans="1:25" ht="15.75" customHeight="1" x14ac:dyDescent="0.3">
      <c r="X24" s="17" t="s">
        <v>347</v>
      </c>
      <c r="Y24" s="17" t="s">
        <v>348</v>
      </c>
    </row>
    <row r="25" spans="1:25" ht="15.75" customHeight="1" x14ac:dyDescent="0.3">
      <c r="X25" s="17" t="s">
        <v>349</v>
      </c>
      <c r="Y25" s="17" t="s">
        <v>350</v>
      </c>
    </row>
    <row r="26" spans="1:25" ht="15.75" customHeight="1" x14ac:dyDescent="0.3">
      <c r="X26" s="17" t="s">
        <v>351</v>
      </c>
      <c r="Y26" s="17" t="s">
        <v>352</v>
      </c>
    </row>
    <row r="27" spans="1:25" ht="15.75" customHeight="1" x14ac:dyDescent="0.3">
      <c r="X27" s="17" t="s">
        <v>353</v>
      </c>
      <c r="Y27" s="17" t="s">
        <v>354</v>
      </c>
    </row>
    <row r="28" spans="1:25" ht="15.75" customHeight="1" x14ac:dyDescent="0.3">
      <c r="X28" s="17" t="s">
        <v>355</v>
      </c>
      <c r="Y28" s="17" t="s">
        <v>356</v>
      </c>
    </row>
    <row r="29" spans="1:25" ht="15.75" customHeight="1" x14ac:dyDescent="0.3">
      <c r="X29" s="17" t="s">
        <v>357</v>
      </c>
      <c r="Y29" s="17" t="s">
        <v>358</v>
      </c>
    </row>
    <row r="30" spans="1:25" ht="15.75" customHeight="1" x14ac:dyDescent="0.3">
      <c r="X30" s="17" t="s">
        <v>359</v>
      </c>
      <c r="Y30" s="17" t="s">
        <v>360</v>
      </c>
    </row>
    <row r="31" spans="1:25" ht="15.75" customHeight="1" x14ac:dyDescent="0.3"/>
    <row r="32" spans="1:25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</sheetData>
  <pageMargins left="0.7" right="0.7" top="0.75" bottom="0.75" header="0" footer="0"/>
  <pageSetup orientation="landscape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3:K1000"/>
  <sheetViews>
    <sheetView workbookViewId="0"/>
  </sheetViews>
  <sheetFormatPr defaultColWidth="12.88671875" defaultRowHeight="15" customHeight="1" x14ac:dyDescent="0.3"/>
  <cols>
    <col min="1" max="1" width="12.109375" customWidth="1"/>
    <col min="2" max="2" width="15.88671875" customWidth="1"/>
    <col min="3" max="3" width="10.109375" customWidth="1"/>
    <col min="4" max="4" width="12.33203125" customWidth="1"/>
    <col min="5" max="5" width="10.33203125" customWidth="1"/>
    <col min="6" max="6" width="11.33203125" customWidth="1"/>
    <col min="7" max="7" width="12.88671875" customWidth="1"/>
    <col min="8" max="8" width="11.33203125" customWidth="1"/>
    <col min="9" max="9" width="11.88671875" customWidth="1"/>
    <col min="10" max="12" width="9.109375" customWidth="1"/>
    <col min="13" max="26" width="10.33203125" customWidth="1"/>
  </cols>
  <sheetData>
    <row r="3" spans="1:11" ht="14.4" x14ac:dyDescent="0.3">
      <c r="A3" s="1" t="s">
        <v>39</v>
      </c>
      <c r="B3" s="4" t="s">
        <v>29</v>
      </c>
      <c r="C3" s="4" t="s">
        <v>30</v>
      </c>
      <c r="D3" s="4" t="s">
        <v>387</v>
      </c>
      <c r="E3" s="4" t="s">
        <v>31</v>
      </c>
      <c r="F3" s="4" t="s">
        <v>33</v>
      </c>
      <c r="G3" s="4" t="s">
        <v>388</v>
      </c>
      <c r="H3" s="4" t="s">
        <v>389</v>
      </c>
      <c r="I3" s="4" t="s">
        <v>390</v>
      </c>
      <c r="K3" s="1"/>
    </row>
    <row r="4" spans="1:11" ht="14.4" x14ac:dyDescent="0.3">
      <c r="A4" s="2" t="s">
        <v>26</v>
      </c>
      <c r="B4" s="3" t="e">
        <f>SUMIFS(#REF!,#REF!,'(Inc) OU Profitability'!A4)</f>
        <v>#REF!</v>
      </c>
      <c r="C4" s="3" t="e">
        <f>SUMIFS(#REF!,#REF!,'(Inc) OU Profitability'!A4)</f>
        <v>#REF!</v>
      </c>
      <c r="D4" s="3" t="e">
        <f>SUMIFS(#REF!,#REF!,'(Inc) OU Profitability'!A4)</f>
        <v>#REF!</v>
      </c>
      <c r="E4" s="3" t="e">
        <f>SUMIFS(#REF!,#REF!,'(Inc) OU Profitability'!A4)</f>
        <v>#REF!</v>
      </c>
      <c r="F4" s="3" t="e">
        <f t="shared" ref="F4:F17" si="0">SUM(B4:E4)</f>
        <v>#REF!</v>
      </c>
      <c r="G4" s="3" t="e">
        <f>SUMIFS(#REF!,#REF!,'(Inc) OU Profitability'!A4)</f>
        <v>#REF!</v>
      </c>
      <c r="H4" s="3" t="e">
        <f t="shared" ref="H4:H17" si="1">G4-F4</f>
        <v>#REF!</v>
      </c>
      <c r="I4" s="5" t="str">
        <f t="shared" ref="I4:I18" si="2">IFERROR(H4/F4,"-")</f>
        <v>-</v>
      </c>
      <c r="K4" s="1"/>
    </row>
    <row r="5" spans="1:11" ht="14.4" x14ac:dyDescent="0.3">
      <c r="A5" s="2" t="s">
        <v>96</v>
      </c>
      <c r="B5" s="3" t="e">
        <f>SUMIFS(#REF!,#REF!,'(Inc) OU Profitability'!A5)</f>
        <v>#REF!</v>
      </c>
      <c r="C5" s="3" t="e">
        <f>SUMIFS(#REF!,#REF!,'(Inc) OU Profitability'!A5)</f>
        <v>#REF!</v>
      </c>
      <c r="D5" s="3" t="e">
        <f>SUMIFS(#REF!,#REF!,'(Inc) OU Profitability'!A5)</f>
        <v>#REF!</v>
      </c>
      <c r="E5" s="3" t="e">
        <f>SUMIFS(#REF!,#REF!,'(Inc) OU Profitability'!A5)</f>
        <v>#REF!</v>
      </c>
      <c r="F5" s="3" t="e">
        <f t="shared" si="0"/>
        <v>#REF!</v>
      </c>
      <c r="G5" s="3" t="e">
        <f>SUMIFS(#REF!,#REF!,'(Inc) OU Profitability'!A5)</f>
        <v>#REF!</v>
      </c>
      <c r="H5" s="3" t="e">
        <f t="shared" si="1"/>
        <v>#REF!</v>
      </c>
      <c r="I5" s="5" t="str">
        <f t="shared" si="2"/>
        <v>-</v>
      </c>
      <c r="K5" s="1"/>
    </row>
    <row r="6" spans="1:11" ht="14.4" x14ac:dyDescent="0.3">
      <c r="A6" s="2" t="s">
        <v>115</v>
      </c>
      <c r="B6" s="3" t="e">
        <f>SUMIFS(#REF!,#REF!,'(Inc) OU Profitability'!A6)</f>
        <v>#REF!</v>
      </c>
      <c r="C6" s="3" t="e">
        <f>SUMIFS(#REF!,#REF!,'(Inc) OU Profitability'!A6)</f>
        <v>#REF!</v>
      </c>
      <c r="D6" s="3" t="e">
        <f>SUMIFS(#REF!,#REF!,'(Inc) OU Profitability'!A6)</f>
        <v>#REF!</v>
      </c>
      <c r="E6" s="3" t="e">
        <f>SUMIFS(#REF!,#REF!,'(Inc) OU Profitability'!A6)</f>
        <v>#REF!</v>
      </c>
      <c r="F6" s="3" t="e">
        <f t="shared" si="0"/>
        <v>#REF!</v>
      </c>
      <c r="G6" s="3" t="e">
        <f>SUMIFS(#REF!,#REF!,'(Inc) OU Profitability'!A6)</f>
        <v>#REF!</v>
      </c>
      <c r="H6" s="3" t="e">
        <f t="shared" si="1"/>
        <v>#REF!</v>
      </c>
      <c r="I6" s="5" t="str">
        <f t="shared" si="2"/>
        <v>-</v>
      </c>
      <c r="K6" s="1"/>
    </row>
    <row r="7" spans="1:11" ht="14.4" x14ac:dyDescent="0.3">
      <c r="A7" s="2" t="s">
        <v>134</v>
      </c>
      <c r="B7" s="3" t="e">
        <f>SUMIFS(#REF!,#REF!,'(Inc) OU Profitability'!A7)</f>
        <v>#REF!</v>
      </c>
      <c r="C7" s="3" t="e">
        <f>SUMIFS(#REF!,#REF!,'(Inc) OU Profitability'!A7)</f>
        <v>#REF!</v>
      </c>
      <c r="D7" s="3" t="e">
        <f>SUMIFS(#REF!,#REF!,'(Inc) OU Profitability'!A7)</f>
        <v>#REF!</v>
      </c>
      <c r="E7" s="3" t="e">
        <f>SUMIFS(#REF!,#REF!,'(Inc) OU Profitability'!A7)</f>
        <v>#REF!</v>
      </c>
      <c r="F7" s="3" t="e">
        <f t="shared" si="0"/>
        <v>#REF!</v>
      </c>
      <c r="G7" s="3" t="e">
        <f>SUMIFS(#REF!,#REF!,'(Inc) OU Profitability'!A7)</f>
        <v>#REF!</v>
      </c>
      <c r="H7" s="3" t="e">
        <f t="shared" si="1"/>
        <v>#REF!</v>
      </c>
      <c r="I7" s="5" t="str">
        <f t="shared" si="2"/>
        <v>-</v>
      </c>
      <c r="K7" s="1"/>
    </row>
    <row r="8" spans="1:11" ht="14.4" x14ac:dyDescent="0.3">
      <c r="A8" s="2" t="s">
        <v>42</v>
      </c>
      <c r="B8" s="3" t="e">
        <f>SUMIFS(#REF!,#REF!,'(Inc) OU Profitability'!A8)</f>
        <v>#REF!</v>
      </c>
      <c r="C8" s="3" t="e">
        <f>SUMIFS(#REF!,#REF!,'(Inc) OU Profitability'!A8)</f>
        <v>#REF!</v>
      </c>
      <c r="D8" s="3" t="e">
        <f>SUMIFS(#REF!,#REF!,'(Inc) OU Profitability'!A8)</f>
        <v>#REF!</v>
      </c>
      <c r="E8" s="3" t="e">
        <f>SUMIFS(#REF!,#REF!,'(Inc) OU Profitability'!A8)</f>
        <v>#REF!</v>
      </c>
      <c r="F8" s="3" t="e">
        <f t="shared" si="0"/>
        <v>#REF!</v>
      </c>
      <c r="G8" s="3" t="e">
        <f>SUMIFS(#REF!,#REF!,'(Inc) OU Profitability'!A8)</f>
        <v>#REF!</v>
      </c>
      <c r="H8" s="3" t="e">
        <f t="shared" si="1"/>
        <v>#REF!</v>
      </c>
      <c r="I8" s="5" t="str">
        <f t="shared" si="2"/>
        <v>-</v>
      </c>
      <c r="K8" s="1"/>
    </row>
    <row r="9" spans="1:11" ht="14.4" x14ac:dyDescent="0.3">
      <c r="A9" s="2" t="s">
        <v>169</v>
      </c>
      <c r="B9" s="3" t="e">
        <f>SUMIFS(#REF!,#REF!,'(Inc) OU Profitability'!A9)</f>
        <v>#REF!</v>
      </c>
      <c r="C9" s="3" t="e">
        <f>SUMIFS(#REF!,#REF!,'(Inc) OU Profitability'!A9)</f>
        <v>#REF!</v>
      </c>
      <c r="D9" s="3" t="e">
        <f>SUMIFS(#REF!,#REF!,'(Inc) OU Profitability'!A9)</f>
        <v>#REF!</v>
      </c>
      <c r="E9" s="3" t="e">
        <f>SUMIFS(#REF!,#REF!,'(Inc) OU Profitability'!A9)</f>
        <v>#REF!</v>
      </c>
      <c r="F9" s="3" t="e">
        <f t="shared" si="0"/>
        <v>#REF!</v>
      </c>
      <c r="G9" s="3" t="e">
        <f>SUMIFS(#REF!,#REF!,'(Inc) OU Profitability'!A9)</f>
        <v>#REF!</v>
      </c>
      <c r="H9" s="3" t="e">
        <f t="shared" si="1"/>
        <v>#REF!</v>
      </c>
      <c r="I9" s="5" t="str">
        <f t="shared" si="2"/>
        <v>-</v>
      </c>
      <c r="K9" s="1"/>
    </row>
    <row r="10" spans="1:11" ht="14.4" x14ac:dyDescent="0.3">
      <c r="A10" s="2" t="s">
        <v>185</v>
      </c>
      <c r="B10" s="3" t="e">
        <f>SUMIFS(#REF!,#REF!,'(Inc) OU Profitability'!A10)</f>
        <v>#REF!</v>
      </c>
      <c r="C10" s="3" t="e">
        <f>SUMIFS(#REF!,#REF!,'(Inc) OU Profitability'!A10)</f>
        <v>#REF!</v>
      </c>
      <c r="D10" s="3" t="e">
        <f>SUMIFS(#REF!,#REF!,'(Inc) OU Profitability'!A10)</f>
        <v>#REF!</v>
      </c>
      <c r="E10" s="3" t="e">
        <f>SUMIFS(#REF!,#REF!,'(Inc) OU Profitability'!A10)</f>
        <v>#REF!</v>
      </c>
      <c r="F10" s="3" t="e">
        <f t="shared" si="0"/>
        <v>#REF!</v>
      </c>
      <c r="G10" s="3" t="e">
        <f>SUMIFS(#REF!,#REF!,'(Inc) OU Profitability'!A10)</f>
        <v>#REF!</v>
      </c>
      <c r="H10" s="3" t="e">
        <f t="shared" si="1"/>
        <v>#REF!</v>
      </c>
      <c r="I10" s="5" t="str">
        <f t="shared" si="2"/>
        <v>-</v>
      </c>
      <c r="K10" s="1"/>
    </row>
    <row r="11" spans="1:11" ht="14.4" x14ac:dyDescent="0.3">
      <c r="A11" s="2" t="s">
        <v>200</v>
      </c>
      <c r="B11" s="3" t="e">
        <f>SUMIFS(#REF!,#REF!,'(Inc) OU Profitability'!A11)</f>
        <v>#REF!</v>
      </c>
      <c r="C11" s="3" t="e">
        <f>SUMIFS(#REF!,#REF!,'(Inc) OU Profitability'!A11)</f>
        <v>#REF!</v>
      </c>
      <c r="D11" s="3" t="e">
        <f>SUMIFS(#REF!,#REF!,'(Inc) OU Profitability'!A11)</f>
        <v>#REF!</v>
      </c>
      <c r="E11" s="3" t="e">
        <f>SUMIFS(#REF!,#REF!,'(Inc) OU Profitability'!A11)</f>
        <v>#REF!</v>
      </c>
      <c r="F11" s="3" t="e">
        <f t="shared" si="0"/>
        <v>#REF!</v>
      </c>
      <c r="G11" s="3" t="e">
        <f>SUMIFS(#REF!,#REF!,'(Inc) OU Profitability'!A11)</f>
        <v>#REF!</v>
      </c>
      <c r="H11" s="3" t="e">
        <f t="shared" si="1"/>
        <v>#REF!</v>
      </c>
      <c r="I11" s="5" t="str">
        <f t="shared" si="2"/>
        <v>-</v>
      </c>
    </row>
    <row r="12" spans="1:11" ht="14.4" x14ac:dyDescent="0.3">
      <c r="A12" s="2" t="s">
        <v>229</v>
      </c>
      <c r="B12" s="3" t="e">
        <f>SUMIFS(#REF!,#REF!,'(Inc) OU Profitability'!A12)</f>
        <v>#REF!</v>
      </c>
      <c r="C12" s="3" t="e">
        <f>SUMIFS(#REF!,#REF!,'(Inc) OU Profitability'!A12)</f>
        <v>#REF!</v>
      </c>
      <c r="D12" s="3" t="e">
        <f>SUMIFS(#REF!,#REF!,'(Inc) OU Profitability'!A12)</f>
        <v>#REF!</v>
      </c>
      <c r="E12" s="3" t="e">
        <f>SUMIFS(#REF!,#REF!,'(Inc) OU Profitability'!A12)</f>
        <v>#REF!</v>
      </c>
      <c r="F12" s="3" t="e">
        <f t="shared" si="0"/>
        <v>#REF!</v>
      </c>
      <c r="G12" s="3" t="e">
        <f>SUMIFS(#REF!,#REF!,'(Inc) OU Profitability'!A12)</f>
        <v>#REF!</v>
      </c>
      <c r="H12" s="3" t="e">
        <f t="shared" si="1"/>
        <v>#REF!</v>
      </c>
      <c r="I12" s="5" t="str">
        <f t="shared" si="2"/>
        <v>-</v>
      </c>
    </row>
    <row r="13" spans="1:11" ht="14.4" x14ac:dyDescent="0.3">
      <c r="A13" s="2" t="s">
        <v>241</v>
      </c>
      <c r="B13" s="3" t="e">
        <f>SUMIFS(#REF!,#REF!,'(Inc) OU Profitability'!A13)</f>
        <v>#REF!</v>
      </c>
      <c r="C13" s="3" t="e">
        <f>SUMIFS(#REF!,#REF!,'(Inc) OU Profitability'!A13)</f>
        <v>#REF!</v>
      </c>
      <c r="D13" s="3" t="e">
        <f>SUMIFS(#REF!,#REF!,'(Inc) OU Profitability'!A13)</f>
        <v>#REF!</v>
      </c>
      <c r="E13" s="3" t="e">
        <f>SUMIFS(#REF!,#REF!,'(Inc) OU Profitability'!A13)</f>
        <v>#REF!</v>
      </c>
      <c r="F13" s="3" t="e">
        <f t="shared" si="0"/>
        <v>#REF!</v>
      </c>
      <c r="G13" s="3" t="e">
        <f>SUMIFS(#REF!,#REF!,'(Inc) OU Profitability'!A13)</f>
        <v>#REF!</v>
      </c>
      <c r="H13" s="3" t="e">
        <f t="shared" si="1"/>
        <v>#REF!</v>
      </c>
      <c r="I13" s="5" t="str">
        <f t="shared" si="2"/>
        <v>-</v>
      </c>
    </row>
    <row r="14" spans="1:11" ht="14.4" x14ac:dyDescent="0.3">
      <c r="A14" s="2" t="s">
        <v>252</v>
      </c>
      <c r="B14" s="3" t="e">
        <f>SUMIFS(#REF!,#REF!,'(Inc) OU Profitability'!A14)</f>
        <v>#REF!</v>
      </c>
      <c r="C14" s="3" t="e">
        <f>SUMIFS(#REF!,#REF!,'(Inc) OU Profitability'!A14)</f>
        <v>#REF!</v>
      </c>
      <c r="D14" s="3" t="e">
        <f>SUMIFS(#REF!,#REF!,'(Inc) OU Profitability'!A14)</f>
        <v>#REF!</v>
      </c>
      <c r="E14" s="3" t="e">
        <f>SUMIFS(#REF!,#REF!,'(Inc) OU Profitability'!A14)</f>
        <v>#REF!</v>
      </c>
      <c r="F14" s="3" t="e">
        <f t="shared" si="0"/>
        <v>#REF!</v>
      </c>
      <c r="G14" s="3" t="e">
        <f>SUMIFS(#REF!,#REF!,'(Inc) OU Profitability'!A14)</f>
        <v>#REF!</v>
      </c>
      <c r="H14" s="3" t="e">
        <f t="shared" si="1"/>
        <v>#REF!</v>
      </c>
      <c r="I14" s="5" t="str">
        <f t="shared" si="2"/>
        <v>-</v>
      </c>
    </row>
    <row r="15" spans="1:11" ht="14.4" x14ac:dyDescent="0.3">
      <c r="A15" s="2" t="s">
        <v>262</v>
      </c>
      <c r="B15" s="3" t="e">
        <f>SUMIFS(#REF!,#REF!,'(Inc) OU Profitability'!A15)</f>
        <v>#REF!</v>
      </c>
      <c r="C15" s="3" t="e">
        <f>SUMIFS(#REF!,#REF!,'(Inc) OU Profitability'!A15)</f>
        <v>#REF!</v>
      </c>
      <c r="D15" s="3" t="e">
        <f>SUMIFS(#REF!,#REF!,'(Inc) OU Profitability'!A15)</f>
        <v>#REF!</v>
      </c>
      <c r="E15" s="3" t="e">
        <f>SUMIFS(#REF!,#REF!,'(Inc) OU Profitability'!A15)</f>
        <v>#REF!</v>
      </c>
      <c r="F15" s="3" t="e">
        <f t="shared" si="0"/>
        <v>#REF!</v>
      </c>
      <c r="G15" s="3" t="e">
        <f>SUMIFS(#REF!,#REF!,'(Inc) OU Profitability'!A15)</f>
        <v>#REF!</v>
      </c>
      <c r="H15" s="3" t="e">
        <f t="shared" si="1"/>
        <v>#REF!</v>
      </c>
      <c r="I15" s="5" t="str">
        <f t="shared" si="2"/>
        <v>-</v>
      </c>
    </row>
    <row r="16" spans="1:11" ht="14.4" x14ac:dyDescent="0.3">
      <c r="A16" s="2" t="s">
        <v>270</v>
      </c>
      <c r="B16" s="3" t="e">
        <f>SUMIFS(#REF!,#REF!,'(Inc) OU Profitability'!A16)</f>
        <v>#REF!</v>
      </c>
      <c r="C16" s="3" t="e">
        <f>SUMIFS(#REF!,#REF!,'(Inc) OU Profitability'!A16)</f>
        <v>#REF!</v>
      </c>
      <c r="D16" s="3" t="e">
        <f>SUMIFS(#REF!,#REF!,'(Inc) OU Profitability'!A16)</f>
        <v>#REF!</v>
      </c>
      <c r="E16" s="3" t="e">
        <f>SUMIFS(#REF!,#REF!,'(Inc) OU Profitability'!A16)</f>
        <v>#REF!</v>
      </c>
      <c r="F16" s="3" t="e">
        <f t="shared" si="0"/>
        <v>#REF!</v>
      </c>
      <c r="G16" s="3" t="e">
        <f>SUMIFS(#REF!,#REF!,'(Inc) OU Profitability'!A16)</f>
        <v>#REF!</v>
      </c>
      <c r="H16" s="3" t="e">
        <f t="shared" si="1"/>
        <v>#REF!</v>
      </c>
      <c r="I16" s="5" t="str">
        <f t="shared" si="2"/>
        <v>-</v>
      </c>
    </row>
    <row r="17" spans="1:9" ht="14.4" x14ac:dyDescent="0.3">
      <c r="A17" s="2" t="s">
        <v>278</v>
      </c>
      <c r="B17" s="3" t="e">
        <f>SUMIFS(#REF!,#REF!,'(Inc) OU Profitability'!A17)</f>
        <v>#REF!</v>
      </c>
      <c r="C17" s="3" t="e">
        <f>SUMIFS(#REF!,#REF!,'(Inc) OU Profitability'!A17)</f>
        <v>#REF!</v>
      </c>
      <c r="D17" s="3" t="e">
        <f>SUMIFS(#REF!,#REF!,'(Inc) OU Profitability'!A17)</f>
        <v>#REF!</v>
      </c>
      <c r="E17" s="3" t="e">
        <f>SUMIFS(#REF!,#REF!,'(Inc) OU Profitability'!A17)</f>
        <v>#REF!</v>
      </c>
      <c r="F17" s="3" t="e">
        <f t="shared" si="0"/>
        <v>#REF!</v>
      </c>
      <c r="G17" s="3" t="e">
        <f>SUMIFS(#REF!,#REF!,'(Inc) OU Profitability'!A17)</f>
        <v>#REF!</v>
      </c>
      <c r="H17" s="3" t="e">
        <f t="shared" si="1"/>
        <v>#REF!</v>
      </c>
      <c r="I17" s="5" t="str">
        <f t="shared" si="2"/>
        <v>-</v>
      </c>
    </row>
    <row r="18" spans="1:9" ht="14.4" x14ac:dyDescent="0.3">
      <c r="A18" s="2" t="s">
        <v>391</v>
      </c>
      <c r="B18" s="6" t="e">
        <f t="shared" ref="B18:H18" si="3">SUM(B3:B17)</f>
        <v>#REF!</v>
      </c>
      <c r="C18" s="6" t="e">
        <f t="shared" si="3"/>
        <v>#REF!</v>
      </c>
      <c r="D18" s="6" t="e">
        <f t="shared" si="3"/>
        <v>#REF!</v>
      </c>
      <c r="E18" s="6" t="e">
        <f t="shared" si="3"/>
        <v>#REF!</v>
      </c>
      <c r="F18" s="6" t="e">
        <f t="shared" si="3"/>
        <v>#REF!</v>
      </c>
      <c r="G18" s="6" t="e">
        <f t="shared" si="3"/>
        <v>#REF!</v>
      </c>
      <c r="H18" s="6" t="e">
        <f t="shared" si="3"/>
        <v>#REF!</v>
      </c>
      <c r="I18" s="7" t="str">
        <f t="shared" si="2"/>
        <v>-</v>
      </c>
    </row>
    <row r="19" spans="1:9" ht="14.4" x14ac:dyDescent="0.3">
      <c r="B19" s="8" t="e">
        <f t="shared" ref="B19:E19" si="4">B18/$F$18</f>
        <v>#REF!</v>
      </c>
      <c r="C19" s="8" t="e">
        <f t="shared" si="4"/>
        <v>#REF!</v>
      </c>
      <c r="D19" s="8" t="e">
        <f t="shared" si="4"/>
        <v>#REF!</v>
      </c>
      <c r="E19" s="8" t="e">
        <f t="shared" si="4"/>
        <v>#REF!</v>
      </c>
      <c r="F19" s="8">
        <v>1</v>
      </c>
      <c r="G19" s="3"/>
      <c r="H19" s="3"/>
      <c r="I19" s="3"/>
    </row>
    <row r="21" spans="1:9" ht="15.75" customHeight="1" x14ac:dyDescent="0.3"/>
    <row r="22" spans="1:9" ht="15.75" customHeight="1" x14ac:dyDescent="0.3"/>
    <row r="23" spans="1:9" ht="15.75" customHeight="1" x14ac:dyDescent="0.3"/>
    <row r="24" spans="1:9" ht="15.75" customHeight="1" x14ac:dyDescent="0.3"/>
    <row r="25" spans="1:9" ht="15.75" customHeight="1" x14ac:dyDescent="0.3"/>
    <row r="26" spans="1:9" ht="15.75" customHeight="1" x14ac:dyDescent="0.3"/>
    <row r="27" spans="1:9" ht="15.75" customHeight="1" x14ac:dyDescent="0.3"/>
    <row r="28" spans="1:9" ht="15.75" customHeight="1" x14ac:dyDescent="0.3"/>
    <row r="29" spans="1:9" ht="15.75" customHeight="1" x14ac:dyDescent="0.3"/>
    <row r="30" spans="1:9" ht="15.75" customHeight="1" x14ac:dyDescent="0.3"/>
    <row r="31" spans="1:9" ht="15.75" customHeight="1" x14ac:dyDescent="0.3"/>
    <row r="32" spans="1:9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1000"/>
  <sheetViews>
    <sheetView workbookViewId="0"/>
  </sheetViews>
  <sheetFormatPr defaultColWidth="12.88671875" defaultRowHeight="15" customHeight="1" x14ac:dyDescent="0.3"/>
  <cols>
    <col min="1" max="1" width="14.6640625" style="11" customWidth="1"/>
    <col min="2" max="2" width="10.33203125" style="11" customWidth="1"/>
    <col min="3" max="3" width="14.109375" style="11" customWidth="1"/>
    <col min="4" max="4" width="10.33203125" style="11" customWidth="1"/>
    <col min="5" max="5" width="14.109375" style="11" customWidth="1"/>
    <col min="6" max="6" width="9.109375" style="11" customWidth="1"/>
    <col min="7" max="8" width="11.21875" style="11" bestFit="1" customWidth="1"/>
    <col min="9" max="26" width="9.109375" style="11" customWidth="1"/>
    <col min="27" max="16384" width="12.88671875" style="11"/>
  </cols>
  <sheetData>
    <row r="1" spans="1:8" ht="14.4" x14ac:dyDescent="0.3">
      <c r="A1" s="14" t="s">
        <v>392</v>
      </c>
      <c r="B1" s="14" t="s">
        <v>393</v>
      </c>
      <c r="D1" s="14" t="s">
        <v>393</v>
      </c>
      <c r="E1" s="14" t="s">
        <v>361</v>
      </c>
      <c r="G1" s="15" t="s">
        <v>394</v>
      </c>
      <c r="H1" s="15" t="s">
        <v>395</v>
      </c>
    </row>
    <row r="2" spans="1:8" ht="14.4" x14ac:dyDescent="0.3">
      <c r="A2" t="s">
        <v>42</v>
      </c>
      <c r="B2" t="s">
        <v>42</v>
      </c>
      <c r="D2" s="12" t="s">
        <v>61</v>
      </c>
      <c r="E2" s="11" t="s">
        <v>43</v>
      </c>
      <c r="G2" s="54" t="s">
        <v>14</v>
      </c>
      <c r="H2" s="17" t="s">
        <v>14</v>
      </c>
    </row>
    <row r="3" spans="1:8" ht="14.4" x14ac:dyDescent="0.3">
      <c r="A3" t="s">
        <v>229</v>
      </c>
      <c r="B3" t="s">
        <v>42</v>
      </c>
      <c r="D3" s="12" t="s">
        <v>42</v>
      </c>
      <c r="E3" s="11" t="s">
        <v>25</v>
      </c>
      <c r="G3" s="54" t="s">
        <v>113</v>
      </c>
      <c r="H3" s="17" t="s">
        <v>113</v>
      </c>
    </row>
    <row r="4" spans="1:8" ht="14.4" x14ac:dyDescent="0.3">
      <c r="A4" t="s">
        <v>42</v>
      </c>
      <c r="B4" t="s">
        <v>42</v>
      </c>
      <c r="D4" s="12" t="s">
        <v>202</v>
      </c>
      <c r="E4" s="11" t="s">
        <v>44</v>
      </c>
      <c r="G4" s="54" t="s">
        <v>292</v>
      </c>
      <c r="H4" s="17" t="s">
        <v>292</v>
      </c>
    </row>
    <row r="5" spans="1:8" ht="14.4" x14ac:dyDescent="0.3">
      <c r="A5" t="s">
        <v>215</v>
      </c>
      <c r="B5" t="s">
        <v>61</v>
      </c>
      <c r="D5" s="12" t="s">
        <v>196</v>
      </c>
      <c r="E5" s="11" t="s">
        <v>55</v>
      </c>
      <c r="G5" s="54" t="s">
        <v>298</v>
      </c>
      <c r="H5" s="17" t="s">
        <v>298</v>
      </c>
    </row>
    <row r="6" spans="1:8" ht="14.4" x14ac:dyDescent="0.3">
      <c r="A6" t="s">
        <v>79</v>
      </c>
      <c r="B6" t="s">
        <v>61</v>
      </c>
      <c r="D6" s="12" t="s">
        <v>179</v>
      </c>
      <c r="E6" s="11" t="s">
        <v>53</v>
      </c>
      <c r="G6" s="54" t="s">
        <v>184</v>
      </c>
      <c r="H6" s="17" t="s">
        <v>184</v>
      </c>
    </row>
    <row r="7" spans="1:8" ht="14.4" x14ac:dyDescent="0.3">
      <c r="A7" t="s">
        <v>150</v>
      </c>
      <c r="B7" t="s">
        <v>276</v>
      </c>
      <c r="D7" s="12" t="s">
        <v>119</v>
      </c>
      <c r="E7" s="11" t="s">
        <v>46</v>
      </c>
      <c r="G7" s="54" t="s">
        <v>396</v>
      </c>
      <c r="H7" s="17" t="s">
        <v>132</v>
      </c>
    </row>
    <row r="8" spans="1:8" ht="14.4" x14ac:dyDescent="0.3">
      <c r="A8" t="s">
        <v>153</v>
      </c>
      <c r="B8" t="s">
        <v>61</v>
      </c>
      <c r="D8" s="12" t="s">
        <v>281</v>
      </c>
      <c r="E8" s="11" t="s">
        <v>47</v>
      </c>
      <c r="G8" s="54" t="s">
        <v>12</v>
      </c>
      <c r="H8" s="17" t="s">
        <v>12</v>
      </c>
    </row>
    <row r="9" spans="1:8" ht="14.4" x14ac:dyDescent="0.3">
      <c r="A9" t="s">
        <v>97</v>
      </c>
      <c r="B9" t="s">
        <v>61</v>
      </c>
      <c r="D9" s="12" t="s">
        <v>102</v>
      </c>
      <c r="E9" s="11" t="s">
        <v>48</v>
      </c>
      <c r="G9" s="54" t="s">
        <v>397</v>
      </c>
      <c r="H9" s="17" t="s">
        <v>151</v>
      </c>
    </row>
    <row r="10" spans="1:8" ht="14.4" x14ac:dyDescent="0.3">
      <c r="A10" t="s">
        <v>215</v>
      </c>
      <c r="B10" t="s">
        <v>61</v>
      </c>
      <c r="D10" s="12" t="s">
        <v>175</v>
      </c>
      <c r="E10" s="11" t="s">
        <v>49</v>
      </c>
      <c r="G10" s="54" t="s">
        <v>295</v>
      </c>
      <c r="H10" s="17" t="s">
        <v>295</v>
      </c>
    </row>
    <row r="11" spans="1:8" ht="14.4" x14ac:dyDescent="0.3">
      <c r="A11" t="s">
        <v>231</v>
      </c>
      <c r="B11" t="s">
        <v>202</v>
      </c>
      <c r="D11" s="12" t="s">
        <v>142</v>
      </c>
      <c r="E11" s="11" t="s">
        <v>50</v>
      </c>
      <c r="G11" s="54" t="s">
        <v>227</v>
      </c>
      <c r="H11" s="17" t="s">
        <v>227</v>
      </c>
    </row>
    <row r="12" spans="1:8" ht="14.4" x14ac:dyDescent="0.3">
      <c r="A12" t="s">
        <v>272</v>
      </c>
      <c r="B12" t="s">
        <v>202</v>
      </c>
      <c r="D12" s="12" t="s">
        <v>193</v>
      </c>
      <c r="E12" s="11" t="s">
        <v>52</v>
      </c>
      <c r="G12" s="54">
        <v>1109</v>
      </c>
      <c r="H12" s="17" t="s">
        <v>250</v>
      </c>
    </row>
    <row r="13" spans="1:8" ht="14.4" x14ac:dyDescent="0.3">
      <c r="A13" t="s">
        <v>155</v>
      </c>
      <c r="B13" t="s">
        <v>99</v>
      </c>
      <c r="D13" s="12" t="s">
        <v>105</v>
      </c>
      <c r="E13" s="11" t="s">
        <v>51</v>
      </c>
      <c r="G13" s="54" t="s">
        <v>260</v>
      </c>
      <c r="H13" s="17" t="s">
        <v>260</v>
      </c>
    </row>
    <row r="14" spans="1:8" ht="14.4" x14ac:dyDescent="0.3">
      <c r="A14" t="s">
        <v>99</v>
      </c>
      <c r="B14" t="s">
        <v>99</v>
      </c>
      <c r="D14" s="12" t="s">
        <v>195</v>
      </c>
      <c r="E14" s="11" t="s">
        <v>54</v>
      </c>
      <c r="G14" s="54">
        <v>909</v>
      </c>
      <c r="H14" s="17" t="s">
        <v>239</v>
      </c>
    </row>
    <row r="15" spans="1:8" ht="14.4" x14ac:dyDescent="0.3">
      <c r="A15" t="s">
        <v>99</v>
      </c>
      <c r="B15" t="s">
        <v>99</v>
      </c>
      <c r="D15" s="12" t="s">
        <v>99</v>
      </c>
      <c r="E15" s="11" t="s">
        <v>45</v>
      </c>
      <c r="G15" s="54" t="s">
        <v>269</v>
      </c>
      <c r="H15" s="17" t="s">
        <v>269</v>
      </c>
    </row>
    <row r="16" spans="1:8" ht="14.4" x14ac:dyDescent="0.3">
      <c r="A16" t="s">
        <v>273</v>
      </c>
      <c r="B16" t="s">
        <v>119</v>
      </c>
      <c r="D16" s="12" t="s">
        <v>129</v>
      </c>
      <c r="E16" s="11" t="s">
        <v>56</v>
      </c>
      <c r="G16" s="54" t="s">
        <v>277</v>
      </c>
      <c r="H16" s="17" t="s">
        <v>277</v>
      </c>
    </row>
    <row r="17" spans="1:8" ht="14.4" x14ac:dyDescent="0.3">
      <c r="A17" t="s">
        <v>174</v>
      </c>
      <c r="B17" t="s">
        <v>281</v>
      </c>
      <c r="D17" s="12" t="s">
        <v>237</v>
      </c>
      <c r="E17" s="11" t="s">
        <v>57</v>
      </c>
      <c r="G17" s="54" t="s">
        <v>284</v>
      </c>
      <c r="H17" s="17" t="s">
        <v>284</v>
      </c>
    </row>
    <row r="18" spans="1:8" ht="14.4" x14ac:dyDescent="0.3">
      <c r="A18" t="s">
        <v>233</v>
      </c>
      <c r="B18" t="s">
        <v>281</v>
      </c>
      <c r="D18" s="12" t="s">
        <v>276</v>
      </c>
      <c r="E18" s="11" t="s">
        <v>58</v>
      </c>
      <c r="G18" s="54" t="s">
        <v>15</v>
      </c>
      <c r="H18" s="17" t="s">
        <v>15</v>
      </c>
    </row>
    <row r="19" spans="1:8" ht="14.4" x14ac:dyDescent="0.3">
      <c r="A19" t="s">
        <v>281</v>
      </c>
      <c r="B19" t="s">
        <v>281</v>
      </c>
      <c r="G19" s="54" t="s">
        <v>399</v>
      </c>
      <c r="H19" s="17" t="s">
        <v>199</v>
      </c>
    </row>
    <row r="20" spans="1:8" ht="14.4" x14ac:dyDescent="0.3">
      <c r="A20" t="s">
        <v>139</v>
      </c>
      <c r="B20" t="s">
        <v>281</v>
      </c>
      <c r="G20" s="54" t="s">
        <v>400</v>
      </c>
      <c r="H20" s="17" t="s">
        <v>167</v>
      </c>
    </row>
    <row r="21" spans="1:8" ht="15.75" customHeight="1" x14ac:dyDescent="0.3">
      <c r="A21" t="s">
        <v>157</v>
      </c>
      <c r="B21" t="s">
        <v>281</v>
      </c>
      <c r="G21" s="54" t="s">
        <v>401</v>
      </c>
      <c r="H21" s="17" t="s">
        <v>401</v>
      </c>
    </row>
    <row r="22" spans="1:8" ht="15.75" customHeight="1" x14ac:dyDescent="0.3">
      <c r="A22" t="s">
        <v>296</v>
      </c>
      <c r="B22" t="s">
        <v>281</v>
      </c>
      <c r="G22" s="54" t="s">
        <v>402</v>
      </c>
      <c r="H22" s="17" t="s">
        <v>13</v>
      </c>
    </row>
    <row r="23" spans="1:8" ht="15.75" customHeight="1" x14ac:dyDescent="0.3">
      <c r="A23" t="s">
        <v>83</v>
      </c>
      <c r="B23" t="s">
        <v>281</v>
      </c>
      <c r="G23" s="54" t="s">
        <v>14</v>
      </c>
      <c r="H23" s="17" t="s">
        <v>14</v>
      </c>
    </row>
    <row r="24" spans="1:8" ht="15.75" customHeight="1" x14ac:dyDescent="0.3">
      <c r="A24" t="s">
        <v>204</v>
      </c>
      <c r="B24" t="s">
        <v>281</v>
      </c>
      <c r="G24" s="54" t="s">
        <v>113</v>
      </c>
      <c r="H24" s="17" t="s">
        <v>113</v>
      </c>
    </row>
    <row r="25" spans="1:8" ht="15.75" customHeight="1" x14ac:dyDescent="0.3">
      <c r="A25" t="s">
        <v>122</v>
      </c>
      <c r="B25" t="s">
        <v>175</v>
      </c>
      <c r="G25" s="54" t="s">
        <v>292</v>
      </c>
      <c r="H25" s="17" t="s">
        <v>292</v>
      </c>
    </row>
    <row r="26" spans="1:8" ht="15.75" customHeight="1" x14ac:dyDescent="0.3">
      <c r="A26" t="s">
        <v>148</v>
      </c>
      <c r="B26" t="s">
        <v>129</v>
      </c>
      <c r="G26" s="54" t="s">
        <v>298</v>
      </c>
      <c r="H26" s="17" t="s">
        <v>298</v>
      </c>
    </row>
    <row r="27" spans="1:8" ht="15.75" customHeight="1" x14ac:dyDescent="0.3">
      <c r="A27" t="s">
        <v>192</v>
      </c>
      <c r="B27" t="s">
        <v>142</v>
      </c>
      <c r="G27" s="54" t="s">
        <v>184</v>
      </c>
      <c r="H27" s="17" t="s">
        <v>184</v>
      </c>
    </row>
    <row r="28" spans="1:8" ht="15.75" customHeight="1" x14ac:dyDescent="0.3">
      <c r="A28" t="s">
        <v>68</v>
      </c>
      <c r="B28" t="s">
        <v>142</v>
      </c>
      <c r="G28" s="54" t="s">
        <v>132</v>
      </c>
      <c r="H28" s="17" t="s">
        <v>132</v>
      </c>
    </row>
    <row r="29" spans="1:8" ht="15.75" customHeight="1" x14ac:dyDescent="0.3">
      <c r="A29" t="s">
        <v>105</v>
      </c>
      <c r="B29" t="s">
        <v>105</v>
      </c>
      <c r="G29" s="54" t="s">
        <v>12</v>
      </c>
      <c r="H29" s="17" t="s">
        <v>12</v>
      </c>
    </row>
    <row r="30" spans="1:8" ht="15.75" customHeight="1" x14ac:dyDescent="0.3">
      <c r="A30" t="s">
        <v>65</v>
      </c>
      <c r="B30" t="s">
        <v>281</v>
      </c>
      <c r="G30" s="54" t="s">
        <v>151</v>
      </c>
      <c r="H30" s="17" t="s">
        <v>151</v>
      </c>
    </row>
    <row r="31" spans="1:8" ht="15.75" customHeight="1" x14ac:dyDescent="0.3">
      <c r="A31" t="s">
        <v>179</v>
      </c>
      <c r="B31" t="s">
        <v>179</v>
      </c>
      <c r="G31" s="54" t="s">
        <v>295</v>
      </c>
      <c r="H31" s="17" t="s">
        <v>295</v>
      </c>
    </row>
    <row r="32" spans="1:8" ht="15.75" customHeight="1" x14ac:dyDescent="0.3">
      <c r="A32" t="s">
        <v>179</v>
      </c>
      <c r="B32" t="s">
        <v>179</v>
      </c>
      <c r="G32" s="54" t="s">
        <v>398</v>
      </c>
      <c r="H32" s="17" t="s">
        <v>398</v>
      </c>
    </row>
    <row r="33" spans="1:8" ht="15.75" customHeight="1" x14ac:dyDescent="0.3">
      <c r="A33" t="s">
        <v>162</v>
      </c>
      <c r="B33" t="s">
        <v>179</v>
      </c>
      <c r="G33" s="54" t="s">
        <v>250</v>
      </c>
      <c r="H33" s="17" t="s">
        <v>250</v>
      </c>
    </row>
    <row r="34" spans="1:8" ht="15.75" customHeight="1" x14ac:dyDescent="0.3">
      <c r="A34" t="s">
        <v>102</v>
      </c>
      <c r="B34" t="s">
        <v>102</v>
      </c>
      <c r="G34" s="54" t="s">
        <v>260</v>
      </c>
      <c r="H34" s="17" t="s">
        <v>260</v>
      </c>
    </row>
    <row r="35" spans="1:8" ht="15.75" customHeight="1" x14ac:dyDescent="0.3">
      <c r="A35" t="s">
        <v>195</v>
      </c>
      <c r="B35" t="s">
        <v>195</v>
      </c>
      <c r="G35" s="54" t="s">
        <v>239</v>
      </c>
      <c r="H35" s="17" t="s">
        <v>239</v>
      </c>
    </row>
    <row r="36" spans="1:8" ht="15.75" customHeight="1" x14ac:dyDescent="0.3">
      <c r="A36" t="s">
        <v>163</v>
      </c>
      <c r="B36" t="s">
        <v>195</v>
      </c>
      <c r="G36" s="54" t="s">
        <v>269</v>
      </c>
      <c r="H36" s="17" t="s">
        <v>269</v>
      </c>
    </row>
    <row r="37" spans="1:8" ht="15.75" customHeight="1" x14ac:dyDescent="0.3">
      <c r="A37" t="s">
        <v>127</v>
      </c>
      <c r="B37" t="s">
        <v>195</v>
      </c>
      <c r="G37" s="54" t="s">
        <v>277</v>
      </c>
      <c r="H37" s="17" t="s">
        <v>277</v>
      </c>
    </row>
    <row r="38" spans="1:8" ht="15.75" customHeight="1" x14ac:dyDescent="0.3">
      <c r="A38" t="s">
        <v>236</v>
      </c>
      <c r="B38" t="s">
        <v>195</v>
      </c>
      <c r="G38" s="54" t="s">
        <v>284</v>
      </c>
      <c r="H38" s="17" t="s">
        <v>284</v>
      </c>
    </row>
    <row r="39" spans="1:8" ht="15.75" customHeight="1" x14ac:dyDescent="0.3">
      <c r="A39" t="s">
        <v>196</v>
      </c>
      <c r="B39" t="s">
        <v>196</v>
      </c>
      <c r="G39" s="54" t="s">
        <v>15</v>
      </c>
      <c r="H39" s="17" t="s">
        <v>15</v>
      </c>
    </row>
    <row r="40" spans="1:8" ht="15.75" customHeight="1" x14ac:dyDescent="0.3">
      <c r="A40" t="s">
        <v>109</v>
      </c>
      <c r="B40" t="s">
        <v>196</v>
      </c>
      <c r="G40" s="54" t="s">
        <v>199</v>
      </c>
      <c r="H40" s="17" t="s">
        <v>199</v>
      </c>
    </row>
    <row r="41" spans="1:8" ht="15.75" customHeight="1" x14ac:dyDescent="0.3">
      <c r="A41" t="s">
        <v>181</v>
      </c>
      <c r="B41" t="s">
        <v>196</v>
      </c>
      <c r="G41" s="54" t="s">
        <v>167</v>
      </c>
      <c r="H41" s="17" t="s">
        <v>167</v>
      </c>
    </row>
    <row r="42" spans="1:8" ht="15.75" customHeight="1" x14ac:dyDescent="0.3">
      <c r="A42" t="s">
        <v>196</v>
      </c>
      <c r="B42" t="s">
        <v>196</v>
      </c>
      <c r="G42" s="54" t="s">
        <v>401</v>
      </c>
      <c r="H42" s="17" t="s">
        <v>401</v>
      </c>
    </row>
    <row r="43" spans="1:8" ht="15.75" customHeight="1" x14ac:dyDescent="0.3">
      <c r="A43" t="s">
        <v>224</v>
      </c>
      <c r="B43" t="s">
        <v>196</v>
      </c>
      <c r="G43" s="54" t="s">
        <v>13</v>
      </c>
      <c r="H43" s="17" t="s">
        <v>13</v>
      </c>
    </row>
    <row r="44" spans="1:8" ht="15.75" customHeight="1" x14ac:dyDescent="0.3">
      <c r="A44" s="11" t="s">
        <v>164</v>
      </c>
      <c r="B44" s="11" t="s">
        <v>196</v>
      </c>
    </row>
    <row r="45" spans="1:8" ht="15.75" customHeight="1" x14ac:dyDescent="0.3">
      <c r="A45" s="11" t="s">
        <v>75</v>
      </c>
      <c r="B45" s="11" t="s">
        <v>237</v>
      </c>
    </row>
    <row r="46" spans="1:8" ht="15.75" customHeight="1" x14ac:dyDescent="0.3">
      <c r="A46" s="11" t="s">
        <v>130</v>
      </c>
      <c r="B46" s="11" t="s">
        <v>237</v>
      </c>
    </row>
    <row r="47" spans="1:8" ht="15.75" customHeight="1" x14ac:dyDescent="0.3">
      <c r="A47" s="11" t="s">
        <v>149</v>
      </c>
      <c r="B47" s="11" t="s">
        <v>237</v>
      </c>
    </row>
    <row r="48" spans="1:8" ht="15.75" customHeight="1" x14ac:dyDescent="0.3">
      <c r="A48" s="11" t="s">
        <v>237</v>
      </c>
      <c r="B48" s="11" t="s">
        <v>237</v>
      </c>
    </row>
    <row r="49" spans="1:2" ht="15.75" customHeight="1" x14ac:dyDescent="0.3">
      <c r="A49" s="11" t="s">
        <v>131</v>
      </c>
      <c r="B49" s="11" t="s">
        <v>276</v>
      </c>
    </row>
    <row r="50" spans="1:2" ht="15.75" customHeight="1" x14ac:dyDescent="0.3">
      <c r="A50" s="11" t="s">
        <v>276</v>
      </c>
      <c r="B50" s="11" t="s">
        <v>276</v>
      </c>
    </row>
    <row r="51" spans="1:2" ht="15.75" customHeight="1" x14ac:dyDescent="0.3">
      <c r="A51" s="11" t="s">
        <v>207</v>
      </c>
      <c r="B51" s="11" t="s">
        <v>193</v>
      </c>
    </row>
    <row r="52" spans="1:2" ht="15.75" customHeight="1" x14ac:dyDescent="0.3">
      <c r="A52" s="11" t="s">
        <v>262</v>
      </c>
      <c r="B52" s="11" t="s">
        <v>42</v>
      </c>
    </row>
    <row r="53" spans="1:2" ht="15.75" customHeight="1" x14ac:dyDescent="0.3">
      <c r="A53" s="11" t="s">
        <v>175</v>
      </c>
      <c r="B53" s="11" t="s">
        <v>175</v>
      </c>
    </row>
    <row r="54" spans="1:2" ht="15.75" customHeight="1" x14ac:dyDescent="0.3">
      <c r="A54" s="11" t="s">
        <v>125</v>
      </c>
      <c r="B54" s="11" t="s">
        <v>193</v>
      </c>
    </row>
    <row r="55" spans="1:2" ht="15.75" customHeight="1" x14ac:dyDescent="0.3">
      <c r="A55" s="11" t="s">
        <v>171</v>
      </c>
      <c r="B55" s="11" t="s">
        <v>202</v>
      </c>
    </row>
    <row r="56" spans="1:2" ht="15.75" customHeight="1" x14ac:dyDescent="0.3">
      <c r="A56" s="11" t="s">
        <v>201</v>
      </c>
      <c r="B56" s="11" t="s">
        <v>61</v>
      </c>
    </row>
    <row r="57" spans="1:2" ht="15.75" customHeight="1" x14ac:dyDescent="0.3">
      <c r="A57" s="11" t="s">
        <v>153</v>
      </c>
      <c r="B57" s="11" t="s">
        <v>61</v>
      </c>
    </row>
    <row r="58" spans="1:2" ht="15.75" customHeight="1" x14ac:dyDescent="0.3">
      <c r="A58" s="11" t="s">
        <v>265</v>
      </c>
      <c r="B58" s="11" t="s">
        <v>119</v>
      </c>
    </row>
    <row r="59" spans="1:2" ht="15.75" customHeight="1" x14ac:dyDescent="0.3">
      <c r="A59" s="11" t="s">
        <v>138</v>
      </c>
      <c r="B59" s="11" t="s">
        <v>119</v>
      </c>
    </row>
    <row r="60" spans="1:2" ht="15.75" customHeight="1" x14ac:dyDescent="0.3">
      <c r="A60" s="11" t="s">
        <v>104</v>
      </c>
      <c r="B60" s="11" t="s">
        <v>142</v>
      </c>
    </row>
    <row r="61" spans="1:2" ht="15.75" customHeight="1" x14ac:dyDescent="0.3">
      <c r="A61" s="11" t="s">
        <v>173</v>
      </c>
      <c r="B61" s="11" t="s">
        <v>119</v>
      </c>
    </row>
    <row r="62" spans="1:2" ht="15.75" customHeight="1" x14ac:dyDescent="0.3">
      <c r="A62" s="11" t="s">
        <v>99</v>
      </c>
      <c r="B62" s="11" t="s">
        <v>99</v>
      </c>
    </row>
    <row r="63" spans="1:2" ht="15.75" customHeight="1" x14ac:dyDescent="0.3">
      <c r="A63" s="11" t="s">
        <v>282</v>
      </c>
      <c r="B63" s="11" t="s">
        <v>175</v>
      </c>
    </row>
    <row r="64" spans="1:2" ht="15.75" customHeight="1" x14ac:dyDescent="0.3">
      <c r="A64" s="11" t="s">
        <v>268</v>
      </c>
      <c r="B64" s="11" t="s">
        <v>276</v>
      </c>
    </row>
    <row r="65" spans="1:2" ht="15.75" customHeight="1" x14ac:dyDescent="0.3">
      <c r="A65" s="11" t="s">
        <v>186</v>
      </c>
      <c r="B65" s="11" t="s">
        <v>61</v>
      </c>
    </row>
    <row r="66" spans="1:2" ht="15.75" customHeight="1" x14ac:dyDescent="0.3">
      <c r="A66" s="11" t="s">
        <v>142</v>
      </c>
      <c r="B66" s="11" t="s">
        <v>142</v>
      </c>
    </row>
    <row r="67" spans="1:2" ht="15.75" customHeight="1" x14ac:dyDescent="0.3">
      <c r="A67" s="11" t="s">
        <v>165</v>
      </c>
      <c r="B67" s="11" t="s">
        <v>237</v>
      </c>
    </row>
    <row r="68" spans="1:2" ht="15.75" customHeight="1" x14ac:dyDescent="0.3">
      <c r="A68" s="11" t="s">
        <v>70</v>
      </c>
      <c r="B68" s="11" t="s">
        <v>193</v>
      </c>
    </row>
    <row r="69" spans="1:2" ht="15.75" customHeight="1" x14ac:dyDescent="0.3">
      <c r="A69" s="11" t="s">
        <v>196</v>
      </c>
      <c r="B69" s="11" t="s">
        <v>196</v>
      </c>
    </row>
    <row r="70" spans="1:2" ht="15.75" customHeight="1" x14ac:dyDescent="0.3">
      <c r="A70" s="11" t="s">
        <v>175</v>
      </c>
      <c r="B70" s="11" t="s">
        <v>175</v>
      </c>
    </row>
    <row r="71" spans="1:2" ht="15.75" customHeight="1" x14ac:dyDescent="0.3">
      <c r="A71" s="11" t="s">
        <v>115</v>
      </c>
      <c r="B71" s="11" t="s">
        <v>42</v>
      </c>
    </row>
    <row r="72" spans="1:2" ht="15.75" customHeight="1" x14ac:dyDescent="0.3">
      <c r="A72" s="11" t="s">
        <v>61</v>
      </c>
      <c r="B72" s="11" t="s">
        <v>61</v>
      </c>
    </row>
    <row r="73" spans="1:2" ht="15.75" customHeight="1" x14ac:dyDescent="0.3">
      <c r="A73" s="11" t="s">
        <v>182</v>
      </c>
      <c r="B73" s="11" t="s">
        <v>237</v>
      </c>
    </row>
    <row r="74" spans="1:2" ht="15.75" customHeight="1" x14ac:dyDescent="0.3">
      <c r="A74" s="11" t="s">
        <v>196</v>
      </c>
      <c r="B74" s="11" t="s">
        <v>196</v>
      </c>
    </row>
    <row r="75" spans="1:2" ht="15.75" customHeight="1" x14ac:dyDescent="0.3">
      <c r="A75" s="11" t="s">
        <v>102</v>
      </c>
      <c r="B75" s="11" t="s">
        <v>102</v>
      </c>
    </row>
    <row r="76" spans="1:2" ht="15.75" customHeight="1" x14ac:dyDescent="0.3">
      <c r="A76" s="11" t="s">
        <v>129</v>
      </c>
      <c r="B76" s="11" t="s">
        <v>129</v>
      </c>
    </row>
    <row r="77" spans="1:2" ht="15.75" customHeight="1" x14ac:dyDescent="0.3">
      <c r="A77" s="11" t="s">
        <v>42</v>
      </c>
      <c r="B77" s="11" t="s">
        <v>42</v>
      </c>
    </row>
    <row r="78" spans="1:2" ht="15.75" customHeight="1" x14ac:dyDescent="0.3">
      <c r="A78" s="11" t="s">
        <v>293</v>
      </c>
      <c r="B78" s="11" t="s">
        <v>281</v>
      </c>
    </row>
    <row r="79" spans="1:2" ht="15.75" customHeight="1" x14ac:dyDescent="0.3">
      <c r="A79" s="11" t="s">
        <v>153</v>
      </c>
      <c r="B79" s="11" t="s">
        <v>61</v>
      </c>
    </row>
    <row r="80" spans="1:2" ht="15.75" customHeight="1" x14ac:dyDescent="0.3">
      <c r="A80" s="11" t="s">
        <v>195</v>
      </c>
      <c r="B80" s="11" t="s">
        <v>195</v>
      </c>
    </row>
    <row r="81" spans="1:2" ht="15.75" customHeight="1" x14ac:dyDescent="0.3">
      <c r="A81" s="11" t="s">
        <v>266</v>
      </c>
      <c r="B81" s="11" t="s">
        <v>281</v>
      </c>
    </row>
    <row r="82" spans="1:2" ht="15.75" customHeight="1" x14ac:dyDescent="0.3">
      <c r="A82" s="11" t="s">
        <v>99</v>
      </c>
      <c r="B82" s="11" t="s">
        <v>99</v>
      </c>
    </row>
    <row r="83" spans="1:2" ht="15.75" customHeight="1" x14ac:dyDescent="0.3">
      <c r="A83" s="11" t="s">
        <v>217</v>
      </c>
      <c r="B83" s="11" t="s">
        <v>119</v>
      </c>
    </row>
    <row r="84" spans="1:2" ht="15.75" customHeight="1" x14ac:dyDescent="0.3">
      <c r="A84" s="11" t="s">
        <v>175</v>
      </c>
      <c r="B84" s="11" t="s">
        <v>175</v>
      </c>
    </row>
    <row r="85" spans="1:2" ht="15.75" customHeight="1" x14ac:dyDescent="0.3">
      <c r="A85" s="11" t="s">
        <v>276</v>
      </c>
      <c r="B85" s="11" t="s">
        <v>276</v>
      </c>
    </row>
    <row r="86" spans="1:2" ht="15.75" customHeight="1" x14ac:dyDescent="0.3">
      <c r="A86" s="11" t="s">
        <v>91</v>
      </c>
      <c r="B86" s="11" t="s">
        <v>196</v>
      </c>
    </row>
    <row r="87" spans="1:2" ht="15.75" customHeight="1" x14ac:dyDescent="0.3">
      <c r="A87" s="11" t="s">
        <v>278</v>
      </c>
      <c r="B87" s="11" t="s">
        <v>42</v>
      </c>
    </row>
    <row r="88" spans="1:2" ht="15.75" customHeight="1" x14ac:dyDescent="0.3">
      <c r="A88" s="11" t="s">
        <v>171</v>
      </c>
      <c r="B88" s="11" t="s">
        <v>202</v>
      </c>
    </row>
    <row r="89" spans="1:2" ht="15.75" customHeight="1" x14ac:dyDescent="0.3">
      <c r="A89" s="11" t="s">
        <v>99</v>
      </c>
      <c r="B89" s="11" t="s">
        <v>99</v>
      </c>
    </row>
    <row r="90" spans="1:2" ht="15.75" customHeight="1" x14ac:dyDescent="0.3">
      <c r="A90" s="11" t="s">
        <v>170</v>
      </c>
      <c r="B90" s="11" t="s">
        <v>61</v>
      </c>
    </row>
    <row r="91" spans="1:2" ht="15.75" customHeight="1" x14ac:dyDescent="0.3">
      <c r="A91" s="11" t="s">
        <v>202</v>
      </c>
      <c r="B91" s="11" t="s">
        <v>202</v>
      </c>
    </row>
    <row r="92" spans="1:2" ht="15.75" customHeight="1" x14ac:dyDescent="0.3">
      <c r="A92" s="11" t="s">
        <v>68</v>
      </c>
      <c r="B92" s="11" t="s">
        <v>142</v>
      </c>
    </row>
    <row r="93" spans="1:2" ht="15.75" customHeight="1" x14ac:dyDescent="0.3">
      <c r="A93" s="11" t="s">
        <v>169</v>
      </c>
      <c r="B93" s="11" t="s">
        <v>42</v>
      </c>
    </row>
    <row r="94" spans="1:2" ht="15.75" customHeight="1" x14ac:dyDescent="0.3">
      <c r="A94" s="11" t="s">
        <v>147</v>
      </c>
      <c r="B94" s="11" t="s">
        <v>196</v>
      </c>
    </row>
    <row r="95" spans="1:2" ht="15.75" customHeight="1" x14ac:dyDescent="0.3">
      <c r="A95" s="11" t="s">
        <v>281</v>
      </c>
      <c r="B95" s="11" t="s">
        <v>281</v>
      </c>
    </row>
    <row r="96" spans="1:2" ht="15.75" customHeight="1" x14ac:dyDescent="0.3">
      <c r="A96" s="11" t="s">
        <v>42</v>
      </c>
      <c r="B96" s="11" t="s">
        <v>42</v>
      </c>
    </row>
    <row r="97" spans="1:2" ht="15.75" customHeight="1" x14ac:dyDescent="0.3">
      <c r="A97" s="11" t="s">
        <v>99</v>
      </c>
      <c r="B97" s="11" t="s">
        <v>99</v>
      </c>
    </row>
    <row r="98" spans="1:2" ht="15.75" customHeight="1" x14ac:dyDescent="0.3">
      <c r="A98" s="11" t="s">
        <v>175</v>
      </c>
      <c r="B98" s="11" t="s">
        <v>175</v>
      </c>
    </row>
    <row r="99" spans="1:2" ht="15.75" customHeight="1" x14ac:dyDescent="0.3">
      <c r="A99" s="11" t="s">
        <v>98</v>
      </c>
      <c r="B99" s="11" t="s">
        <v>202</v>
      </c>
    </row>
    <row r="100" spans="1:2" ht="15.75" customHeight="1" x14ac:dyDescent="0.3">
      <c r="A100" s="11" t="s">
        <v>276</v>
      </c>
      <c r="B100" s="11" t="s">
        <v>276</v>
      </c>
    </row>
    <row r="101" spans="1:2" ht="15.75" customHeight="1" x14ac:dyDescent="0.3">
      <c r="A101" s="11" t="s">
        <v>179</v>
      </c>
      <c r="B101" s="11" t="s">
        <v>179</v>
      </c>
    </row>
    <row r="102" spans="1:2" ht="15.75" customHeight="1" x14ac:dyDescent="0.3">
      <c r="A102" s="11" t="s">
        <v>136</v>
      </c>
      <c r="B102" s="11" t="s">
        <v>202</v>
      </c>
    </row>
    <row r="103" spans="1:2" ht="15.75" customHeight="1" x14ac:dyDescent="0.3">
      <c r="A103" s="11" t="s">
        <v>171</v>
      </c>
      <c r="B103" s="11" t="s">
        <v>202</v>
      </c>
    </row>
    <row r="104" spans="1:2" ht="15.75" customHeight="1" x14ac:dyDescent="0.3">
      <c r="A104" s="11" t="s">
        <v>136</v>
      </c>
      <c r="B104" s="11" t="s">
        <v>202</v>
      </c>
    </row>
    <row r="105" spans="1:2" ht="15.75" customHeight="1" x14ac:dyDescent="0.3">
      <c r="A105" s="11" t="s">
        <v>136</v>
      </c>
      <c r="B105" s="11" t="s">
        <v>202</v>
      </c>
    </row>
    <row r="106" spans="1:2" ht="15.75" customHeight="1" x14ac:dyDescent="0.3">
      <c r="A106" s="11" t="s">
        <v>122</v>
      </c>
      <c r="B106" s="11" t="s">
        <v>175</v>
      </c>
    </row>
    <row r="107" spans="1:2" ht="15.75" customHeight="1" x14ac:dyDescent="0.3">
      <c r="A107" s="11" t="s">
        <v>202</v>
      </c>
      <c r="B107" s="11" t="s">
        <v>202</v>
      </c>
    </row>
    <row r="108" spans="1:2" ht="15.75" customHeight="1" x14ac:dyDescent="0.3">
      <c r="A108" s="11" t="s">
        <v>218</v>
      </c>
      <c r="B108" s="11" t="s">
        <v>281</v>
      </c>
    </row>
    <row r="109" spans="1:2" ht="15.75" customHeight="1" x14ac:dyDescent="0.3">
      <c r="A109" s="11" t="s">
        <v>218</v>
      </c>
      <c r="B109" s="11" t="s">
        <v>281</v>
      </c>
    </row>
    <row r="110" spans="1:2" ht="15.75" customHeight="1" x14ac:dyDescent="0.3">
      <c r="A110" s="11" t="s">
        <v>99</v>
      </c>
      <c r="B110" s="11" t="s">
        <v>99</v>
      </c>
    </row>
    <row r="111" spans="1:2" ht="15.75" customHeight="1" x14ac:dyDescent="0.3">
      <c r="A111" s="11" t="s">
        <v>256</v>
      </c>
      <c r="B111" s="11" t="s">
        <v>281</v>
      </c>
    </row>
    <row r="112" spans="1:2" ht="15.75" customHeight="1" x14ac:dyDescent="0.3">
      <c r="A112" s="11" t="s">
        <v>99</v>
      </c>
      <c r="B112" s="11" t="s">
        <v>99</v>
      </c>
    </row>
    <row r="113" spans="1:2" ht="15.75" customHeight="1" x14ac:dyDescent="0.3">
      <c r="A113" s="11" t="s">
        <v>195</v>
      </c>
      <c r="B113" s="11" t="s">
        <v>195</v>
      </c>
    </row>
    <row r="114" spans="1:2" ht="15.75" customHeight="1" x14ac:dyDescent="0.3">
      <c r="A114" s="11" t="s">
        <v>148</v>
      </c>
      <c r="B114" s="11" t="s">
        <v>129</v>
      </c>
    </row>
    <row r="115" spans="1:2" ht="15.75" customHeight="1" x14ac:dyDescent="0.3">
      <c r="A115" s="11" t="s">
        <v>196</v>
      </c>
      <c r="B115" s="11" t="s">
        <v>196</v>
      </c>
    </row>
    <row r="116" spans="1:2" ht="15.75" customHeight="1" x14ac:dyDescent="0.3">
      <c r="A116" s="11" t="s">
        <v>276</v>
      </c>
      <c r="B116" s="11" t="s">
        <v>276</v>
      </c>
    </row>
    <row r="117" spans="1:2" ht="15.75" customHeight="1" x14ac:dyDescent="0.3">
      <c r="A117" s="11" t="s">
        <v>208</v>
      </c>
      <c r="B117" s="11" t="s">
        <v>179</v>
      </c>
    </row>
    <row r="118" spans="1:2" ht="15.75" customHeight="1" x14ac:dyDescent="0.3">
      <c r="A118" s="11" t="s">
        <v>268</v>
      </c>
      <c r="B118" s="11" t="s">
        <v>276</v>
      </c>
    </row>
    <row r="119" spans="1:2" ht="15.75" customHeight="1" x14ac:dyDescent="0.3">
      <c r="A119" s="11" t="s">
        <v>196</v>
      </c>
      <c r="B119" s="11" t="s">
        <v>196</v>
      </c>
    </row>
    <row r="120" spans="1:2" ht="15.75" customHeight="1" x14ac:dyDescent="0.3">
      <c r="A120" s="11" t="s">
        <v>196</v>
      </c>
      <c r="B120" s="11" t="s">
        <v>196</v>
      </c>
    </row>
    <row r="121" spans="1:2" ht="15.75" customHeight="1" x14ac:dyDescent="0.3">
      <c r="A121" s="11" t="s">
        <v>102</v>
      </c>
      <c r="B121" s="11" t="s">
        <v>102</v>
      </c>
    </row>
    <row r="122" spans="1:2" ht="15.75" customHeight="1" x14ac:dyDescent="0.3">
      <c r="A122" s="11" t="s">
        <v>276</v>
      </c>
      <c r="B122" s="11" t="s">
        <v>276</v>
      </c>
    </row>
    <row r="123" spans="1:2" ht="15.75" customHeight="1" x14ac:dyDescent="0.3">
      <c r="A123" s="11" t="s">
        <v>169</v>
      </c>
      <c r="B123" s="11" t="s">
        <v>42</v>
      </c>
    </row>
    <row r="124" spans="1:2" ht="15.75" customHeight="1" x14ac:dyDescent="0.3">
      <c r="A124" s="11" t="s">
        <v>136</v>
      </c>
      <c r="B124" s="11" t="s">
        <v>202</v>
      </c>
    </row>
    <row r="125" spans="1:2" ht="15.75" customHeight="1" x14ac:dyDescent="0.3">
      <c r="A125" s="11" t="s">
        <v>42</v>
      </c>
      <c r="B125" s="11" t="s">
        <v>42</v>
      </c>
    </row>
    <row r="126" spans="1:2" ht="15.75" customHeight="1" x14ac:dyDescent="0.3">
      <c r="A126" s="11" t="s">
        <v>129</v>
      </c>
      <c r="B126" s="11" t="s">
        <v>129</v>
      </c>
    </row>
    <row r="127" spans="1:2" ht="15.75" customHeight="1" x14ac:dyDescent="0.3">
      <c r="A127" s="11" t="s">
        <v>126</v>
      </c>
      <c r="B127" s="11" t="s">
        <v>179</v>
      </c>
    </row>
    <row r="128" spans="1:2" ht="15.75" customHeight="1" x14ac:dyDescent="0.3">
      <c r="A128" s="11" t="s">
        <v>179</v>
      </c>
      <c r="B128" s="11" t="s">
        <v>179</v>
      </c>
    </row>
    <row r="129" spans="1:2" ht="15.75" customHeight="1" x14ac:dyDescent="0.3">
      <c r="A129" s="11" t="s">
        <v>237</v>
      </c>
      <c r="B129" s="11" t="s">
        <v>237</v>
      </c>
    </row>
    <row r="130" spans="1:2" ht="15.75" customHeight="1" x14ac:dyDescent="0.3">
      <c r="A130" s="11" t="s">
        <v>179</v>
      </c>
      <c r="B130" s="11" t="s">
        <v>179</v>
      </c>
    </row>
    <row r="131" spans="1:2" ht="15.75" customHeight="1" x14ac:dyDescent="0.3">
      <c r="A131" s="11" t="s">
        <v>202</v>
      </c>
      <c r="B131" s="11" t="s">
        <v>202</v>
      </c>
    </row>
    <row r="132" spans="1:2" ht="15.75" customHeight="1" x14ac:dyDescent="0.3">
      <c r="A132" s="11" t="s">
        <v>105</v>
      </c>
      <c r="B132" s="11" t="s">
        <v>105</v>
      </c>
    </row>
    <row r="133" spans="1:2" ht="15.75" customHeight="1" x14ac:dyDescent="0.3">
      <c r="A133" s="11" t="s">
        <v>276</v>
      </c>
      <c r="B133" s="11" t="s">
        <v>276</v>
      </c>
    </row>
    <row r="134" spans="1:2" ht="15.75" customHeight="1" x14ac:dyDescent="0.3">
      <c r="A134" s="11" t="s">
        <v>102</v>
      </c>
      <c r="B134" s="11" t="s">
        <v>102</v>
      </c>
    </row>
    <row r="135" spans="1:2" ht="15.75" customHeight="1" x14ac:dyDescent="0.3">
      <c r="A135" s="11" t="s">
        <v>136</v>
      </c>
      <c r="B135" s="11" t="s">
        <v>202</v>
      </c>
    </row>
    <row r="136" spans="1:2" ht="15.75" customHeight="1" x14ac:dyDescent="0.3">
      <c r="A136" s="11" t="s">
        <v>171</v>
      </c>
      <c r="B136" s="11" t="s">
        <v>202</v>
      </c>
    </row>
    <row r="137" spans="1:2" ht="15.75" customHeight="1" x14ac:dyDescent="0.3">
      <c r="A137" s="11" t="s">
        <v>195</v>
      </c>
      <c r="B137" s="11" t="s">
        <v>195</v>
      </c>
    </row>
    <row r="138" spans="1:2" ht="15.75" customHeight="1" x14ac:dyDescent="0.3">
      <c r="A138" s="11" t="s">
        <v>178</v>
      </c>
      <c r="B138" s="11" t="s">
        <v>193</v>
      </c>
    </row>
    <row r="139" spans="1:2" ht="15.75" customHeight="1" x14ac:dyDescent="0.3">
      <c r="A139" s="11" t="s">
        <v>196</v>
      </c>
      <c r="B139" s="11" t="s">
        <v>196</v>
      </c>
    </row>
    <row r="140" spans="1:2" ht="15.75" customHeight="1" x14ac:dyDescent="0.3">
      <c r="A140" s="11" t="s">
        <v>68</v>
      </c>
      <c r="B140" s="11" t="s">
        <v>142</v>
      </c>
    </row>
    <row r="141" spans="1:2" ht="15.75" customHeight="1" x14ac:dyDescent="0.3">
      <c r="A141" s="11" t="s">
        <v>99</v>
      </c>
      <c r="B141" s="11" t="s">
        <v>99</v>
      </c>
    </row>
    <row r="142" spans="1:2" ht="15.75" customHeight="1" x14ac:dyDescent="0.3">
      <c r="A142" s="11" t="s">
        <v>119</v>
      </c>
      <c r="B142" s="11" t="s">
        <v>119</v>
      </c>
    </row>
    <row r="143" spans="1:2" ht="15.75" customHeight="1" x14ac:dyDescent="0.3">
      <c r="A143" s="11" t="s">
        <v>99</v>
      </c>
      <c r="B143" s="11" t="s">
        <v>99</v>
      </c>
    </row>
    <row r="144" spans="1:2" ht="15.75" customHeight="1" x14ac:dyDescent="0.3">
      <c r="A144" s="11" t="s">
        <v>275</v>
      </c>
      <c r="B144" s="11" t="s">
        <v>175</v>
      </c>
    </row>
    <row r="145" spans="1:2" ht="15.75" customHeight="1" x14ac:dyDescent="0.3">
      <c r="A145" s="11" t="s">
        <v>207</v>
      </c>
      <c r="B145" s="11" t="s">
        <v>193</v>
      </c>
    </row>
    <row r="146" spans="1:2" ht="15.75" customHeight="1" x14ac:dyDescent="0.3">
      <c r="A146" s="11" t="s">
        <v>278</v>
      </c>
      <c r="B146" s="11" t="s">
        <v>42</v>
      </c>
    </row>
    <row r="147" spans="1:2" ht="15.75" customHeight="1" x14ac:dyDescent="0.3">
      <c r="A147" s="11" t="s">
        <v>42</v>
      </c>
      <c r="B147" s="11" t="s">
        <v>42</v>
      </c>
    </row>
    <row r="148" spans="1:2" ht="15.75" customHeight="1" x14ac:dyDescent="0.3">
      <c r="A148" s="11" t="s">
        <v>215</v>
      </c>
      <c r="B148" s="11" t="s">
        <v>61</v>
      </c>
    </row>
    <row r="149" spans="1:2" ht="15.75" customHeight="1" x14ac:dyDescent="0.3">
      <c r="A149" s="11" t="s">
        <v>215</v>
      </c>
      <c r="B149" s="11" t="s">
        <v>61</v>
      </c>
    </row>
    <row r="150" spans="1:2" ht="15.75" customHeight="1" x14ac:dyDescent="0.3">
      <c r="A150" s="11" t="s">
        <v>270</v>
      </c>
      <c r="B150" s="11" t="s">
        <v>42</v>
      </c>
    </row>
    <row r="151" spans="1:2" ht="15.75" customHeight="1" x14ac:dyDescent="0.3">
      <c r="A151" s="11" t="s">
        <v>207</v>
      </c>
      <c r="B151" s="11" t="s">
        <v>193</v>
      </c>
    </row>
    <row r="152" spans="1:2" ht="15.75" customHeight="1" x14ac:dyDescent="0.3">
      <c r="A152" s="11" t="s">
        <v>150</v>
      </c>
      <c r="B152" s="11" t="s">
        <v>276</v>
      </c>
    </row>
    <row r="153" spans="1:2" ht="15.75" customHeight="1" x14ac:dyDescent="0.3">
      <c r="A153" s="11" t="s">
        <v>196</v>
      </c>
      <c r="B153" s="11" t="s">
        <v>196</v>
      </c>
    </row>
    <row r="154" spans="1:2" ht="15.75" customHeight="1" x14ac:dyDescent="0.3">
      <c r="A154" s="11" t="s">
        <v>97</v>
      </c>
      <c r="B154" s="11" t="s">
        <v>61</v>
      </c>
    </row>
    <row r="155" spans="1:2" ht="15.75" customHeight="1" x14ac:dyDescent="0.3">
      <c r="A155" s="11" t="s">
        <v>98</v>
      </c>
      <c r="B155" s="11" t="s">
        <v>202</v>
      </c>
    </row>
    <row r="156" spans="1:2" ht="15.75" customHeight="1" x14ac:dyDescent="0.3">
      <c r="A156" s="11" t="s">
        <v>245</v>
      </c>
      <c r="B156" s="11" t="s">
        <v>281</v>
      </c>
    </row>
    <row r="157" spans="1:2" ht="15.75" customHeight="1" x14ac:dyDescent="0.3">
      <c r="A157" s="11" t="s">
        <v>171</v>
      </c>
      <c r="B157" s="11" t="s">
        <v>202</v>
      </c>
    </row>
    <row r="158" spans="1:2" ht="15.75" customHeight="1" x14ac:dyDescent="0.3">
      <c r="A158" s="11" t="s">
        <v>248</v>
      </c>
      <c r="B158" s="11" t="s">
        <v>237</v>
      </c>
    </row>
    <row r="159" spans="1:2" ht="15.75" customHeight="1" x14ac:dyDescent="0.3">
      <c r="A159" s="11" t="s">
        <v>177</v>
      </c>
      <c r="B159" s="11" t="s">
        <v>105</v>
      </c>
    </row>
    <row r="160" spans="1:2" ht="15.75" customHeight="1" x14ac:dyDescent="0.3">
      <c r="A160" s="11" t="s">
        <v>179</v>
      </c>
      <c r="B160" s="11" t="s">
        <v>179</v>
      </c>
    </row>
    <row r="161" spans="1:2" ht="15.75" customHeight="1" x14ac:dyDescent="0.3">
      <c r="A161" s="11" t="s">
        <v>163</v>
      </c>
      <c r="B161" s="11" t="s">
        <v>195</v>
      </c>
    </row>
    <row r="162" spans="1:2" ht="15.75" customHeight="1" x14ac:dyDescent="0.3">
      <c r="A162" s="11" t="s">
        <v>99</v>
      </c>
      <c r="B162" s="11" t="s">
        <v>99</v>
      </c>
    </row>
    <row r="163" spans="1:2" ht="15.75" customHeight="1" x14ac:dyDescent="0.3">
      <c r="A163" s="11" t="s">
        <v>236</v>
      </c>
      <c r="B163" s="11" t="s">
        <v>195</v>
      </c>
    </row>
    <row r="164" spans="1:2" ht="15.75" customHeight="1" x14ac:dyDescent="0.3">
      <c r="A164" s="11" t="s">
        <v>99</v>
      </c>
      <c r="B164" s="11" t="s">
        <v>99</v>
      </c>
    </row>
    <row r="165" spans="1:2" ht="15.75" customHeight="1" x14ac:dyDescent="0.3">
      <c r="A165" s="11" t="s">
        <v>142</v>
      </c>
      <c r="B165" s="11" t="s">
        <v>142</v>
      </c>
    </row>
    <row r="166" spans="1:2" ht="15.75" customHeight="1" x14ac:dyDescent="0.3">
      <c r="A166" s="11" t="s">
        <v>208</v>
      </c>
      <c r="B166" s="11" t="s">
        <v>179</v>
      </c>
    </row>
    <row r="167" spans="1:2" ht="15.75" customHeight="1" x14ac:dyDescent="0.3">
      <c r="A167" s="11" t="s">
        <v>109</v>
      </c>
      <c r="B167" s="11" t="s">
        <v>196</v>
      </c>
    </row>
    <row r="168" spans="1:2" ht="15.75" customHeight="1" x14ac:dyDescent="0.3">
      <c r="A168" s="11" t="s">
        <v>208</v>
      </c>
      <c r="B168" s="11" t="s">
        <v>179</v>
      </c>
    </row>
    <row r="169" spans="1:2" ht="15.75" customHeight="1" x14ac:dyDescent="0.3">
      <c r="A169" s="11" t="s">
        <v>98</v>
      </c>
      <c r="B169" s="11" t="s">
        <v>202</v>
      </c>
    </row>
    <row r="170" spans="1:2" ht="15.75" customHeight="1" x14ac:dyDescent="0.3">
      <c r="A170" s="11" t="s">
        <v>193</v>
      </c>
      <c r="B170" s="11" t="s">
        <v>193</v>
      </c>
    </row>
    <row r="171" spans="1:2" ht="15.75" customHeight="1" x14ac:dyDescent="0.3">
      <c r="A171" s="11" t="s">
        <v>140</v>
      </c>
      <c r="B171" s="11" t="s">
        <v>102</v>
      </c>
    </row>
    <row r="172" spans="1:2" ht="15.75" customHeight="1" x14ac:dyDescent="0.3">
      <c r="A172" s="11" t="s">
        <v>187</v>
      </c>
      <c r="B172" s="11" t="s">
        <v>202</v>
      </c>
    </row>
    <row r="173" spans="1:2" ht="15.75" customHeight="1" x14ac:dyDescent="0.3">
      <c r="A173" s="11" t="s">
        <v>194</v>
      </c>
      <c r="B173" s="11" t="s">
        <v>179</v>
      </c>
    </row>
    <row r="174" spans="1:2" ht="15.75" customHeight="1" x14ac:dyDescent="0.3">
      <c r="A174" s="11" t="s">
        <v>118</v>
      </c>
      <c r="B174" s="11" t="s">
        <v>99</v>
      </c>
    </row>
    <row r="175" spans="1:2" ht="15.75" customHeight="1" x14ac:dyDescent="0.3">
      <c r="A175" s="11" t="s">
        <v>238</v>
      </c>
      <c r="B175" s="11" t="s">
        <v>276</v>
      </c>
    </row>
    <row r="176" spans="1:2" ht="15.75" customHeight="1" x14ac:dyDescent="0.3">
      <c r="A176" s="11" t="s">
        <v>128</v>
      </c>
      <c r="B176" s="11" t="s">
        <v>196</v>
      </c>
    </row>
    <row r="177" spans="1:2" ht="15.75" customHeight="1" x14ac:dyDescent="0.3">
      <c r="A177" s="11" t="s">
        <v>249</v>
      </c>
      <c r="B177" s="11" t="s">
        <v>276</v>
      </c>
    </row>
    <row r="178" spans="1:2" ht="15.75" customHeight="1" x14ac:dyDescent="0.3">
      <c r="A178" s="11" t="s">
        <v>112</v>
      </c>
      <c r="B178" s="11" t="s">
        <v>276</v>
      </c>
    </row>
    <row r="179" spans="1:2" ht="15.75" customHeight="1" x14ac:dyDescent="0.3">
      <c r="A179" s="11" t="s">
        <v>85</v>
      </c>
      <c r="B179" s="11" t="s">
        <v>175</v>
      </c>
    </row>
    <row r="180" spans="1:2" ht="15.75" customHeight="1" x14ac:dyDescent="0.3">
      <c r="A180" s="11" t="s">
        <v>212</v>
      </c>
      <c r="B180" s="11" t="s">
        <v>276</v>
      </c>
    </row>
    <row r="181" spans="1:2" ht="15.75" customHeight="1" x14ac:dyDescent="0.3">
      <c r="A181" s="11" t="s">
        <v>299</v>
      </c>
      <c r="B181" s="11" t="s">
        <v>281</v>
      </c>
    </row>
    <row r="182" spans="1:2" ht="15.75" customHeight="1" x14ac:dyDescent="0.3">
      <c r="A182" s="11" t="s">
        <v>158</v>
      </c>
      <c r="B182" s="11" t="s">
        <v>175</v>
      </c>
    </row>
    <row r="183" spans="1:2" ht="15.75" customHeight="1" x14ac:dyDescent="0.3">
      <c r="A183" s="11" t="s">
        <v>259</v>
      </c>
      <c r="B183" s="11" t="s">
        <v>276</v>
      </c>
    </row>
    <row r="184" spans="1:2" ht="15.75" customHeight="1" x14ac:dyDescent="0.3">
      <c r="A184" s="11" t="s">
        <v>103</v>
      </c>
      <c r="B184" s="11" t="s">
        <v>175</v>
      </c>
    </row>
    <row r="185" spans="1:2" ht="15.75" customHeight="1" x14ac:dyDescent="0.3">
      <c r="A185" s="11" t="s">
        <v>226</v>
      </c>
      <c r="B185" s="11" t="s">
        <v>276</v>
      </c>
    </row>
    <row r="186" spans="1:2" ht="15.75" customHeight="1" x14ac:dyDescent="0.3">
      <c r="A186" s="11" t="s">
        <v>253</v>
      </c>
      <c r="B186" s="11" t="s">
        <v>61</v>
      </c>
    </row>
    <row r="187" spans="1:2" ht="15.75" customHeight="1" x14ac:dyDescent="0.3">
      <c r="A187" s="11" t="s">
        <v>100</v>
      </c>
      <c r="B187" s="11" t="s">
        <v>119</v>
      </c>
    </row>
    <row r="188" spans="1:2" ht="15.75" customHeight="1" x14ac:dyDescent="0.3">
      <c r="A188" s="11" t="s">
        <v>232</v>
      </c>
      <c r="B188" s="11" t="s">
        <v>119</v>
      </c>
    </row>
    <row r="189" spans="1:2" ht="15.75" customHeight="1" x14ac:dyDescent="0.3">
      <c r="A189" s="11" t="s">
        <v>188</v>
      </c>
      <c r="B189" s="11" t="s">
        <v>99</v>
      </c>
    </row>
    <row r="190" spans="1:2" ht="15.75" customHeight="1" x14ac:dyDescent="0.3">
      <c r="A190" s="11" t="s">
        <v>96</v>
      </c>
      <c r="B190" s="11" t="s">
        <v>42</v>
      </c>
    </row>
    <row r="191" spans="1:2" ht="15.75" customHeight="1" x14ac:dyDescent="0.3">
      <c r="A191" s="11" t="s">
        <v>26</v>
      </c>
      <c r="B191" s="11" t="s">
        <v>42</v>
      </c>
    </row>
    <row r="192" spans="1:2" ht="15.75" customHeight="1" x14ac:dyDescent="0.3">
      <c r="A192" s="11" t="s">
        <v>78</v>
      </c>
      <c r="B192" s="11" t="s">
        <v>42</v>
      </c>
    </row>
    <row r="193" spans="1:2" ht="15.75" customHeight="1" x14ac:dyDescent="0.3">
      <c r="A193" s="11" t="s">
        <v>78</v>
      </c>
      <c r="B193" s="11" t="s">
        <v>42</v>
      </c>
    </row>
    <row r="194" spans="1:2" ht="15.75" customHeight="1" x14ac:dyDescent="0.3">
      <c r="A194" s="11" t="s">
        <v>124</v>
      </c>
      <c r="B194" s="11" t="s">
        <v>105</v>
      </c>
    </row>
    <row r="195" spans="1:2" ht="15.75" customHeight="1" x14ac:dyDescent="0.3">
      <c r="A195" s="11" t="s">
        <v>214</v>
      </c>
      <c r="B195" s="11" t="s">
        <v>42</v>
      </c>
    </row>
    <row r="196" spans="1:2" ht="15.75" customHeight="1" x14ac:dyDescent="0.3">
      <c r="A196" s="11" t="s">
        <v>117</v>
      </c>
      <c r="B196" s="11" t="s">
        <v>202</v>
      </c>
    </row>
    <row r="197" spans="1:2" ht="15.75" customHeight="1" x14ac:dyDescent="0.3">
      <c r="A197" s="11" t="s">
        <v>81</v>
      </c>
      <c r="B197" s="11" t="s">
        <v>99</v>
      </c>
    </row>
    <row r="198" spans="1:2" ht="15.75" customHeight="1" x14ac:dyDescent="0.3">
      <c r="A198" s="11" t="s">
        <v>116</v>
      </c>
      <c r="B198" s="11" t="s">
        <v>61</v>
      </c>
    </row>
    <row r="199" spans="1:2" ht="15.75" customHeight="1" x14ac:dyDescent="0.3">
      <c r="A199" s="11" t="s">
        <v>216</v>
      </c>
      <c r="B199" s="11" t="s">
        <v>202</v>
      </c>
    </row>
    <row r="200" spans="1:2" ht="15.75" customHeight="1" x14ac:dyDescent="0.3">
      <c r="A200" s="11" t="s">
        <v>183</v>
      </c>
      <c r="B200" s="11" t="s">
        <v>276</v>
      </c>
    </row>
    <row r="201" spans="1:2" ht="15.75" customHeight="1" x14ac:dyDescent="0.3">
      <c r="A201" s="11" t="s">
        <v>243</v>
      </c>
      <c r="B201" s="11" t="s">
        <v>202</v>
      </c>
    </row>
    <row r="202" spans="1:2" ht="15.75" customHeight="1" x14ac:dyDescent="0.3">
      <c r="A202" s="11" t="s">
        <v>210</v>
      </c>
      <c r="B202" s="11" t="s">
        <v>196</v>
      </c>
    </row>
    <row r="203" spans="1:2" ht="15.75" customHeight="1" x14ac:dyDescent="0.3">
      <c r="A203" s="11" t="s">
        <v>120</v>
      </c>
      <c r="B203" s="11" t="s">
        <v>281</v>
      </c>
    </row>
    <row r="204" spans="1:2" ht="15.75" customHeight="1" x14ac:dyDescent="0.3">
      <c r="A204" s="11" t="s">
        <v>76</v>
      </c>
      <c r="B204" s="11" t="s">
        <v>276</v>
      </c>
    </row>
    <row r="205" spans="1:2" ht="15.75" customHeight="1" x14ac:dyDescent="0.3">
      <c r="A205" s="11" t="s">
        <v>255</v>
      </c>
      <c r="B205" s="11" t="s">
        <v>119</v>
      </c>
    </row>
    <row r="206" spans="1:2" ht="15.75" customHeight="1" x14ac:dyDescent="0.3">
      <c r="A206" s="11" t="s">
        <v>271</v>
      </c>
      <c r="B206" s="11" t="s">
        <v>61</v>
      </c>
    </row>
    <row r="207" spans="1:2" ht="15.75" customHeight="1" x14ac:dyDescent="0.3">
      <c r="A207" s="11" t="s">
        <v>203</v>
      </c>
      <c r="B207" s="11" t="s">
        <v>119</v>
      </c>
    </row>
    <row r="208" spans="1:2" ht="15.75" customHeight="1" x14ac:dyDescent="0.3">
      <c r="A208" s="11" t="s">
        <v>244</v>
      </c>
      <c r="B208" s="11" t="s">
        <v>119</v>
      </c>
    </row>
    <row r="209" spans="1:2" ht="15.75" customHeight="1" x14ac:dyDescent="0.3">
      <c r="A209" s="11" t="s">
        <v>190</v>
      </c>
      <c r="B209" s="11" t="s">
        <v>281</v>
      </c>
    </row>
    <row r="210" spans="1:2" ht="15.75" customHeight="1" x14ac:dyDescent="0.3">
      <c r="A210" s="11" t="s">
        <v>156</v>
      </c>
      <c r="B210" s="11" t="s">
        <v>119</v>
      </c>
    </row>
    <row r="211" spans="1:2" ht="15.75" customHeight="1" x14ac:dyDescent="0.3">
      <c r="A211" s="11" t="s">
        <v>172</v>
      </c>
      <c r="B211" s="11" t="s">
        <v>99</v>
      </c>
    </row>
    <row r="212" spans="1:2" ht="15.75" customHeight="1" x14ac:dyDescent="0.3">
      <c r="A212" s="11" t="s">
        <v>257</v>
      </c>
      <c r="B212" s="11" t="s">
        <v>175</v>
      </c>
    </row>
    <row r="213" spans="1:2" ht="15.75" customHeight="1" x14ac:dyDescent="0.3">
      <c r="A213" s="11" t="s">
        <v>247</v>
      </c>
      <c r="B213" s="11" t="s">
        <v>179</v>
      </c>
    </row>
    <row r="214" spans="1:2" ht="15.75" customHeight="1" x14ac:dyDescent="0.3">
      <c r="A214" s="11" t="s">
        <v>258</v>
      </c>
      <c r="B214" s="11" t="s">
        <v>179</v>
      </c>
    </row>
    <row r="215" spans="1:2" ht="15.75" customHeight="1" x14ac:dyDescent="0.3">
      <c r="A215" s="11" t="s">
        <v>82</v>
      </c>
      <c r="B215" s="11" t="s">
        <v>119</v>
      </c>
    </row>
    <row r="216" spans="1:2" ht="15.75" customHeight="1" x14ac:dyDescent="0.3">
      <c r="A216" s="11" t="s">
        <v>291</v>
      </c>
      <c r="B216" s="11" t="s">
        <v>276</v>
      </c>
    </row>
    <row r="217" spans="1:2" ht="15.75" customHeight="1" x14ac:dyDescent="0.3">
      <c r="A217" s="11" t="s">
        <v>108</v>
      </c>
      <c r="B217" s="11" t="s">
        <v>195</v>
      </c>
    </row>
    <row r="218" spans="1:2" ht="15.75" customHeight="1" x14ac:dyDescent="0.3">
      <c r="A218" s="11" t="s">
        <v>159</v>
      </c>
      <c r="B218" s="11" t="s">
        <v>142</v>
      </c>
    </row>
    <row r="219" spans="1:2" ht="15.75" customHeight="1" x14ac:dyDescent="0.3">
      <c r="A219" s="11" t="s">
        <v>180</v>
      </c>
      <c r="B219" s="11" t="s">
        <v>195</v>
      </c>
    </row>
    <row r="220" spans="1:2" ht="15.75" customHeight="1" x14ac:dyDescent="0.3">
      <c r="A220" s="11" t="s">
        <v>252</v>
      </c>
      <c r="B220" s="11" t="s">
        <v>42</v>
      </c>
    </row>
    <row r="221" spans="1:2" ht="15.75" customHeight="1" x14ac:dyDescent="0.3">
      <c r="A221" s="11" t="s">
        <v>176</v>
      </c>
      <c r="B221" s="11" t="s">
        <v>142</v>
      </c>
    </row>
    <row r="222" spans="1:2" ht="15.75" customHeight="1" x14ac:dyDescent="0.3">
      <c r="A222" s="11" t="s">
        <v>230</v>
      </c>
      <c r="B222" s="11" t="s">
        <v>61</v>
      </c>
    </row>
    <row r="223" spans="1:2" ht="15.75" customHeight="1" x14ac:dyDescent="0.3">
      <c r="A223" s="11" t="s">
        <v>86</v>
      </c>
      <c r="B223" s="11" t="s">
        <v>142</v>
      </c>
    </row>
    <row r="224" spans="1:2" ht="15.75" customHeight="1" x14ac:dyDescent="0.3">
      <c r="A224" s="11" t="s">
        <v>185</v>
      </c>
      <c r="B224" s="11" t="s">
        <v>42</v>
      </c>
    </row>
    <row r="225" spans="1:2" ht="15.75" customHeight="1" x14ac:dyDescent="0.3">
      <c r="A225" s="11" t="s">
        <v>154</v>
      </c>
      <c r="B225" s="11" t="s">
        <v>202</v>
      </c>
    </row>
    <row r="226" spans="1:2" ht="15.75" customHeight="1" x14ac:dyDescent="0.3">
      <c r="A226" s="11" t="s">
        <v>90</v>
      </c>
      <c r="B226" s="11" t="s">
        <v>195</v>
      </c>
    </row>
    <row r="227" spans="1:2" ht="15.75" customHeight="1" x14ac:dyDescent="0.3">
      <c r="A227" s="11" t="s">
        <v>191</v>
      </c>
      <c r="B227" s="11" t="s">
        <v>175</v>
      </c>
    </row>
    <row r="228" spans="1:2" ht="15.75" customHeight="1" x14ac:dyDescent="0.3">
      <c r="A228" s="11" t="s">
        <v>94</v>
      </c>
      <c r="B228" s="11" t="s">
        <v>276</v>
      </c>
    </row>
    <row r="229" spans="1:2" ht="15.75" customHeight="1" x14ac:dyDescent="0.3">
      <c r="A229" s="11" t="s">
        <v>283</v>
      </c>
      <c r="B229" s="11" t="s">
        <v>276</v>
      </c>
    </row>
    <row r="230" spans="1:2" ht="15.75" customHeight="1" x14ac:dyDescent="0.3">
      <c r="A230" s="11" t="s">
        <v>134</v>
      </c>
      <c r="B230" s="11" t="s">
        <v>42</v>
      </c>
    </row>
    <row r="231" spans="1:2" ht="15.75" customHeight="1" x14ac:dyDescent="0.3">
      <c r="A231" s="11" t="s">
        <v>145</v>
      </c>
      <c r="B231" s="11" t="s">
        <v>179</v>
      </c>
    </row>
    <row r="232" spans="1:2" ht="15.75" customHeight="1" x14ac:dyDescent="0.3">
      <c r="A232" s="11" t="s">
        <v>220</v>
      </c>
      <c r="B232" s="11" t="s">
        <v>142</v>
      </c>
    </row>
    <row r="233" spans="1:2" ht="15.75" customHeight="1" x14ac:dyDescent="0.3">
      <c r="A233" s="11" t="s">
        <v>294</v>
      </c>
      <c r="B233" s="11" t="s">
        <v>276</v>
      </c>
    </row>
    <row r="234" spans="1:2" ht="15.75" customHeight="1" x14ac:dyDescent="0.3">
      <c r="A234" s="11" t="s">
        <v>280</v>
      </c>
      <c r="B234" s="11" t="s">
        <v>202</v>
      </c>
    </row>
    <row r="235" spans="1:2" ht="15.75" customHeight="1" x14ac:dyDescent="0.3">
      <c r="A235" s="11" t="s">
        <v>71</v>
      </c>
      <c r="B235" s="11" t="s">
        <v>179</v>
      </c>
    </row>
    <row r="236" spans="1:2" ht="15.75" customHeight="1" x14ac:dyDescent="0.3">
      <c r="A236" s="11" t="s">
        <v>211</v>
      </c>
      <c r="B236" s="11" t="s">
        <v>237</v>
      </c>
    </row>
    <row r="237" spans="1:2" ht="15.75" customHeight="1" x14ac:dyDescent="0.3">
      <c r="A237" s="11" t="s">
        <v>279</v>
      </c>
      <c r="B237" s="11" t="s">
        <v>61</v>
      </c>
    </row>
    <row r="238" spans="1:2" ht="15.75" customHeight="1" x14ac:dyDescent="0.3">
      <c r="A238" s="11" t="s">
        <v>80</v>
      </c>
      <c r="B238" s="11" t="s">
        <v>202</v>
      </c>
    </row>
    <row r="239" spans="1:2" ht="15.75" customHeight="1" x14ac:dyDescent="0.3">
      <c r="A239" s="11" t="s">
        <v>166</v>
      </c>
      <c r="B239" s="11" t="s">
        <v>276</v>
      </c>
    </row>
    <row r="240" spans="1:2" ht="15.75" customHeight="1" x14ac:dyDescent="0.3">
      <c r="A240" s="11" t="s">
        <v>189</v>
      </c>
      <c r="B240" s="11" t="s">
        <v>119</v>
      </c>
    </row>
    <row r="241" spans="1:2" ht="15.75" customHeight="1" x14ac:dyDescent="0.3">
      <c r="A241" s="11" t="s">
        <v>92</v>
      </c>
      <c r="B241" s="11" t="s">
        <v>129</v>
      </c>
    </row>
    <row r="242" spans="1:2" ht="15.75" customHeight="1" x14ac:dyDescent="0.3">
      <c r="A242" s="11" t="s">
        <v>219</v>
      </c>
      <c r="B242" s="11" t="s">
        <v>175</v>
      </c>
    </row>
    <row r="243" spans="1:2" ht="15.75" customHeight="1" x14ac:dyDescent="0.3">
      <c r="A243" s="11" t="s">
        <v>288</v>
      </c>
      <c r="B243" s="11" t="s">
        <v>175</v>
      </c>
    </row>
    <row r="244" spans="1:2" ht="15.75" customHeight="1" x14ac:dyDescent="0.3">
      <c r="A244" s="11" t="s">
        <v>106</v>
      </c>
      <c r="B244" s="11" t="s">
        <v>193</v>
      </c>
    </row>
    <row r="245" spans="1:2" ht="15.75" customHeight="1" x14ac:dyDescent="0.3">
      <c r="A245" s="11" t="s">
        <v>225</v>
      </c>
      <c r="B245" s="11" t="s">
        <v>237</v>
      </c>
    </row>
    <row r="246" spans="1:2" ht="15.75" customHeight="1" x14ac:dyDescent="0.3">
      <c r="A246" s="11" t="s">
        <v>222</v>
      </c>
      <c r="B246" s="11" t="s">
        <v>179</v>
      </c>
    </row>
    <row r="247" spans="1:2" ht="15.75" customHeight="1" x14ac:dyDescent="0.3">
      <c r="A247" s="11" t="s">
        <v>205</v>
      </c>
      <c r="B247" s="11" t="s">
        <v>175</v>
      </c>
    </row>
    <row r="248" spans="1:2" ht="15.75" customHeight="1" x14ac:dyDescent="0.3">
      <c r="A248" s="11" t="s">
        <v>72</v>
      </c>
      <c r="B248" s="11" t="s">
        <v>195</v>
      </c>
    </row>
    <row r="249" spans="1:2" ht="15.75" customHeight="1" x14ac:dyDescent="0.3">
      <c r="A249" s="11" t="s">
        <v>69</v>
      </c>
      <c r="B249" s="11" t="s">
        <v>105</v>
      </c>
    </row>
    <row r="250" spans="1:2" ht="15.75" customHeight="1" x14ac:dyDescent="0.3">
      <c r="A250" s="11" t="s">
        <v>241</v>
      </c>
      <c r="B250" s="11" t="s">
        <v>42</v>
      </c>
    </row>
    <row r="251" spans="1:2" ht="15.75" customHeight="1" x14ac:dyDescent="0.3">
      <c r="A251" s="11" t="s">
        <v>264</v>
      </c>
      <c r="B251" s="11" t="s">
        <v>202</v>
      </c>
    </row>
    <row r="252" spans="1:2" ht="15.75" customHeight="1" x14ac:dyDescent="0.3">
      <c r="A252" s="11" t="s">
        <v>221</v>
      </c>
      <c r="B252" s="11" t="s">
        <v>193</v>
      </c>
    </row>
    <row r="253" spans="1:2" ht="15.75" customHeight="1" x14ac:dyDescent="0.3">
      <c r="A253" s="11" t="s">
        <v>143</v>
      </c>
      <c r="B253" s="11" t="s">
        <v>105</v>
      </c>
    </row>
    <row r="254" spans="1:2" ht="15.75" customHeight="1" x14ac:dyDescent="0.3">
      <c r="A254" s="11" t="s">
        <v>135</v>
      </c>
      <c r="B254" s="11" t="s">
        <v>61</v>
      </c>
    </row>
    <row r="255" spans="1:2" ht="15.75" customHeight="1" x14ac:dyDescent="0.3">
      <c r="A255" s="11" t="s">
        <v>64</v>
      </c>
      <c r="B255" s="11" t="s">
        <v>119</v>
      </c>
    </row>
    <row r="256" spans="1:2" ht="15.75" customHeight="1" x14ac:dyDescent="0.3">
      <c r="A256" s="11" t="s">
        <v>267</v>
      </c>
      <c r="B256" s="11" t="s">
        <v>175</v>
      </c>
    </row>
    <row r="257" spans="1:2" ht="15.75" customHeight="1" x14ac:dyDescent="0.3">
      <c r="A257" s="11" t="s">
        <v>290</v>
      </c>
      <c r="B257" s="11" t="s">
        <v>281</v>
      </c>
    </row>
    <row r="258" spans="1:2" ht="15.75" customHeight="1" x14ac:dyDescent="0.3">
      <c r="A258" s="11" t="s">
        <v>287</v>
      </c>
      <c r="B258" s="11" t="s">
        <v>281</v>
      </c>
    </row>
    <row r="259" spans="1:2" ht="15.75" customHeight="1" x14ac:dyDescent="0.3">
      <c r="A259" s="11" t="s">
        <v>87</v>
      </c>
      <c r="B259" s="11" t="s">
        <v>105</v>
      </c>
    </row>
    <row r="260" spans="1:2" ht="15.75" customHeight="1" x14ac:dyDescent="0.3">
      <c r="A260" s="11" t="s">
        <v>74</v>
      </c>
      <c r="B260" s="11" t="s">
        <v>129</v>
      </c>
    </row>
    <row r="261" spans="1:2" ht="15.75" customHeight="1" x14ac:dyDescent="0.3">
      <c r="A261" s="11" t="s">
        <v>200</v>
      </c>
      <c r="B261" s="11" t="s">
        <v>42</v>
      </c>
    </row>
    <row r="262" spans="1:2" ht="15.75" customHeight="1" x14ac:dyDescent="0.3">
      <c r="A262" s="11" t="s">
        <v>200</v>
      </c>
      <c r="B262" s="11" t="s">
        <v>42</v>
      </c>
    </row>
    <row r="263" spans="1:2" ht="15.75" customHeight="1" x14ac:dyDescent="0.3">
      <c r="A263" s="11" t="s">
        <v>200</v>
      </c>
      <c r="B263" s="11" t="s">
        <v>42</v>
      </c>
    </row>
    <row r="264" spans="1:2" ht="15.75" customHeight="1" x14ac:dyDescent="0.3">
      <c r="A264" s="11" t="s">
        <v>200</v>
      </c>
      <c r="B264" s="11" t="s">
        <v>42</v>
      </c>
    </row>
    <row r="265" spans="1:2" ht="15.75" customHeight="1" x14ac:dyDescent="0.3">
      <c r="A265" s="11" t="s">
        <v>200</v>
      </c>
      <c r="B265" s="11" t="s">
        <v>42</v>
      </c>
    </row>
    <row r="266" spans="1:2" ht="15.75" customHeight="1" x14ac:dyDescent="0.3">
      <c r="A266" s="11" t="s">
        <v>297</v>
      </c>
      <c r="B266" s="11" t="s">
        <v>276</v>
      </c>
    </row>
    <row r="267" spans="1:2" ht="15.75" customHeight="1" x14ac:dyDescent="0.3">
      <c r="A267" s="11" t="s">
        <v>93</v>
      </c>
      <c r="B267" s="11" t="s">
        <v>237</v>
      </c>
    </row>
    <row r="268" spans="1:2" ht="15.75" customHeight="1" x14ac:dyDescent="0.3">
      <c r="A268" s="11" t="s">
        <v>206</v>
      </c>
      <c r="B268" s="11" t="s">
        <v>142</v>
      </c>
    </row>
    <row r="269" spans="1:2" ht="15.75" customHeight="1" x14ac:dyDescent="0.3">
      <c r="A269" s="11" t="s">
        <v>289</v>
      </c>
      <c r="B269" s="11" t="s">
        <v>276</v>
      </c>
    </row>
    <row r="270" spans="1:2" ht="15.75" customHeight="1" x14ac:dyDescent="0.3">
      <c r="A270" s="11" t="s">
        <v>101</v>
      </c>
      <c r="B270" s="11" t="s">
        <v>281</v>
      </c>
    </row>
    <row r="271" spans="1:2" ht="15.75" customHeight="1" x14ac:dyDescent="0.3">
      <c r="A271" s="11" t="s">
        <v>144</v>
      </c>
      <c r="B271" s="11" t="s">
        <v>193</v>
      </c>
    </row>
    <row r="272" spans="1:2" ht="15.75" customHeight="1" x14ac:dyDescent="0.3">
      <c r="A272" s="11" t="s">
        <v>111</v>
      </c>
      <c r="B272" s="11" t="s">
        <v>237</v>
      </c>
    </row>
    <row r="273" spans="1:2" ht="15.75" customHeight="1" x14ac:dyDescent="0.3">
      <c r="A273" s="11" t="s">
        <v>110</v>
      </c>
      <c r="B273" s="11" t="s">
        <v>129</v>
      </c>
    </row>
    <row r="274" spans="1:2" ht="15.75" customHeight="1" x14ac:dyDescent="0.3">
      <c r="A274" s="11" t="s">
        <v>73</v>
      </c>
      <c r="B274" s="11" t="s">
        <v>196</v>
      </c>
    </row>
    <row r="275" spans="1:2" ht="15.75" customHeight="1" x14ac:dyDescent="0.3">
      <c r="A275" s="11" t="s">
        <v>197</v>
      </c>
      <c r="B275" s="11" t="s">
        <v>237</v>
      </c>
    </row>
    <row r="276" spans="1:2" ht="15.75" customHeight="1" x14ac:dyDescent="0.3">
      <c r="A276" s="11" t="s">
        <v>141</v>
      </c>
      <c r="B276" s="11" t="s">
        <v>175</v>
      </c>
    </row>
    <row r="277" spans="1:2" ht="15.75" customHeight="1" x14ac:dyDescent="0.3">
      <c r="A277" s="11" t="s">
        <v>66</v>
      </c>
      <c r="B277" s="11" t="s">
        <v>102</v>
      </c>
    </row>
    <row r="278" spans="1:2" ht="15.75" customHeight="1" x14ac:dyDescent="0.3">
      <c r="A278" s="11" t="s">
        <v>89</v>
      </c>
      <c r="B278" s="11" t="s">
        <v>179</v>
      </c>
    </row>
    <row r="279" spans="1:2" ht="15.75" customHeight="1" x14ac:dyDescent="0.3">
      <c r="A279" s="11" t="s">
        <v>274</v>
      </c>
      <c r="B279" s="11" t="s">
        <v>281</v>
      </c>
    </row>
    <row r="280" spans="1:2" ht="15.75" customHeight="1" x14ac:dyDescent="0.3">
      <c r="A280" s="11" t="s">
        <v>137</v>
      </c>
      <c r="B280" s="11" t="s">
        <v>99</v>
      </c>
    </row>
    <row r="281" spans="1:2" ht="15.75" customHeight="1" x14ac:dyDescent="0.3">
      <c r="A281" s="11" t="s">
        <v>107</v>
      </c>
      <c r="B281" s="11" t="s">
        <v>179</v>
      </c>
    </row>
    <row r="282" spans="1:2" ht="15.75" customHeight="1" x14ac:dyDescent="0.3">
      <c r="A282" s="11" t="s">
        <v>123</v>
      </c>
      <c r="B282" s="11" t="s">
        <v>142</v>
      </c>
    </row>
    <row r="283" spans="1:2" ht="15.75" customHeight="1" x14ac:dyDescent="0.3">
      <c r="A283" s="11" t="s">
        <v>121</v>
      </c>
      <c r="B283" s="11" t="s">
        <v>102</v>
      </c>
    </row>
    <row r="284" spans="1:2" ht="15.75" customHeight="1" x14ac:dyDescent="0.3">
      <c r="A284" s="11" t="s">
        <v>246</v>
      </c>
      <c r="B284" s="11" t="s">
        <v>175</v>
      </c>
    </row>
    <row r="285" spans="1:2" ht="15.75" customHeight="1" x14ac:dyDescent="0.3">
      <c r="A285" s="11" t="s">
        <v>242</v>
      </c>
      <c r="B285" s="11" t="s">
        <v>61</v>
      </c>
    </row>
    <row r="286" spans="1:2" ht="15.75" customHeight="1" x14ac:dyDescent="0.3">
      <c r="A286" s="11" t="s">
        <v>263</v>
      </c>
      <c r="B286" s="11" t="s">
        <v>61</v>
      </c>
    </row>
    <row r="287" spans="1:2" ht="15.75" customHeight="1" x14ac:dyDescent="0.3">
      <c r="A287" s="11" t="s">
        <v>160</v>
      </c>
      <c r="B287" s="11" t="s">
        <v>105</v>
      </c>
    </row>
    <row r="288" spans="1:2" ht="15.75" customHeight="1" x14ac:dyDescent="0.3">
      <c r="A288" s="11" t="s">
        <v>84</v>
      </c>
      <c r="B288" s="11" t="s">
        <v>102</v>
      </c>
    </row>
    <row r="289" spans="1:2" ht="15.75" customHeight="1" x14ac:dyDescent="0.3">
      <c r="A289" s="11" t="s">
        <v>63</v>
      </c>
      <c r="B289" s="11" t="s">
        <v>99</v>
      </c>
    </row>
    <row r="290" spans="1:2" ht="15.75" customHeight="1" x14ac:dyDescent="0.3">
      <c r="A290" s="11" t="s">
        <v>235</v>
      </c>
      <c r="B290" s="11" t="s">
        <v>179</v>
      </c>
    </row>
    <row r="291" spans="1:2" ht="15.75" customHeight="1" x14ac:dyDescent="0.3">
      <c r="A291" s="11" t="s">
        <v>62</v>
      </c>
      <c r="B291" s="11" t="s">
        <v>202</v>
      </c>
    </row>
    <row r="292" spans="1:2" ht="15.75" customHeight="1" x14ac:dyDescent="0.3">
      <c r="A292" s="11" t="s">
        <v>285</v>
      </c>
      <c r="B292" s="11" t="s">
        <v>61</v>
      </c>
    </row>
    <row r="293" spans="1:2" ht="15.75" customHeight="1" x14ac:dyDescent="0.3">
      <c r="A293" s="11" t="s">
        <v>198</v>
      </c>
      <c r="B293" s="11" t="s">
        <v>276</v>
      </c>
    </row>
    <row r="294" spans="1:2" ht="15.75" customHeight="1" x14ac:dyDescent="0.3">
      <c r="A294" s="11" t="s">
        <v>254</v>
      </c>
      <c r="B294" s="11" t="s">
        <v>202</v>
      </c>
    </row>
    <row r="295" spans="1:2" ht="15.75" customHeight="1" x14ac:dyDescent="0.3">
      <c r="A295" s="11" t="s">
        <v>223</v>
      </c>
      <c r="B295" s="11" t="s">
        <v>195</v>
      </c>
    </row>
    <row r="296" spans="1:2" ht="15.75" customHeight="1" x14ac:dyDescent="0.3">
      <c r="A296" s="11" t="s">
        <v>209</v>
      </c>
      <c r="B296" s="11" t="s">
        <v>195</v>
      </c>
    </row>
    <row r="297" spans="1:2" ht="15.75" customHeight="1" x14ac:dyDescent="0.3">
      <c r="A297" s="11" t="s">
        <v>146</v>
      </c>
      <c r="B297" s="11" t="s">
        <v>195</v>
      </c>
    </row>
    <row r="298" spans="1:2" ht="15.75" customHeight="1" x14ac:dyDescent="0.3">
      <c r="A298" s="11" t="s">
        <v>88</v>
      </c>
      <c r="B298" s="11" t="s">
        <v>193</v>
      </c>
    </row>
    <row r="299" spans="1:2" ht="15.75" customHeight="1" x14ac:dyDescent="0.3">
      <c r="A299" s="11" t="s">
        <v>67</v>
      </c>
      <c r="B299" s="11" t="s">
        <v>175</v>
      </c>
    </row>
    <row r="300" spans="1:2" ht="15.75" customHeight="1" x14ac:dyDescent="0.3">
      <c r="A300" s="11" t="s">
        <v>161</v>
      </c>
      <c r="B300" s="11" t="s">
        <v>193</v>
      </c>
    </row>
    <row r="301" spans="1:2" ht="15.75" customHeight="1" x14ac:dyDescent="0.3">
      <c r="A301" s="11" t="s">
        <v>234</v>
      </c>
      <c r="B301" s="11" t="s">
        <v>175</v>
      </c>
    </row>
    <row r="302" spans="1:2" ht="15.75" customHeight="1" x14ac:dyDescent="0.3">
      <c r="A302" s="11" t="s">
        <v>286</v>
      </c>
      <c r="B302" s="11" t="s">
        <v>202</v>
      </c>
    </row>
    <row r="303" spans="1:2" ht="15.75" customHeight="1" x14ac:dyDescent="0.3"/>
    <row r="304" spans="1:2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30</vt:i4>
      </vt:variant>
    </vt:vector>
  </HeadingPairs>
  <TitlesOfParts>
    <vt:vector size="39" baseType="lpstr">
      <vt:lpstr>Drop Down Lists</vt:lpstr>
      <vt:lpstr>Cost Calculator</vt:lpstr>
      <vt:lpstr>Assumption_Salary</vt:lpstr>
      <vt:lpstr>Vehicle_Maintenance</vt:lpstr>
      <vt:lpstr>Vehicle EMI Sheet</vt:lpstr>
      <vt:lpstr>Assumption_Distance</vt:lpstr>
      <vt:lpstr>Assumption_Mileage</vt:lpstr>
      <vt:lpstr>(Inc) OU Profitability</vt:lpstr>
      <vt:lpstr>Cluster Mapping</vt:lpstr>
      <vt:lpstr>Additional_charges</vt:lpstr>
      <vt:lpstr>Ahmedabad</vt:lpstr>
      <vt:lpstr>Ambala</vt:lpstr>
      <vt:lpstr>Bangalore</vt:lpstr>
      <vt:lpstr>Chennai</vt:lpstr>
      <vt:lpstr>Cluster</vt:lpstr>
      <vt:lpstr>Coimbatore</vt:lpstr>
      <vt:lpstr>Delhi</vt:lpstr>
      <vt:lpstr>Delivery_Capability</vt:lpstr>
      <vt:lpstr>Distance</vt:lpstr>
      <vt:lpstr>Guwahati</vt:lpstr>
      <vt:lpstr>Hyderabad</vt:lpstr>
      <vt:lpstr>Indore</vt:lpstr>
      <vt:lpstr>Jaipur</vt:lpstr>
      <vt:lpstr>Jamshedpur</vt:lpstr>
      <vt:lpstr>Kolkata</vt:lpstr>
      <vt:lpstr>Lucknow</vt:lpstr>
      <vt:lpstr>Maintenance_cap___per_km</vt:lpstr>
      <vt:lpstr>Market_types</vt:lpstr>
      <vt:lpstr>Mumbai</vt:lpstr>
      <vt:lpstr>Nagpur</vt:lpstr>
      <vt:lpstr>Noida</vt:lpstr>
      <vt:lpstr>Profit_margin</vt:lpstr>
      <vt:lpstr>Pune</vt:lpstr>
      <vt:lpstr>Tyre_cap___per_km</vt:lpstr>
      <vt:lpstr>Veh_Cat</vt:lpstr>
      <vt:lpstr>Veh_Category</vt:lpstr>
      <vt:lpstr>Vehicle</vt:lpstr>
      <vt:lpstr>Year</vt:lpstr>
      <vt:lpstr>Year_of_Make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Mohit Jhurani</dc:creator>
  <cp:lastModifiedBy>DELL</cp:lastModifiedBy>
  <dcterms:created xsi:type="dcterms:W3CDTF">2021-09-26T05:08:58Z</dcterms:created>
  <dcterms:modified xsi:type="dcterms:W3CDTF">2023-07-24T11:36:13Z</dcterms:modified>
</cp:coreProperties>
</file>