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011"/>
  <workbookPr filterPrivacy="1"/>
  <mc:AlternateContent xmlns:mc="http://schemas.openxmlformats.org/markup-compatibility/2006">
    <mc:Choice Requires="x15">
      <x15ac:absPath xmlns:x15ac="http://schemas.microsoft.com/office/spreadsheetml/2010/11/ac" url="/Users/Shane/GoogleDrive/Consulting/Tools/"/>
    </mc:Choice>
  </mc:AlternateContent>
  <bookViews>
    <workbookView xWindow="80" yWindow="460" windowWidth="38320" windowHeight="21140" tabRatio="805" activeTab="1"/>
  </bookViews>
  <sheets>
    <sheet name="Disclaimer" sheetId="1" r:id="rId1"/>
    <sheet name="Detailed Summary" sheetId="2" r:id="rId2"/>
    <sheet name="Valuation" sheetId="3" r:id="rId3"/>
    <sheet name="Charts" sheetId="9" r:id="rId4"/>
    <sheet name="Pre-Release" sheetId="10" r:id="rId5"/>
    <sheet name="Market Assumptions" sheetId="4" r:id="rId6"/>
    <sheet name="Assumptions" sheetId="11" r:id="rId7"/>
    <sheet name="DetailedForecast" sheetId="5" r:id="rId8"/>
    <sheet name="Gaussian" sheetId="6" r:id="rId9"/>
    <sheet name="Lists" sheetId="7" r:id="rId10"/>
    <sheet name="RepeatMatrix" sheetId="8" r:id="rId11"/>
  </sheets>
  <externalReferences>
    <externalReference r:id="rId12"/>
  </externalReferences>
  <definedNames>
    <definedName name="CashInflux">DetailedForecast!$2:$2</definedName>
    <definedName name="CashOnHandAtYear5">'Detailed Summary'!$O$24</definedName>
    <definedName name="CategoryList">Lists!$A$8:$A$21</definedName>
    <definedName name="Certain">Lists!$A$39</definedName>
    <definedName name="ComparisonList">Lists!$A$42:$A$46</definedName>
    <definedName name="ComparisonTable">Lists!$A$42:$B$46</definedName>
    <definedName name="CompetitionYear31">'Market Assumptions'!$G$15</definedName>
    <definedName name="CompetitionYear32">'Market Assumptions'!$H$15</definedName>
    <definedName name="ConfidenceInterval">'Detailed Summary'!$B$41</definedName>
    <definedName name="Costrow1">DetailedForecast!$57:$57</definedName>
    <definedName name="Costrow10">DetailedForecast!$102:$102</definedName>
    <definedName name="Costrow11">DetailedForecast!$107:$107</definedName>
    <definedName name="Costrow12">DetailedForecast!$112:$112</definedName>
    <definedName name="Costrow13">DetailedForecast!$117:$117</definedName>
    <definedName name="Costrow14">DetailedForecast!$122:$122</definedName>
    <definedName name="Costrow2">DetailedForecast!$62:$62</definedName>
    <definedName name="Costrow3">DetailedForecast!$67:$67</definedName>
    <definedName name="Costrow4">DetailedForecast!$72:$72</definedName>
    <definedName name="Costrow5">DetailedForecast!$77:$77</definedName>
    <definedName name="Costrow6">DetailedForecast!$82:$82</definedName>
    <definedName name="Costrow7">DetailedForecast!$87:$87</definedName>
    <definedName name="Costrow8">DetailedForecast!$92:$92</definedName>
    <definedName name="Costrow9">DetailedForecast!$97:$97</definedName>
    <definedName name="Costs10Q1">DetailedForecast!$D$102:$F$102</definedName>
    <definedName name="Costs10Q2">DetailedForecast!$G$102:$I$102</definedName>
    <definedName name="Costs10Q3">DetailedForecast!$J$102:$L$102</definedName>
    <definedName name="Costs10Q4">DetailedForecast!$M$102:$O$102</definedName>
    <definedName name="Costs10Q5">DetailedForecast!$P$102:$R$102</definedName>
    <definedName name="Costs10Q6">DetailedForecast!$S$102:$U$102</definedName>
    <definedName name="Costs10Q7">DetailedForecast!$V$102:$X$102</definedName>
    <definedName name="Costs10Q8">DetailedForecast!$Y$102:$AA$102</definedName>
    <definedName name="Costs11Q1">DetailedForecast!$D$107:$F$107</definedName>
    <definedName name="Costs11Q2">DetailedForecast!$G$107:$I$107</definedName>
    <definedName name="Costs11Q3">DetailedForecast!$J$107:$L$107</definedName>
    <definedName name="Costs11Q4">DetailedForecast!$M$107:$O$107</definedName>
    <definedName name="Costs11Q5">DetailedForecast!$P$107:$R$107</definedName>
    <definedName name="Costs11Q6">DetailedForecast!$S$107:$U$107</definedName>
    <definedName name="Costs11Q7">DetailedForecast!$V$107:$X$107</definedName>
    <definedName name="Costs11Q8">DetailedForecast!$Y$107:$AA$107</definedName>
    <definedName name="Costs12Q1">DetailedForecast!$D$112:$F$112</definedName>
    <definedName name="Costs12Q2">DetailedForecast!$G$112:$I$112</definedName>
    <definedName name="Costs12Q3">DetailedForecast!$J$112:$L$112</definedName>
    <definedName name="Costs12Q4">DetailedForecast!$M$112:$O$112</definedName>
    <definedName name="Costs12Q5">DetailedForecast!$P$112:$R$112</definedName>
    <definedName name="Costs12Q6">DetailedForecast!$S$112:$U$112</definedName>
    <definedName name="Costs12Q7">DetailedForecast!$V$112:$X$112</definedName>
    <definedName name="Costs12Q8">DetailedForecast!$Y$112:$AA$112</definedName>
    <definedName name="Costs13Q1">DetailedForecast!$D$117:$F$117</definedName>
    <definedName name="Costs13Q2">DetailedForecast!$G$117:$I$117</definedName>
    <definedName name="Costs13Q3">DetailedForecast!$J$117:$L$117</definedName>
    <definedName name="Costs13Q4">DetailedForecast!$M$117:$O$117</definedName>
    <definedName name="Costs13Q5">DetailedForecast!$P$117:$R$117</definedName>
    <definedName name="Costs13Q6">DetailedForecast!$S$117:$U$117</definedName>
    <definedName name="Costs13Q7">DetailedForecast!$V$117:$X$117</definedName>
    <definedName name="Costs13Q8">DetailedForecast!$Y$117:$AA$117</definedName>
    <definedName name="Costs14Q1">DetailedForecast!$D$122:$F$122</definedName>
    <definedName name="Costs14Q2">DetailedForecast!$G$122:$I$122</definedName>
    <definedName name="Costs14Q3">DetailedForecast!$J$122:$L$122</definedName>
    <definedName name="Costs14Q4">DetailedForecast!$M$122:$O$122</definedName>
    <definedName name="Costs14Q5">DetailedForecast!$P$122:$R$122</definedName>
    <definedName name="Costs14Q6">DetailedForecast!$S$122:$U$122</definedName>
    <definedName name="Costs14Q7">DetailedForecast!$V$122:$X$122</definedName>
    <definedName name="Costs14Q8">DetailedForecast!$Y$122:$AA$122</definedName>
    <definedName name="Costs1Q1">DetailedForecast!$D$57:$F$57</definedName>
    <definedName name="Costs1Q2">DetailedForecast!$G$57:$I$57</definedName>
    <definedName name="Costs1Q3">DetailedForecast!$J$57:$L$57</definedName>
    <definedName name="Costs1Q4">DetailedForecast!$M$57:$O$57</definedName>
    <definedName name="Costs1Q5">DetailedForecast!$P$57:$R$57</definedName>
    <definedName name="Costs1Q6">DetailedForecast!$S$57:$U$57</definedName>
    <definedName name="Costs1Q7">DetailedForecast!$V$57:$X$57</definedName>
    <definedName name="Costs1Q8">DetailedForecast!$Y$57:$AA$57</definedName>
    <definedName name="Costs2Q1">DetailedForecast!$D$62:$F$62</definedName>
    <definedName name="Costs2Q2">DetailedForecast!$G$62:$I$62</definedName>
    <definedName name="Costs2Q3">DetailedForecast!$J$62:$L$62</definedName>
    <definedName name="Costs2Q4">DetailedForecast!$M$62:$O$62</definedName>
    <definedName name="Costs2Q5">DetailedForecast!$P$62:$R$62</definedName>
    <definedName name="Costs2Q6">DetailedForecast!$S$62:$U$62</definedName>
    <definedName name="Costs2Q7">DetailedForecast!$V$62:$X$62</definedName>
    <definedName name="Costs2Q8">DetailedForecast!$Y$62:$AA$62</definedName>
    <definedName name="Costs3Q1">DetailedForecast!$D$67:$F$67</definedName>
    <definedName name="Costs3Q2">DetailedForecast!$G$67:$I$67</definedName>
    <definedName name="Costs3Q3">DetailedForecast!$J$67:$L$67</definedName>
    <definedName name="Costs3Q4">DetailedForecast!$M$67:$O$67</definedName>
    <definedName name="Costs3Q5">DetailedForecast!$P$67:$R$67</definedName>
    <definedName name="Costs3Q6">DetailedForecast!$S$67:$U$67</definedName>
    <definedName name="Costs3Q7">DetailedForecast!$V$67:$X$67</definedName>
    <definedName name="Costs3Q8">DetailedForecast!$Y$67:$AA$67</definedName>
    <definedName name="Costs4Q1">DetailedForecast!$D$72:$F$72</definedName>
    <definedName name="Costs4Q2">DetailedForecast!$G$72:$I$72</definedName>
    <definedName name="Costs4Q3">DetailedForecast!$J$72:$L$72</definedName>
    <definedName name="Costs4Q4">DetailedForecast!$M$72:$O$72</definedName>
    <definedName name="Costs4Q5">DetailedForecast!$P$72:$R$72</definedName>
    <definedName name="Costs4Q6">DetailedForecast!$S$72:$U$72</definedName>
    <definedName name="Costs4Q7">DetailedForecast!$V$72:$X$72</definedName>
    <definedName name="Costs4Q8">DetailedForecast!$Y$72:$AA$72</definedName>
    <definedName name="Costs5Q1">DetailedForecast!$D$77:$F$77</definedName>
    <definedName name="Costs5Q2">DetailedForecast!$G$77:$I$77</definedName>
    <definedName name="Costs5Q3">DetailedForecast!$J$77:$L$77</definedName>
    <definedName name="Costs5Q4">DetailedForecast!$M$77:$O$77</definedName>
    <definedName name="Costs5Q5">DetailedForecast!$P$77:$R$77</definedName>
    <definedName name="Costs5Q6">DetailedForecast!$S$77:$U$77</definedName>
    <definedName name="Costs5Q7">DetailedForecast!$V$77:$X$77</definedName>
    <definedName name="Costs5Q8">DetailedForecast!$Y$77:$AA$77</definedName>
    <definedName name="Costs6Q1">DetailedForecast!$D$82:$F$82</definedName>
    <definedName name="Costs6Q2">DetailedForecast!$G$82:$I$82</definedName>
    <definedName name="Costs6Q3">DetailedForecast!$J$82:$L$82</definedName>
    <definedName name="Costs6Q4">DetailedForecast!$M$82:$O$82</definedName>
    <definedName name="Costs6Q5">DetailedForecast!$P$82:$R$82</definedName>
    <definedName name="Costs6Q6">DetailedForecast!$S$82:$U$82</definedName>
    <definedName name="Costs6Q7">DetailedForecast!$V$82:$X$82</definedName>
    <definedName name="Costs6Q8">DetailedForecast!$Y$82:$AA$82</definedName>
    <definedName name="Costs7Q1">DetailedForecast!$D$87:$F$87</definedName>
    <definedName name="Costs7Q2">DetailedForecast!$G$87:$I$87</definedName>
    <definedName name="Costs7Q3">DetailedForecast!$J$87:$L$87</definedName>
    <definedName name="Costs7Q4">DetailedForecast!$M$87:$O$87</definedName>
    <definedName name="Costs7Q5">DetailedForecast!$P$87:$R$87</definedName>
    <definedName name="Costs7Q6">DetailedForecast!$S$87:$U$87</definedName>
    <definedName name="Costs7Q7">DetailedForecast!$V$87:$X$87</definedName>
    <definedName name="Costs7Q8">DetailedForecast!$Y$87:$AA$87</definedName>
    <definedName name="Costs8Q1">DetailedForecast!$D$92:$F$92</definedName>
    <definedName name="Costs8Q2">DetailedForecast!$G$92:$I$92</definedName>
    <definedName name="Costs8Q3">DetailedForecast!$J$92:$L$92</definedName>
    <definedName name="Costs8Q4">DetailedForecast!$M$92:$O$92</definedName>
    <definedName name="Costs8Q5">DetailedForecast!$P$92:$R$92</definedName>
    <definedName name="Costs8Q6">DetailedForecast!$S$92:$U$92</definedName>
    <definedName name="Costs8Q7">DetailedForecast!$V$92:$X$92</definedName>
    <definedName name="Costs8Q8">DetailedForecast!$Y$92:$AA$92</definedName>
    <definedName name="Costs9Q1">DetailedForecast!$D$97:$F$97</definedName>
    <definedName name="Costs9Q2">DetailedForecast!$G$97:$I$97</definedName>
    <definedName name="Costs9Q3">DetailedForecast!$J$97:$L$97</definedName>
    <definedName name="Costs9Q4">DetailedForecast!$M$97:$O$97</definedName>
    <definedName name="Costs9Q5">DetailedForecast!$P$97:$R$97</definedName>
    <definedName name="Costs9Q6">DetailedForecast!$S$97:$U$97</definedName>
    <definedName name="Costs9Q7">DetailedForecast!$V$97:$X$97</definedName>
    <definedName name="Costs9Q8">DetailedForecast!$Y$97:$AA$97</definedName>
    <definedName name="CostType">Lists!$A$28:$A$31</definedName>
    <definedName name="EducatedGuess">Lists!$A$37</definedName>
    <definedName name="Estimate">Lists!$A$38</definedName>
    <definedName name="ExpectedSoldCompetition">DetailedForecast!$13:$13</definedName>
    <definedName name="FirstMonthsUnitsSold">DetailedForecast!$D$32</definedName>
    <definedName name="FirstTimeUnitsSold">DetailedForecast!$22:$22</definedName>
    <definedName name="GaussianSold">DetailedForecast!$3:$3</definedName>
    <definedName name="GEnd">Gaussian!$B$9</definedName>
    <definedName name="GInterval">Gaussian!$B$11</definedName>
    <definedName name="GStart">Gaussian!$B$8</definedName>
    <definedName name="Guess">Lists!$A$36</definedName>
    <definedName name="HighlyUncertain">Lists!$A$35</definedName>
    <definedName name="Index" localSheetId="8">Gaussian!$1:$1</definedName>
    <definedName name="IndustrySpecificPERatio">Valuation!$B$2</definedName>
    <definedName name="InvestmentRequired">Valuation!$B$6</definedName>
    <definedName name="LikertNegative">Lists!$A$52</definedName>
    <definedName name="LikertNeutral">Lists!$A$51</definedName>
    <definedName name="LikertPositive">Lists!$A$50</definedName>
    <definedName name="LikertVeryNegative">Lists!$A$53</definedName>
    <definedName name="LikertVeryPositive">Lists!$A$49</definedName>
    <definedName name="MinimumUncertainty">Lists!$B$39</definedName>
    <definedName name="Month">DetailedForecast!$1:$1</definedName>
    <definedName name="MonthlyCosts">DetailedForecast!$127:$127</definedName>
    <definedName name="MonthlyRepeatUnits">DetailedForecast!$26:$26</definedName>
    <definedName name="MonthlySold">Gaussian!$C$5:$DS$5</definedName>
    <definedName name="NoIdea">Lists!$A$34</definedName>
    <definedName name="NumberOfMonths">Gaussian!$B$10</definedName>
    <definedName name="PositiveLikertList">Lists!$A$49:$A$53</definedName>
    <definedName name="PositiveLikertTable">Lists!$A$49:$B$53</definedName>
    <definedName name="PostMoneyValuation">Valuation!$5:$5</definedName>
    <definedName name="PostRelease">Lists!$A$25</definedName>
    <definedName name="Prerelease">Lists!$A$24</definedName>
    <definedName name="PreReleaseTotal">DetailedForecast!$C$129</definedName>
    <definedName name="PriceTrend1">'Market Assumptions'!$G$3</definedName>
    <definedName name="PriceTrend2">'Market Assumptions'!$G$4</definedName>
    <definedName name="PriceTrend3">'Market Assumptions'!$G$5</definedName>
    <definedName name="PriceTrend4">'Market Assumptions'!$G$6</definedName>
    <definedName name="PriceTrend5">'Market Assumptions'!$G$7</definedName>
    <definedName name="PriceTrend6">'Market Assumptions'!$G$8</definedName>
    <definedName name="PriceTrend7">'Market Assumptions'!$G$9</definedName>
    <definedName name="PriceTrend8">'Market Assumptions'!$G$10</definedName>
    <definedName name="ReleaseCategory">[1]PreReleaseCost!$A$14:$A$15</definedName>
    <definedName name="RepeatMonthly">Lists!$A$3</definedName>
    <definedName name="RepeatMonthly1" localSheetId="7">DetailedForecast!$24:$24</definedName>
    <definedName name="RepeatMonthly2" localSheetId="7">DetailedForecast!$25:$25</definedName>
    <definedName name="RepeatPurchase1">'Market Assumptions'!$H$3</definedName>
    <definedName name="RepeatPurchase2">'Market Assumptions'!$H$4</definedName>
    <definedName name="RepeatPurchase3">'Market Assumptions'!$H$5</definedName>
    <definedName name="RepeatPurchase4">'Market Assumptions'!$H$6</definedName>
    <definedName name="RepeatPurchase5">'Market Assumptions'!$H$7</definedName>
    <definedName name="RepeatPurchase6">'Market Assumptions'!$H$8</definedName>
    <definedName name="RepeatPurchase7">'Market Assumptions'!$H$9</definedName>
    <definedName name="RepeatPurchase8">'Market Assumptions'!$H$10</definedName>
    <definedName name="RepeatPurchasesList">Lists!$A$2:$A$5</definedName>
    <definedName name="RepeatYearly">Lists!$A$5</definedName>
    <definedName name="RepeatYearly1" localSheetId="7">DetailedForecast!$28:$28</definedName>
    <definedName name="RepeatYearly2" localSheetId="7">DetailedForecast!$29:$29</definedName>
    <definedName name="Retention1">'Market Assumptions'!$I$3</definedName>
    <definedName name="Retention2">'Market Assumptions'!$I$4</definedName>
    <definedName name="Retention3">'Market Assumptions'!$I$5</definedName>
    <definedName name="Retention4">'Market Assumptions'!$I$6</definedName>
    <definedName name="Retention5">'Market Assumptions'!$I$7</definedName>
    <definedName name="Retention6">'Market Assumptions'!$I$8</definedName>
    <definedName name="Retention7">'Market Assumptions'!$I$9</definedName>
    <definedName name="Retention8">'Market Assumptions'!$I$10</definedName>
    <definedName name="RevenueQ1">DetailedForecast!$D$42:$F$42</definedName>
    <definedName name="RevenueQ2">DetailedForecast!$G$42:$I$42</definedName>
    <definedName name="RevenueQ3">DetailedForecast!$J$42:$L$42</definedName>
    <definedName name="RevenueQ4">DetailedForecast!$M$42:$O$42</definedName>
    <definedName name="RevenueQ5">DetailedForecast!$P$42:$R$42</definedName>
    <definedName name="RevenueQ6">DetailedForecast!$S$42:$U$42</definedName>
    <definedName name="RevenueQ7">DetailedForecast!$V$42:$X$42</definedName>
    <definedName name="RevenueQ8">DetailedForecast!$Y$42:$AA$42</definedName>
    <definedName name="StageList">Lists!$A$24:$A$25</definedName>
    <definedName name="TaxRate">'Detailed Summary'!$R$1</definedName>
    <definedName name="TerminalValue">Valuation!$B$4</definedName>
    <definedName name="TotalRevenue">DetailedForecast!$42:$42</definedName>
    <definedName name="TotalTargetUnitsSold">'Market Assumptions'!$E$11</definedName>
    <definedName name="TotalUnitsSold">DetailedForecast!$32:$32</definedName>
    <definedName name="TotalUnitsSold1">'Market Assumptions'!$E$3</definedName>
    <definedName name="TotalUnitsSold2">'Market Assumptions'!$E$4</definedName>
    <definedName name="TotalUnitsSold3">'Market Assumptions'!$E$5</definedName>
    <definedName name="TotalUnitsSold4">'Market Assumptions'!$E$6</definedName>
    <definedName name="TotalUnitsSold5">'Market Assumptions'!$E$7</definedName>
    <definedName name="TotalUnitsSold6">'Market Assumptions'!$E$8</definedName>
    <definedName name="TotalUnitsSold7">'Market Assumptions'!$E$9</definedName>
    <definedName name="TotalUnitsSold8">'Market Assumptions'!$E$10</definedName>
    <definedName name="UncertaintyInterval">Lists!$D$34</definedName>
    <definedName name="UncertaintyLevel">Lists!$A$34:$A$39</definedName>
    <definedName name="UncertaintyLookupTable">Lists!$A$34:$B$39</definedName>
    <definedName name="UnitCost">#REF!</definedName>
    <definedName name="UnitPrice1">'Market Assumptions'!$F$3</definedName>
    <definedName name="UnitPrice2">'Market Assumptions'!$F$4</definedName>
    <definedName name="UnitPrice3">'Market Assumptions'!$F$5</definedName>
    <definedName name="UnitPrice4">'Market Assumptions'!$F$6</definedName>
    <definedName name="UnitPrice5">'Market Assumptions'!$F$7</definedName>
    <definedName name="UnitPrice6">'Market Assumptions'!$F$8</definedName>
    <definedName name="UnitPrice7">'Market Assumptions'!$F$9</definedName>
    <definedName name="UnitPrice8">'Market Assumptions'!$F$10</definedName>
    <definedName name="Units1">DetailedForecast!$14:$14</definedName>
    <definedName name="Units1ThreeYears">DetailedForecast!$D$14:$AM$14</definedName>
    <definedName name="Units2">DetailedForecast!$15:$15</definedName>
    <definedName name="Units2ThreeYears">DetailedForecast!$D$15:$AM$15</definedName>
    <definedName name="Units3">DetailedForecast!$16:$16</definedName>
    <definedName name="Units4">DetailedForecast!$17:$17</definedName>
    <definedName name="Units5">DetailedForecast!$18:$18</definedName>
    <definedName name="Units6">DetailedForecast!$19:$19</definedName>
    <definedName name="Units7">DetailedForecast!$20:$20</definedName>
    <definedName name="Units8">DetailedForecast!$21:$21</definedName>
    <definedName name="WeightedPostReleaseUncertainty">Assumptions!$I$9</definedName>
    <definedName name="WeightedPreReleaseUncertainty">Assumptions!$I$8</definedName>
    <definedName name="WYSIATI">Assumptions!$E$7</definedName>
    <definedName name="Year3CapturePercent">Gaussian!$C$28</definedName>
    <definedName name="Year4CapturePercent">Gaussian!$C$29</definedName>
    <definedName name="Year5AfterTaxEarnings">'Detailed Summary'!$O$23</definedName>
    <definedName name="Year5CapturePercent">Gaussian!$C$30</definedName>
    <definedName name="YearlyRepeatUnits">DetailedForecast!$30:$30</definedName>
    <definedName name="ZScore" localSheetId="8">Gaussian!$2:$2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3" i="11" l="1"/>
  <c r="I3" i="11"/>
  <c r="H4" i="11"/>
  <c r="I4" i="11"/>
  <c r="H5" i="11"/>
  <c r="I5" i="11"/>
  <c r="H6" i="11"/>
  <c r="I6" i="11"/>
  <c r="H2" i="11"/>
  <c r="I2" i="11"/>
  <c r="E3" i="4"/>
  <c r="E4" i="4"/>
  <c r="E5" i="4"/>
  <c r="E11" i="4"/>
  <c r="C23" i="6"/>
  <c r="C22" i="6"/>
  <c r="C21" i="6"/>
  <c r="D22" i="6"/>
  <c r="D23" i="6"/>
  <c r="C20" i="6"/>
  <c r="D20" i="6"/>
  <c r="D21" i="6"/>
  <c r="B2" i="2"/>
  <c r="B2" i="10"/>
  <c r="C43" i="5"/>
  <c r="B6" i="2"/>
  <c r="B3" i="10"/>
  <c r="C44" i="5"/>
  <c r="B7" i="2"/>
  <c r="B4" i="10"/>
  <c r="C45" i="5"/>
  <c r="B8" i="2"/>
  <c r="B5" i="10"/>
  <c r="C46" i="5"/>
  <c r="B9" i="2"/>
  <c r="B6" i="10"/>
  <c r="C47" i="5"/>
  <c r="B10" i="2"/>
  <c r="B7" i="10"/>
  <c r="C48" i="5"/>
  <c r="B11" i="2"/>
  <c r="B8" i="10"/>
  <c r="C49" i="5"/>
  <c r="B12" i="2"/>
  <c r="B9" i="10"/>
  <c r="C50" i="5"/>
  <c r="B13" i="2"/>
  <c r="B10" i="10"/>
  <c r="C51" i="5"/>
  <c r="B14" i="2"/>
  <c r="B11" i="10"/>
  <c r="C52" i="5"/>
  <c r="B15" i="2"/>
  <c r="B12" i="10"/>
  <c r="C53" i="5"/>
  <c r="B16" i="2"/>
  <c r="B13" i="10"/>
  <c r="C54" i="5"/>
  <c r="B17" i="2"/>
  <c r="B14" i="10"/>
  <c r="C55" i="5"/>
  <c r="B18" i="2"/>
  <c r="B15" i="10"/>
  <c r="C56" i="5"/>
  <c r="B19" i="2"/>
  <c r="B20" i="2"/>
  <c r="B5" i="2"/>
  <c r="B21" i="2"/>
  <c r="B24" i="2"/>
  <c r="G2" i="2"/>
  <c r="L2" i="2"/>
  <c r="M2" i="2"/>
  <c r="N2" i="2"/>
  <c r="O2" i="2"/>
  <c r="C127" i="5"/>
  <c r="C128" i="5"/>
  <c r="C129" i="5"/>
  <c r="C130" i="5"/>
  <c r="B45" i="3"/>
  <c r="B25" i="3"/>
  <c r="D29" i="3"/>
  <c r="E29" i="3"/>
  <c r="D30" i="3"/>
  <c r="E30" i="3"/>
  <c r="D31" i="3"/>
  <c r="E31" i="3"/>
  <c r="D32" i="3"/>
  <c r="E32" i="3"/>
  <c r="D33" i="3"/>
  <c r="E33" i="3"/>
  <c r="D34" i="3"/>
  <c r="E34" i="3"/>
  <c r="D35" i="3"/>
  <c r="E35" i="3"/>
  <c r="E36" i="3"/>
  <c r="E37" i="3"/>
  <c r="K30" i="2"/>
  <c r="J30" i="2"/>
  <c r="I30" i="2"/>
  <c r="H30" i="2"/>
  <c r="G30" i="2"/>
  <c r="A32" i="2"/>
  <c r="A33" i="2"/>
  <c r="A34" i="2"/>
  <c r="A35" i="2"/>
  <c r="A36" i="2"/>
  <c r="A37" i="2"/>
  <c r="A38" i="2"/>
  <c r="A39" i="2"/>
  <c r="A31" i="2"/>
  <c r="AN24" i="5"/>
  <c r="AO24" i="5"/>
  <c r="AP24" i="5"/>
  <c r="AQ24" i="5"/>
  <c r="AR24" i="5"/>
  <c r="AS24" i="5"/>
  <c r="AT24" i="5"/>
  <c r="AU24" i="5"/>
  <c r="AV24" i="5"/>
  <c r="AW24" i="5"/>
  <c r="AX24" i="5"/>
  <c r="AY24" i="5"/>
  <c r="AZ24" i="5"/>
  <c r="BA24" i="5"/>
  <c r="BB24" i="5"/>
  <c r="BC24" i="5"/>
  <c r="BD24" i="5"/>
  <c r="BE24" i="5"/>
  <c r="BF24" i="5"/>
  <c r="BG24" i="5"/>
  <c r="BH24" i="5"/>
  <c r="BI24" i="5"/>
  <c r="BJ24" i="5"/>
  <c r="BK24" i="5"/>
  <c r="AN38" i="8"/>
  <c r="AO38" i="8"/>
  <c r="AP38" i="8"/>
  <c r="AQ38" i="8"/>
  <c r="AR38" i="8"/>
  <c r="AS38" i="8"/>
  <c r="AT38" i="8"/>
  <c r="AU38" i="8"/>
  <c r="AV38" i="8"/>
  <c r="AW38" i="8"/>
  <c r="AX38" i="8"/>
  <c r="AY38" i="8"/>
  <c r="AZ38" i="8"/>
  <c r="BA38" i="8"/>
  <c r="BB38" i="8"/>
  <c r="BC38" i="8"/>
  <c r="BD38" i="8"/>
  <c r="BE38" i="8"/>
  <c r="BF38" i="8"/>
  <c r="BG38" i="8"/>
  <c r="BH38" i="8"/>
  <c r="BI38" i="8"/>
  <c r="BJ38" i="8"/>
  <c r="BK38" i="8"/>
  <c r="BL38" i="8"/>
  <c r="BM38" i="8"/>
  <c r="BN38" i="8"/>
  <c r="BO38" i="8"/>
  <c r="BP38" i="8"/>
  <c r="BQ38" i="8"/>
  <c r="BR38" i="8"/>
  <c r="BS38" i="8"/>
  <c r="BT38" i="8"/>
  <c r="BU38" i="8"/>
  <c r="BV38" i="8"/>
  <c r="AN25" i="5"/>
  <c r="AO25" i="5"/>
  <c r="AP25" i="5"/>
  <c r="AQ25" i="5"/>
  <c r="AR25" i="5"/>
  <c r="AS25" i="5"/>
  <c r="AT25" i="5"/>
  <c r="AU25" i="5"/>
  <c r="AV25" i="5"/>
  <c r="AW25" i="5"/>
  <c r="AX25" i="5"/>
  <c r="AY25" i="5"/>
  <c r="AZ25" i="5"/>
  <c r="BA25" i="5"/>
  <c r="BB25" i="5"/>
  <c r="BC25" i="5"/>
  <c r="BD25" i="5"/>
  <c r="BE25" i="5"/>
  <c r="BF25" i="5"/>
  <c r="BG25" i="5"/>
  <c r="BH25" i="5"/>
  <c r="BI25" i="5"/>
  <c r="BJ25" i="5"/>
  <c r="BK25" i="5"/>
  <c r="AN26" i="5"/>
  <c r="AO26" i="5"/>
  <c r="AP26" i="5"/>
  <c r="AQ26" i="5"/>
  <c r="AR26" i="5"/>
  <c r="AS26" i="5"/>
  <c r="AT26" i="5"/>
  <c r="AU26" i="5"/>
  <c r="AV26" i="5"/>
  <c r="AW26" i="5"/>
  <c r="AX26" i="5"/>
  <c r="AY26" i="5"/>
  <c r="AZ26" i="5"/>
  <c r="BA26" i="5"/>
  <c r="BB26" i="5"/>
  <c r="BC26" i="5"/>
  <c r="BD26" i="5"/>
  <c r="BE26" i="5"/>
  <c r="BF26" i="5"/>
  <c r="BG26" i="5"/>
  <c r="BH26" i="5"/>
  <c r="BI26" i="5"/>
  <c r="BJ26" i="5"/>
  <c r="BK26" i="5"/>
  <c r="AN28" i="5"/>
  <c r="AO28" i="5"/>
  <c r="AP28" i="5"/>
  <c r="AQ28" i="5"/>
  <c r="AR28" i="5"/>
  <c r="AS28" i="5"/>
  <c r="AT28" i="5"/>
  <c r="AU28" i="5"/>
  <c r="AV28" i="5"/>
  <c r="AW28" i="5"/>
  <c r="AX28" i="5"/>
  <c r="AY28" i="5"/>
  <c r="AZ28" i="5"/>
  <c r="BA28" i="5"/>
  <c r="BB28" i="5"/>
  <c r="BC28" i="5"/>
  <c r="BD28" i="5"/>
  <c r="BE28" i="5"/>
  <c r="BF28" i="5"/>
  <c r="BG28" i="5"/>
  <c r="BH28" i="5"/>
  <c r="BI28" i="5"/>
  <c r="BJ28" i="5"/>
  <c r="BK28" i="5"/>
  <c r="AN29" i="5"/>
  <c r="AO29" i="5"/>
  <c r="AP29" i="5"/>
  <c r="AQ29" i="5"/>
  <c r="AR29" i="5"/>
  <c r="AS29" i="5"/>
  <c r="AT29" i="5"/>
  <c r="AU29" i="5"/>
  <c r="AV29" i="5"/>
  <c r="AW29" i="5"/>
  <c r="AX29" i="5"/>
  <c r="AY29" i="5"/>
  <c r="AZ29" i="5"/>
  <c r="BA29" i="5"/>
  <c r="BB29" i="5"/>
  <c r="BC29" i="5"/>
  <c r="BD29" i="5"/>
  <c r="BE29" i="5"/>
  <c r="BF29" i="5"/>
  <c r="BG29" i="5"/>
  <c r="BH29" i="5"/>
  <c r="BI29" i="5"/>
  <c r="BJ29" i="5"/>
  <c r="BK29" i="5"/>
  <c r="AN30" i="5"/>
  <c r="AO30" i="5"/>
  <c r="AP30" i="5"/>
  <c r="AQ30" i="5"/>
  <c r="AR30" i="5"/>
  <c r="AS30" i="5"/>
  <c r="AT30" i="5"/>
  <c r="AU30" i="5"/>
  <c r="AV30" i="5"/>
  <c r="AW30" i="5"/>
  <c r="AX30" i="5"/>
  <c r="AY30" i="5"/>
  <c r="AZ30" i="5"/>
  <c r="BA30" i="5"/>
  <c r="BB30" i="5"/>
  <c r="BC30" i="5"/>
  <c r="BD30" i="5"/>
  <c r="BE30" i="5"/>
  <c r="BF30" i="5"/>
  <c r="BG30" i="5"/>
  <c r="BH30" i="5"/>
  <c r="BI30" i="5"/>
  <c r="BJ30" i="5"/>
  <c r="BK30" i="5"/>
  <c r="K73" i="2"/>
  <c r="J73" i="2"/>
  <c r="I73" i="2"/>
  <c r="H73" i="2"/>
  <c r="L73" i="2"/>
  <c r="F73" i="2"/>
  <c r="E73" i="2"/>
  <c r="D73" i="2"/>
  <c r="C73" i="2"/>
  <c r="K72" i="2"/>
  <c r="J72" i="2"/>
  <c r="I72" i="2"/>
  <c r="H72" i="2"/>
  <c r="L72" i="2"/>
  <c r="F72" i="2"/>
  <c r="E72" i="2"/>
  <c r="D72" i="2"/>
  <c r="C72" i="2"/>
  <c r="K71" i="2"/>
  <c r="J71" i="2"/>
  <c r="I71" i="2"/>
  <c r="H71" i="2"/>
  <c r="L71" i="2"/>
  <c r="F71" i="2"/>
  <c r="E71" i="2"/>
  <c r="D71" i="2"/>
  <c r="C71" i="2"/>
  <c r="K70" i="2"/>
  <c r="J70" i="2"/>
  <c r="I70" i="2"/>
  <c r="H70" i="2"/>
  <c r="L70" i="2"/>
  <c r="F70" i="2"/>
  <c r="E70" i="2"/>
  <c r="D70" i="2"/>
  <c r="C70" i="2"/>
  <c r="K69" i="2"/>
  <c r="J69" i="2"/>
  <c r="I69" i="2"/>
  <c r="H69" i="2"/>
  <c r="L69" i="2"/>
  <c r="F69" i="2"/>
  <c r="E69" i="2"/>
  <c r="D69" i="2"/>
  <c r="C69" i="2"/>
  <c r="K68" i="2"/>
  <c r="J68" i="2"/>
  <c r="I68" i="2"/>
  <c r="H68" i="2"/>
  <c r="L68" i="2"/>
  <c r="F68" i="2"/>
  <c r="E68" i="2"/>
  <c r="D68" i="2"/>
  <c r="C68" i="2"/>
  <c r="K67" i="2"/>
  <c r="J67" i="2"/>
  <c r="I67" i="2"/>
  <c r="H67" i="2"/>
  <c r="L67" i="2"/>
  <c r="F67" i="2"/>
  <c r="E67" i="2"/>
  <c r="D67" i="2"/>
  <c r="C67" i="2"/>
  <c r="K66" i="2"/>
  <c r="J66" i="2"/>
  <c r="I66" i="2"/>
  <c r="H66" i="2"/>
  <c r="L66" i="2"/>
  <c r="F66" i="2"/>
  <c r="E66" i="2"/>
  <c r="D66" i="2"/>
  <c r="C66" i="2"/>
  <c r="D25" i="5"/>
  <c r="B125" i="5"/>
  <c r="B124" i="5"/>
  <c r="B123" i="5"/>
  <c r="B120" i="5"/>
  <c r="B119" i="5"/>
  <c r="B118" i="5"/>
  <c r="B115" i="5"/>
  <c r="B114" i="5"/>
  <c r="B113" i="5"/>
  <c r="B110" i="5"/>
  <c r="B109" i="5"/>
  <c r="B108" i="5"/>
  <c r="B105" i="5"/>
  <c r="B104" i="5"/>
  <c r="B103" i="5"/>
  <c r="B100" i="5"/>
  <c r="B99" i="5"/>
  <c r="B98" i="5"/>
  <c r="B95" i="5"/>
  <c r="B94" i="5"/>
  <c r="B93" i="5"/>
  <c r="B90" i="5"/>
  <c r="B89" i="5"/>
  <c r="B88" i="5"/>
  <c r="B85" i="5"/>
  <c r="B84" i="5"/>
  <c r="B83" i="5"/>
  <c r="B80" i="5"/>
  <c r="B79" i="5"/>
  <c r="B78" i="5"/>
  <c r="B75" i="5"/>
  <c r="B74" i="5"/>
  <c r="B73" i="5"/>
  <c r="B70" i="5"/>
  <c r="B69" i="5"/>
  <c r="B68" i="5"/>
  <c r="B65" i="5"/>
  <c r="B64" i="5"/>
  <c r="B63" i="5"/>
  <c r="B60" i="5"/>
  <c r="B59" i="5"/>
  <c r="B122" i="5"/>
  <c r="B58" i="5"/>
  <c r="A7" i="2"/>
  <c r="A8" i="2"/>
  <c r="A9" i="2"/>
  <c r="A10" i="2"/>
  <c r="A11" i="2"/>
  <c r="A12" i="2"/>
  <c r="A13" i="2"/>
  <c r="A14" i="2"/>
  <c r="A15" i="2"/>
  <c r="A16" i="2"/>
  <c r="A17" i="2"/>
  <c r="A18" i="2"/>
  <c r="A19" i="2"/>
  <c r="A6" i="2"/>
  <c r="B62" i="5"/>
  <c r="B67" i="5"/>
  <c r="B72" i="5"/>
  <c r="B77" i="5"/>
  <c r="B82" i="5"/>
  <c r="B87" i="5"/>
  <c r="B92" i="5"/>
  <c r="B97" i="5"/>
  <c r="B102" i="5"/>
  <c r="B107" i="5"/>
  <c r="B112" i="5"/>
  <c r="B117" i="5"/>
  <c r="B57" i="5"/>
  <c r="B44" i="5"/>
  <c r="B45" i="5"/>
  <c r="B46" i="5"/>
  <c r="B47" i="5"/>
  <c r="B48" i="5"/>
  <c r="B49" i="5"/>
  <c r="B50" i="5"/>
  <c r="B51" i="5"/>
  <c r="B52" i="5"/>
  <c r="B53" i="5"/>
  <c r="B54" i="5"/>
  <c r="B55" i="5"/>
  <c r="B56" i="5"/>
  <c r="B43" i="5"/>
  <c r="A3" i="10"/>
  <c r="A4" i="10"/>
  <c r="A5" i="10"/>
  <c r="A6" i="10"/>
  <c r="A7" i="10"/>
  <c r="A8" i="10"/>
  <c r="A9" i="10"/>
  <c r="A10" i="10"/>
  <c r="A11" i="10"/>
  <c r="A12" i="10"/>
  <c r="A13" i="10"/>
  <c r="A14" i="10"/>
  <c r="A15" i="10"/>
  <c r="A2" i="10"/>
  <c r="D34" i="7"/>
  <c r="E34" i="7"/>
  <c r="BT114" i="8"/>
  <c r="BS113" i="8"/>
  <c r="BR112" i="8"/>
  <c r="BQ114" i="8"/>
  <c r="BQ111" i="8"/>
  <c r="BP113" i="8"/>
  <c r="BP110" i="8"/>
  <c r="BO112" i="8"/>
  <c r="BO109" i="8"/>
  <c r="BN114" i="8"/>
  <c r="BN111" i="8"/>
  <c r="BN108" i="8"/>
  <c r="BM113" i="8"/>
  <c r="BM110" i="8"/>
  <c r="BM107" i="8"/>
  <c r="BL112" i="8"/>
  <c r="BL109" i="8"/>
  <c r="BL106" i="8"/>
  <c r="BK114" i="8"/>
  <c r="BK111" i="8"/>
  <c r="BK108" i="8"/>
  <c r="BK105" i="8"/>
  <c r="BJ113" i="8"/>
  <c r="BJ110" i="8"/>
  <c r="BJ107" i="8"/>
  <c r="BJ104" i="8"/>
  <c r="BI112" i="8"/>
  <c r="BI109" i="8"/>
  <c r="BI106" i="8"/>
  <c r="BI103" i="8"/>
  <c r="BH114" i="8"/>
  <c r="BH111" i="8"/>
  <c r="BH108" i="8"/>
  <c r="BH105" i="8"/>
  <c r="BH102" i="8"/>
  <c r="BG113" i="8"/>
  <c r="BG110" i="8"/>
  <c r="BG107" i="8"/>
  <c r="BG104" i="8"/>
  <c r="BG101" i="8"/>
  <c r="BF112" i="8"/>
  <c r="BF109" i="8"/>
  <c r="BF106" i="8"/>
  <c r="BF103" i="8"/>
  <c r="BF100" i="8"/>
  <c r="BE114" i="8"/>
  <c r="BE111" i="8"/>
  <c r="BE108" i="8"/>
  <c r="BE105" i="8"/>
  <c r="BE102" i="8"/>
  <c r="BE99" i="8"/>
  <c r="BD113" i="8"/>
  <c r="BD110" i="8"/>
  <c r="BD107" i="8"/>
  <c r="BD104" i="8"/>
  <c r="BD101" i="8"/>
  <c r="BD98" i="8"/>
  <c r="BC112" i="8"/>
  <c r="BC109" i="8"/>
  <c r="BC106" i="8"/>
  <c r="BC103" i="8"/>
  <c r="BC100" i="8"/>
  <c r="BC97" i="8"/>
  <c r="BB114" i="8"/>
  <c r="BB111" i="8"/>
  <c r="BB108" i="8"/>
  <c r="BB105" i="8"/>
  <c r="BB102" i="8"/>
  <c r="BB99" i="8"/>
  <c r="BB96" i="8"/>
  <c r="BA113" i="8"/>
  <c r="BA110" i="8"/>
  <c r="BA107" i="8"/>
  <c r="BA104" i="8"/>
  <c r="BA101" i="8"/>
  <c r="BA98" i="8"/>
  <c r="BA95" i="8"/>
  <c r="AZ112" i="8"/>
  <c r="AZ109" i="8"/>
  <c r="AZ106" i="8"/>
  <c r="AZ103" i="8"/>
  <c r="AZ100" i="8"/>
  <c r="AZ97" i="8"/>
  <c r="AZ94" i="8"/>
  <c r="AY114" i="8"/>
  <c r="AY111" i="8"/>
  <c r="AY108" i="8"/>
  <c r="AY105" i="8"/>
  <c r="AY102" i="8"/>
  <c r="AY99" i="8"/>
  <c r="AY96" i="8"/>
  <c r="AY93" i="8"/>
  <c r="AX113" i="8"/>
  <c r="AX110" i="8"/>
  <c r="AX107" i="8"/>
  <c r="AX104" i="8"/>
  <c r="AX101" i="8"/>
  <c r="AX98" i="8"/>
  <c r="AX95" i="8"/>
  <c r="AX92" i="8"/>
  <c r="AW112" i="8"/>
  <c r="AW109" i="8"/>
  <c r="AW106" i="8"/>
  <c r="AW103" i="8"/>
  <c r="AW100" i="8"/>
  <c r="AW97" i="8"/>
  <c r="AW94" i="8"/>
  <c r="AW91" i="8"/>
  <c r="AV114" i="8"/>
  <c r="AV111" i="8"/>
  <c r="AV108" i="8"/>
  <c r="AV105" i="8"/>
  <c r="AV102" i="8"/>
  <c r="AV99" i="8"/>
  <c r="AV96" i="8"/>
  <c r="AV93" i="8"/>
  <c r="AV90" i="8"/>
  <c r="AU113" i="8"/>
  <c r="AU110" i="8"/>
  <c r="AU107" i="8"/>
  <c r="AU104" i="8"/>
  <c r="AU101" i="8"/>
  <c r="AU98" i="8"/>
  <c r="AU95" i="8"/>
  <c r="AU92" i="8"/>
  <c r="AU89" i="8"/>
  <c r="AT112" i="8"/>
  <c r="AT109" i="8"/>
  <c r="AT106" i="8"/>
  <c r="AT103" i="8"/>
  <c r="AT100" i="8"/>
  <c r="AT97" i="8"/>
  <c r="AT94" i="8"/>
  <c r="AT91" i="8"/>
  <c r="AT88" i="8"/>
  <c r="AS114" i="8"/>
  <c r="AS111" i="8"/>
  <c r="AS108" i="8"/>
  <c r="AS105" i="8"/>
  <c r="AS102" i="8"/>
  <c r="AS99" i="8"/>
  <c r="AS96" i="8"/>
  <c r="AS93" i="8"/>
  <c r="AS90" i="8"/>
  <c r="AS87" i="8"/>
  <c r="AR113" i="8"/>
  <c r="AR110" i="8"/>
  <c r="AR107" i="8"/>
  <c r="AR104" i="8"/>
  <c r="AR101" i="8"/>
  <c r="AR98" i="8"/>
  <c r="AR95" i="8"/>
  <c r="AR92" i="8"/>
  <c r="AR89" i="8"/>
  <c r="AR86" i="8"/>
  <c r="AQ112" i="8"/>
  <c r="AQ109" i="8"/>
  <c r="AQ106" i="8"/>
  <c r="AQ103" i="8"/>
  <c r="AQ100" i="8"/>
  <c r="AQ97" i="8"/>
  <c r="AQ94" i="8"/>
  <c r="AQ91" i="8"/>
  <c r="AQ88" i="8"/>
  <c r="AQ85" i="8"/>
  <c r="AP114" i="8"/>
  <c r="AP111" i="8"/>
  <c r="AP108" i="8"/>
  <c r="AP105" i="8"/>
  <c r="AP102" i="8"/>
  <c r="AP99" i="8"/>
  <c r="AP96" i="8"/>
  <c r="AP93" i="8"/>
  <c r="AP90" i="8"/>
  <c r="AP87" i="8"/>
  <c r="AP84" i="8"/>
  <c r="AO113" i="8"/>
  <c r="AO110" i="8"/>
  <c r="AO107" i="8"/>
  <c r="AO104" i="8"/>
  <c r="AO101" i="8"/>
  <c r="AO98" i="8"/>
  <c r="AO95" i="8"/>
  <c r="AO92" i="8"/>
  <c r="AO89" i="8"/>
  <c r="AO86" i="8"/>
  <c r="AO83" i="8"/>
  <c r="AN112" i="8"/>
  <c r="AN109" i="8"/>
  <c r="AN106" i="8"/>
  <c r="AN103" i="8"/>
  <c r="AN100" i="8"/>
  <c r="AN97" i="8"/>
  <c r="AN94" i="8"/>
  <c r="AN91" i="8"/>
  <c r="AN88" i="8"/>
  <c r="AN85" i="8"/>
  <c r="AN82" i="8"/>
  <c r="AH114" i="8"/>
  <c r="AG113" i="8"/>
  <c r="AF112" i="8"/>
  <c r="AE114" i="8"/>
  <c r="AE111" i="8"/>
  <c r="AD113" i="8"/>
  <c r="AD110" i="8"/>
  <c r="AC112" i="8"/>
  <c r="AC109" i="8"/>
  <c r="AB114" i="8"/>
  <c r="AB111" i="8"/>
  <c r="AB108" i="8"/>
  <c r="AA113" i="8"/>
  <c r="AA110" i="8"/>
  <c r="AA107" i="8"/>
  <c r="Z112" i="8"/>
  <c r="Z109" i="8"/>
  <c r="Z106" i="8"/>
  <c r="Y114" i="8"/>
  <c r="Y111" i="8"/>
  <c r="Y108" i="8"/>
  <c r="Y105" i="8"/>
  <c r="X113" i="8"/>
  <c r="X110" i="8"/>
  <c r="X107" i="8"/>
  <c r="X104" i="8"/>
  <c r="W112" i="8"/>
  <c r="W109" i="8"/>
  <c r="W106" i="8"/>
  <c r="W103" i="8"/>
  <c r="V114" i="8"/>
  <c r="V111" i="8"/>
  <c r="V108" i="8"/>
  <c r="V105" i="8"/>
  <c r="V102" i="8"/>
  <c r="U113" i="8"/>
  <c r="U110" i="8"/>
  <c r="U107" i="8"/>
  <c r="U104" i="8"/>
  <c r="U101" i="8"/>
  <c r="T112" i="8"/>
  <c r="T109" i="8"/>
  <c r="T106" i="8"/>
  <c r="T103" i="8"/>
  <c r="T100" i="8"/>
  <c r="S114" i="8"/>
  <c r="S111" i="8"/>
  <c r="S108" i="8"/>
  <c r="S105" i="8"/>
  <c r="S102" i="8"/>
  <c r="S99" i="8"/>
  <c r="R113" i="8"/>
  <c r="R110" i="8"/>
  <c r="R107" i="8"/>
  <c r="R104" i="8"/>
  <c r="R101" i="8"/>
  <c r="R98" i="8"/>
  <c r="Q112" i="8"/>
  <c r="Q109" i="8"/>
  <c r="Q106" i="8"/>
  <c r="Q103" i="8"/>
  <c r="Q100" i="8"/>
  <c r="Q97" i="8"/>
  <c r="P114" i="8"/>
  <c r="P111" i="8"/>
  <c r="P108" i="8"/>
  <c r="P105" i="8"/>
  <c r="P102" i="8"/>
  <c r="P99" i="8"/>
  <c r="P96" i="8"/>
  <c r="O113" i="8"/>
  <c r="O110" i="8"/>
  <c r="O107" i="8"/>
  <c r="O104" i="8"/>
  <c r="O101" i="8"/>
  <c r="O98" i="8"/>
  <c r="O95" i="8"/>
  <c r="N112" i="8"/>
  <c r="N109" i="8"/>
  <c r="N106" i="8"/>
  <c r="N103" i="8"/>
  <c r="N100" i="8"/>
  <c r="N97" i="8"/>
  <c r="N94" i="8"/>
  <c r="M114" i="8"/>
  <c r="M111" i="8"/>
  <c r="M108" i="8"/>
  <c r="M105" i="8"/>
  <c r="M102" i="8"/>
  <c r="M99" i="8"/>
  <c r="M96" i="8"/>
  <c r="M93" i="8"/>
  <c r="L113" i="8"/>
  <c r="L110" i="8"/>
  <c r="L107" i="8"/>
  <c r="L104" i="8"/>
  <c r="L101" i="8"/>
  <c r="L98" i="8"/>
  <c r="L95" i="8"/>
  <c r="L92" i="8"/>
  <c r="K112" i="8"/>
  <c r="K109" i="8"/>
  <c r="K106" i="8"/>
  <c r="K103" i="8"/>
  <c r="K100" i="8"/>
  <c r="K97" i="8"/>
  <c r="K94" i="8"/>
  <c r="K91" i="8"/>
  <c r="J114" i="8"/>
  <c r="J111" i="8"/>
  <c r="J108" i="8"/>
  <c r="J105" i="8"/>
  <c r="J102" i="8"/>
  <c r="J99" i="8"/>
  <c r="J96" i="8"/>
  <c r="J93" i="8"/>
  <c r="J90" i="8"/>
  <c r="I113" i="8"/>
  <c r="I110" i="8"/>
  <c r="I107" i="8"/>
  <c r="I104" i="8"/>
  <c r="I101" i="8"/>
  <c r="I98" i="8"/>
  <c r="I95" i="8"/>
  <c r="I92" i="8"/>
  <c r="I89" i="8"/>
  <c r="H112" i="8"/>
  <c r="H109" i="8"/>
  <c r="H106" i="8"/>
  <c r="H103" i="8"/>
  <c r="H100" i="8"/>
  <c r="H97" i="8"/>
  <c r="H94" i="8"/>
  <c r="H91" i="8"/>
  <c r="H88" i="8"/>
  <c r="G114" i="8"/>
  <c r="G111" i="8"/>
  <c r="G108" i="8"/>
  <c r="G105" i="8"/>
  <c r="G102" i="8"/>
  <c r="G99" i="8"/>
  <c r="G96" i="8"/>
  <c r="G93" i="8"/>
  <c r="G90" i="8"/>
  <c r="G87" i="8"/>
  <c r="F113" i="8"/>
  <c r="F110" i="8"/>
  <c r="F107" i="8"/>
  <c r="F104" i="8"/>
  <c r="F101" i="8"/>
  <c r="F98" i="8"/>
  <c r="F95" i="8"/>
  <c r="F92" i="8"/>
  <c r="F89" i="8"/>
  <c r="F86" i="8"/>
  <c r="E112" i="8"/>
  <c r="E109" i="8"/>
  <c r="E106" i="8"/>
  <c r="E103" i="8"/>
  <c r="E100" i="8"/>
  <c r="E97" i="8"/>
  <c r="E94" i="8"/>
  <c r="E91" i="8"/>
  <c r="E88" i="8"/>
  <c r="E85" i="8"/>
  <c r="D114" i="8"/>
  <c r="D111" i="8"/>
  <c r="D108" i="8"/>
  <c r="D105" i="8"/>
  <c r="D102" i="8"/>
  <c r="D99" i="8"/>
  <c r="D96" i="8"/>
  <c r="D93" i="8"/>
  <c r="D90" i="8"/>
  <c r="D87" i="8"/>
  <c r="D84" i="8"/>
  <c r="C113" i="8"/>
  <c r="C110" i="8"/>
  <c r="C107" i="8"/>
  <c r="C104" i="8"/>
  <c r="C101" i="8"/>
  <c r="C98" i="8"/>
  <c r="C95" i="8"/>
  <c r="C92" i="8"/>
  <c r="C89" i="8"/>
  <c r="C86" i="8"/>
  <c r="C83" i="8"/>
  <c r="B112" i="8"/>
  <c r="B109" i="8"/>
  <c r="B106" i="8"/>
  <c r="B103" i="8"/>
  <c r="B100" i="8"/>
  <c r="B97" i="8"/>
  <c r="B94" i="8"/>
  <c r="B91" i="8"/>
  <c r="B88" i="8"/>
  <c r="B85" i="8"/>
  <c r="B82" i="8"/>
  <c r="B5" i="5"/>
  <c r="B6" i="5"/>
  <c r="B7" i="5"/>
  <c r="B8" i="5"/>
  <c r="B9" i="5"/>
  <c r="B10" i="5"/>
  <c r="B11" i="5"/>
  <c r="B4" i="5"/>
  <c r="B15" i="5"/>
  <c r="B16" i="5"/>
  <c r="B17" i="5"/>
  <c r="B18" i="5"/>
  <c r="B19" i="5"/>
  <c r="B20" i="5"/>
  <c r="B21" i="5"/>
  <c r="B14" i="5"/>
  <c r="AN65" i="8"/>
  <c r="AO66" i="8"/>
  <c r="AP67" i="8"/>
  <c r="AQ68" i="8"/>
  <c r="AR69" i="8"/>
  <c r="AS70" i="8"/>
  <c r="AT71" i="8"/>
  <c r="AU72" i="8"/>
  <c r="AV73" i="8"/>
  <c r="AW74" i="8"/>
  <c r="AX75" i="8"/>
  <c r="AY76" i="8"/>
  <c r="BK76" i="8"/>
  <c r="BJ75" i="8"/>
  <c r="BI74" i="8"/>
  <c r="BH73" i="8"/>
  <c r="BG72" i="8"/>
  <c r="BF71" i="8"/>
  <c r="BE70" i="8"/>
  <c r="BD69" i="8"/>
  <c r="BC68" i="8"/>
  <c r="BB67" i="8"/>
  <c r="BA66" i="8"/>
  <c r="AZ65" i="8"/>
  <c r="AY64" i="8"/>
  <c r="AX63" i="8"/>
  <c r="AW62" i="8"/>
  <c r="AV61" i="8"/>
  <c r="AU60" i="8"/>
  <c r="AT59" i="8"/>
  <c r="AS58" i="8"/>
  <c r="AR57" i="8"/>
  <c r="AQ56" i="8"/>
  <c r="AP55" i="8"/>
  <c r="AO54" i="8"/>
  <c r="AN53" i="8"/>
  <c r="B35" i="5"/>
  <c r="B36" i="5"/>
  <c r="B37" i="5"/>
  <c r="B38" i="5"/>
  <c r="B39" i="5"/>
  <c r="B40" i="5"/>
  <c r="B41" i="5"/>
  <c r="B34" i="5"/>
  <c r="E30" i="5"/>
  <c r="F30" i="5"/>
  <c r="G30" i="5"/>
  <c r="H30" i="5"/>
  <c r="I30" i="5"/>
  <c r="J30" i="5"/>
  <c r="K30" i="5"/>
  <c r="L30" i="5"/>
  <c r="M30" i="5"/>
  <c r="N30" i="5"/>
  <c r="O30" i="5"/>
  <c r="D30" i="5"/>
  <c r="Y76" i="8"/>
  <c r="X75" i="8"/>
  <c r="W74" i="8"/>
  <c r="V73" i="8"/>
  <c r="U72" i="8"/>
  <c r="T71" i="8"/>
  <c r="S70" i="8"/>
  <c r="R69" i="8"/>
  <c r="Q68" i="8"/>
  <c r="P67" i="8"/>
  <c r="O66" i="8"/>
  <c r="N65" i="8"/>
  <c r="M76" i="8"/>
  <c r="M64" i="8"/>
  <c r="L75" i="8"/>
  <c r="L63" i="8"/>
  <c r="K74" i="8"/>
  <c r="K62" i="8"/>
  <c r="J73" i="8"/>
  <c r="J61" i="8"/>
  <c r="I72" i="8"/>
  <c r="I60" i="8"/>
  <c r="H71" i="8"/>
  <c r="H59" i="8"/>
  <c r="G70" i="8"/>
  <c r="G58" i="8"/>
  <c r="F69" i="8"/>
  <c r="F57" i="8"/>
  <c r="E68" i="8"/>
  <c r="E56" i="8"/>
  <c r="D67" i="8"/>
  <c r="D55" i="8"/>
  <c r="C66" i="8"/>
  <c r="C54" i="8"/>
  <c r="B65" i="8"/>
  <c r="B53" i="8"/>
  <c r="B29" i="5"/>
  <c r="B28" i="5"/>
  <c r="BT37" i="8"/>
  <c r="BS36" i="8"/>
  <c r="BS37" i="8"/>
  <c r="BR35" i="8"/>
  <c r="BR36" i="8"/>
  <c r="BR37" i="8"/>
  <c r="BQ34" i="8"/>
  <c r="BQ35" i="8"/>
  <c r="BQ36" i="8"/>
  <c r="BQ37" i="8"/>
  <c r="BP33" i="8"/>
  <c r="BP34" i="8"/>
  <c r="BP35" i="8"/>
  <c r="BP36" i="8"/>
  <c r="BP37" i="8"/>
  <c r="BO32" i="8"/>
  <c r="BO33" i="8"/>
  <c r="BO34" i="8"/>
  <c r="BO35" i="8"/>
  <c r="BO36" i="8"/>
  <c r="BO37" i="8"/>
  <c r="BN31" i="8"/>
  <c r="BN32" i="8"/>
  <c r="BN33" i="8"/>
  <c r="BN34" i="8"/>
  <c r="BN35" i="8"/>
  <c r="BN36" i="8"/>
  <c r="BN37" i="8"/>
  <c r="BM30" i="8"/>
  <c r="BM31" i="8"/>
  <c r="BM32" i="8"/>
  <c r="BM33" i="8"/>
  <c r="BM34" i="8"/>
  <c r="BM35" i="8"/>
  <c r="BM36" i="8"/>
  <c r="BM37" i="8"/>
  <c r="BL29" i="8"/>
  <c r="BL30" i="8"/>
  <c r="BL31" i="8"/>
  <c r="BL32" i="8"/>
  <c r="BL33" i="8"/>
  <c r="BL34" i="8"/>
  <c r="BL35" i="8"/>
  <c r="BL36" i="8"/>
  <c r="BL37" i="8"/>
  <c r="BK28" i="8"/>
  <c r="BK29" i="8"/>
  <c r="BK30" i="8"/>
  <c r="BK31" i="8"/>
  <c r="BK32" i="8"/>
  <c r="BK33" i="8"/>
  <c r="BK34" i="8"/>
  <c r="BK35" i="8"/>
  <c r="BK36" i="8"/>
  <c r="BK37" i="8"/>
  <c r="BJ27" i="8"/>
  <c r="BJ28" i="8"/>
  <c r="BJ29" i="8"/>
  <c r="BJ30" i="8"/>
  <c r="BJ31" i="8"/>
  <c r="BJ32" i="8"/>
  <c r="BJ33" i="8"/>
  <c r="BJ34" i="8"/>
  <c r="BJ35" i="8"/>
  <c r="BJ36" i="8"/>
  <c r="BJ37" i="8"/>
  <c r="BI26" i="8"/>
  <c r="BI27" i="8"/>
  <c r="BI28" i="8"/>
  <c r="BI29" i="8"/>
  <c r="BI30" i="8"/>
  <c r="BI31" i="8"/>
  <c r="BI32" i="8"/>
  <c r="BI33" i="8"/>
  <c r="BI34" i="8"/>
  <c r="BI35" i="8"/>
  <c r="BI36" i="8"/>
  <c r="BI37" i="8"/>
  <c r="BH25" i="8"/>
  <c r="BH26" i="8"/>
  <c r="BH27" i="8"/>
  <c r="BH28" i="8"/>
  <c r="BH29" i="8"/>
  <c r="BH30" i="8"/>
  <c r="BH31" i="8"/>
  <c r="BH32" i="8"/>
  <c r="BH33" i="8"/>
  <c r="BH34" i="8"/>
  <c r="BH35" i="8"/>
  <c r="BH36" i="8"/>
  <c r="BH37" i="8"/>
  <c r="BG24" i="8"/>
  <c r="BG25" i="8"/>
  <c r="BG26" i="8"/>
  <c r="BG27" i="8"/>
  <c r="BG28" i="8"/>
  <c r="BG29" i="8"/>
  <c r="BG30" i="8"/>
  <c r="BG31" i="8"/>
  <c r="BG32" i="8"/>
  <c r="BG33" i="8"/>
  <c r="BG34" i="8"/>
  <c r="BG35" i="8"/>
  <c r="BG36" i="8"/>
  <c r="BG37" i="8"/>
  <c r="BF23" i="8"/>
  <c r="BF24" i="8"/>
  <c r="BF25" i="8"/>
  <c r="BF26" i="8"/>
  <c r="BF27" i="8"/>
  <c r="BF28" i="8"/>
  <c r="BF29" i="8"/>
  <c r="BF30" i="8"/>
  <c r="BF31" i="8"/>
  <c r="BF32" i="8"/>
  <c r="BF33" i="8"/>
  <c r="BF34" i="8"/>
  <c r="BF35" i="8"/>
  <c r="BF36" i="8"/>
  <c r="BF37" i="8"/>
  <c r="BE22" i="8"/>
  <c r="BE23" i="8"/>
  <c r="BE24" i="8"/>
  <c r="BE25" i="8"/>
  <c r="BE26" i="8"/>
  <c r="BE27" i="8"/>
  <c r="BE28" i="8"/>
  <c r="BE29" i="8"/>
  <c r="BE30" i="8"/>
  <c r="BE31" i="8"/>
  <c r="BE32" i="8"/>
  <c r="BE33" i="8"/>
  <c r="BE34" i="8"/>
  <c r="BE35" i="8"/>
  <c r="BE36" i="8"/>
  <c r="BE37" i="8"/>
  <c r="BD21" i="8"/>
  <c r="BD22" i="8"/>
  <c r="BD23" i="8"/>
  <c r="BD24" i="8"/>
  <c r="BD25" i="8"/>
  <c r="BD26" i="8"/>
  <c r="BD27" i="8"/>
  <c r="BD28" i="8"/>
  <c r="BD29" i="8"/>
  <c r="BD30" i="8"/>
  <c r="BD31" i="8"/>
  <c r="BD32" i="8"/>
  <c r="BD33" i="8"/>
  <c r="BD34" i="8"/>
  <c r="BD35" i="8"/>
  <c r="BD36" i="8"/>
  <c r="BD37" i="8"/>
  <c r="BC20" i="8"/>
  <c r="BC21" i="8"/>
  <c r="BC22" i="8"/>
  <c r="BC23" i="8"/>
  <c r="BC24" i="8"/>
  <c r="BC25" i="8"/>
  <c r="BC26" i="8"/>
  <c r="BC27" i="8"/>
  <c r="BC28" i="8"/>
  <c r="BC29" i="8"/>
  <c r="BC30" i="8"/>
  <c r="BC31" i="8"/>
  <c r="BC32" i="8"/>
  <c r="BC33" i="8"/>
  <c r="BC34" i="8"/>
  <c r="BC35" i="8"/>
  <c r="BC36" i="8"/>
  <c r="BC37" i="8"/>
  <c r="BB19" i="8"/>
  <c r="BB20" i="8"/>
  <c r="BB21" i="8"/>
  <c r="BB22" i="8"/>
  <c r="BB23" i="8"/>
  <c r="BB24" i="8"/>
  <c r="BB25" i="8"/>
  <c r="BB26" i="8"/>
  <c r="BB27" i="8"/>
  <c r="BB28" i="8"/>
  <c r="BB29" i="8"/>
  <c r="BB30" i="8"/>
  <c r="BB31" i="8"/>
  <c r="BB32" i="8"/>
  <c r="BB33" i="8"/>
  <c r="BB34" i="8"/>
  <c r="BB35" i="8"/>
  <c r="BB36" i="8"/>
  <c r="BB37" i="8"/>
  <c r="BA18" i="8"/>
  <c r="BA19" i="8"/>
  <c r="BA20" i="8"/>
  <c r="BA21" i="8"/>
  <c r="BA22" i="8"/>
  <c r="BA23" i="8"/>
  <c r="BA24" i="8"/>
  <c r="BA25" i="8"/>
  <c r="BA26" i="8"/>
  <c r="BA27" i="8"/>
  <c r="BA28" i="8"/>
  <c r="BA29" i="8"/>
  <c r="BA30" i="8"/>
  <c r="BA31" i="8"/>
  <c r="BA32" i="8"/>
  <c r="BA33" i="8"/>
  <c r="BA34" i="8"/>
  <c r="BA35" i="8"/>
  <c r="BA36" i="8"/>
  <c r="BA37" i="8"/>
  <c r="AZ17" i="8"/>
  <c r="AZ18" i="8"/>
  <c r="AZ19" i="8"/>
  <c r="AZ20" i="8"/>
  <c r="AZ21" i="8"/>
  <c r="AZ22" i="8"/>
  <c r="AZ23" i="8"/>
  <c r="AZ24" i="8"/>
  <c r="AZ25" i="8"/>
  <c r="AZ26" i="8"/>
  <c r="AZ27" i="8"/>
  <c r="AZ28" i="8"/>
  <c r="AZ29" i="8"/>
  <c r="AZ30" i="8"/>
  <c r="AZ31" i="8"/>
  <c r="AZ32" i="8"/>
  <c r="AZ33" i="8"/>
  <c r="AZ34" i="8"/>
  <c r="AZ35" i="8"/>
  <c r="AZ36" i="8"/>
  <c r="AZ37" i="8"/>
  <c r="AY16" i="8"/>
  <c r="AY17" i="8"/>
  <c r="AY18" i="8"/>
  <c r="AY19" i="8"/>
  <c r="AY20" i="8"/>
  <c r="AY21" i="8"/>
  <c r="AY22" i="8"/>
  <c r="AY23" i="8"/>
  <c r="AY24" i="8"/>
  <c r="AY25" i="8"/>
  <c r="AY26" i="8"/>
  <c r="AY27" i="8"/>
  <c r="AY28" i="8"/>
  <c r="AY29" i="8"/>
  <c r="AY30" i="8"/>
  <c r="AY31" i="8"/>
  <c r="AY32" i="8"/>
  <c r="AY33" i="8"/>
  <c r="AY34" i="8"/>
  <c r="AY35" i="8"/>
  <c r="AY36" i="8"/>
  <c r="AY37" i="8"/>
  <c r="AX15" i="8"/>
  <c r="AX16" i="8"/>
  <c r="AX17" i="8"/>
  <c r="AX18" i="8"/>
  <c r="AX19" i="8"/>
  <c r="AX20" i="8"/>
  <c r="AX21" i="8"/>
  <c r="AX22" i="8"/>
  <c r="AX23" i="8"/>
  <c r="AX24" i="8"/>
  <c r="AX25" i="8"/>
  <c r="AX26" i="8"/>
  <c r="AX27" i="8"/>
  <c r="AX28" i="8"/>
  <c r="AX29" i="8"/>
  <c r="AX30" i="8"/>
  <c r="AX31" i="8"/>
  <c r="AX32" i="8"/>
  <c r="AX33" i="8"/>
  <c r="AX34" i="8"/>
  <c r="AX35" i="8"/>
  <c r="AX36" i="8"/>
  <c r="AX37" i="8"/>
  <c r="AT11" i="8"/>
  <c r="AT12" i="8"/>
  <c r="AT13" i="8"/>
  <c r="AT14" i="8"/>
  <c r="AT15" i="8"/>
  <c r="AT16" i="8"/>
  <c r="AT17" i="8"/>
  <c r="AT18" i="8"/>
  <c r="AT19" i="8"/>
  <c r="AT20" i="8"/>
  <c r="AT21" i="8"/>
  <c r="AT22" i="8"/>
  <c r="AT23" i="8"/>
  <c r="AT24" i="8"/>
  <c r="AT25" i="8"/>
  <c r="AT26" i="8"/>
  <c r="AT27" i="8"/>
  <c r="AT28" i="8"/>
  <c r="AT29" i="8"/>
  <c r="AT30" i="8"/>
  <c r="AT31" i="8"/>
  <c r="AT32" i="8"/>
  <c r="AT33" i="8"/>
  <c r="AT34" i="8"/>
  <c r="AT35" i="8"/>
  <c r="AT36" i="8"/>
  <c r="AT37" i="8"/>
  <c r="AW14" i="8"/>
  <c r="AW15" i="8"/>
  <c r="AW16" i="8"/>
  <c r="AW17" i="8"/>
  <c r="AW18" i="8"/>
  <c r="AW19" i="8"/>
  <c r="AW20" i="8"/>
  <c r="AW21" i="8"/>
  <c r="AW22" i="8"/>
  <c r="AW23" i="8"/>
  <c r="AW24" i="8"/>
  <c r="AW25" i="8"/>
  <c r="AW26" i="8"/>
  <c r="AW27" i="8"/>
  <c r="AW28" i="8"/>
  <c r="AW29" i="8"/>
  <c r="AW30" i="8"/>
  <c r="AW31" i="8"/>
  <c r="AW32" i="8"/>
  <c r="AW33" i="8"/>
  <c r="AW34" i="8"/>
  <c r="AW35" i="8"/>
  <c r="AW36" i="8"/>
  <c r="AW37" i="8"/>
  <c r="AV13" i="8"/>
  <c r="AV14" i="8"/>
  <c r="AV15" i="8"/>
  <c r="AV16" i="8"/>
  <c r="AV17" i="8"/>
  <c r="AV18" i="8"/>
  <c r="AV19" i="8"/>
  <c r="AV20" i="8"/>
  <c r="AV21" i="8"/>
  <c r="AV22" i="8"/>
  <c r="AV23" i="8"/>
  <c r="AV24" i="8"/>
  <c r="AV25" i="8"/>
  <c r="AV26" i="8"/>
  <c r="AV27" i="8"/>
  <c r="AV28" i="8"/>
  <c r="AV29" i="8"/>
  <c r="AV30" i="8"/>
  <c r="AV31" i="8"/>
  <c r="AV32" i="8"/>
  <c r="AV33" i="8"/>
  <c r="AV34" i="8"/>
  <c r="AV35" i="8"/>
  <c r="AV36" i="8"/>
  <c r="AV37" i="8"/>
  <c r="AU12" i="8"/>
  <c r="AU13" i="8"/>
  <c r="AU14" i="8"/>
  <c r="AU15" i="8"/>
  <c r="AU16" i="8"/>
  <c r="AU17" i="8"/>
  <c r="AU18" i="8"/>
  <c r="AU19" i="8"/>
  <c r="AU20" i="8"/>
  <c r="AU21" i="8"/>
  <c r="AU22" i="8"/>
  <c r="AU23" i="8"/>
  <c r="AU24" i="8"/>
  <c r="AU25" i="8"/>
  <c r="AU26" i="8"/>
  <c r="AU27" i="8"/>
  <c r="AU28" i="8"/>
  <c r="AU29" i="8"/>
  <c r="AU30" i="8"/>
  <c r="AU31" i="8"/>
  <c r="AU32" i="8"/>
  <c r="AU33" i="8"/>
  <c r="AU34" i="8"/>
  <c r="AU35" i="8"/>
  <c r="AU36" i="8"/>
  <c r="AU37" i="8"/>
  <c r="AS10" i="8"/>
  <c r="AS11" i="8"/>
  <c r="AS12" i="8"/>
  <c r="AS13" i="8"/>
  <c r="AS14" i="8"/>
  <c r="AS15" i="8"/>
  <c r="AS16" i="8"/>
  <c r="AS17" i="8"/>
  <c r="AS18" i="8"/>
  <c r="AS19" i="8"/>
  <c r="AS20" i="8"/>
  <c r="AS21" i="8"/>
  <c r="AS22" i="8"/>
  <c r="AS23" i="8"/>
  <c r="AS24" i="8"/>
  <c r="AS25" i="8"/>
  <c r="AS26" i="8"/>
  <c r="AS27" i="8"/>
  <c r="AS28" i="8"/>
  <c r="AS29" i="8"/>
  <c r="AS30" i="8"/>
  <c r="AS31" i="8"/>
  <c r="AS32" i="8"/>
  <c r="AS33" i="8"/>
  <c r="AS34" i="8"/>
  <c r="AS35" i="8"/>
  <c r="AS36" i="8"/>
  <c r="AS37" i="8"/>
  <c r="AR9" i="8"/>
  <c r="AR10" i="8"/>
  <c r="AR11" i="8"/>
  <c r="AR12" i="8"/>
  <c r="AR13" i="8"/>
  <c r="AR14" i="8"/>
  <c r="AR15" i="8"/>
  <c r="AR16" i="8"/>
  <c r="AR17" i="8"/>
  <c r="AR18" i="8"/>
  <c r="AR19" i="8"/>
  <c r="AR20" i="8"/>
  <c r="AR21" i="8"/>
  <c r="AR22" i="8"/>
  <c r="AR23" i="8"/>
  <c r="AR24" i="8"/>
  <c r="AR25" i="8"/>
  <c r="AR26" i="8"/>
  <c r="AR27" i="8"/>
  <c r="AR28" i="8"/>
  <c r="AR29" i="8"/>
  <c r="AR30" i="8"/>
  <c r="AR31" i="8"/>
  <c r="AR32" i="8"/>
  <c r="AR33" i="8"/>
  <c r="AR34" i="8"/>
  <c r="AR35" i="8"/>
  <c r="AR36" i="8"/>
  <c r="AR37" i="8"/>
  <c r="BU37" i="8"/>
  <c r="BT36" i="8"/>
  <c r="BS35" i="8"/>
  <c r="BR34" i="8"/>
  <c r="BQ33" i="8"/>
  <c r="BP32" i="8"/>
  <c r="BO31" i="8"/>
  <c r="BN30" i="8"/>
  <c r="BM29" i="8"/>
  <c r="BL28" i="8"/>
  <c r="BK27" i="8"/>
  <c r="BJ26" i="8"/>
  <c r="BI25" i="8"/>
  <c r="BH24" i="8"/>
  <c r="BG23" i="8"/>
  <c r="BF22" i="8"/>
  <c r="BE21" i="8"/>
  <c r="BD20" i="8"/>
  <c r="BC19" i="8"/>
  <c r="BB18" i="8"/>
  <c r="BA17" i="8"/>
  <c r="AZ16" i="8"/>
  <c r="AY15" i="8"/>
  <c r="AX14" i="8"/>
  <c r="AW13" i="8"/>
  <c r="AV12" i="8"/>
  <c r="AU11" i="8"/>
  <c r="AT10" i="8"/>
  <c r="AS9" i="8"/>
  <c r="AR8" i="8"/>
  <c r="AQ8" i="8"/>
  <c r="AQ9" i="8"/>
  <c r="AQ10" i="8"/>
  <c r="AQ11" i="8"/>
  <c r="AQ12" i="8"/>
  <c r="AQ13" i="8"/>
  <c r="AQ14" i="8"/>
  <c r="AQ15" i="8"/>
  <c r="AQ16" i="8"/>
  <c r="AQ17" i="8"/>
  <c r="AQ18" i="8"/>
  <c r="AQ19" i="8"/>
  <c r="AQ20" i="8"/>
  <c r="AQ21" i="8"/>
  <c r="AQ22" i="8"/>
  <c r="AQ23" i="8"/>
  <c r="AQ24" i="8"/>
  <c r="AQ25" i="8"/>
  <c r="AQ26" i="8"/>
  <c r="AQ27" i="8"/>
  <c r="AQ28" i="8"/>
  <c r="AQ29" i="8"/>
  <c r="AQ30" i="8"/>
  <c r="AQ31" i="8"/>
  <c r="AQ32" i="8"/>
  <c r="AQ33" i="8"/>
  <c r="AQ34" i="8"/>
  <c r="AQ35" i="8"/>
  <c r="AQ36" i="8"/>
  <c r="AQ37" i="8"/>
  <c r="AQ7" i="8"/>
  <c r="AP7" i="8"/>
  <c r="AP8" i="8"/>
  <c r="AP9" i="8"/>
  <c r="AP10" i="8"/>
  <c r="AP11" i="8"/>
  <c r="AP12" i="8"/>
  <c r="AP13" i="8"/>
  <c r="AP14" i="8"/>
  <c r="AP15" i="8"/>
  <c r="AP16" i="8"/>
  <c r="AP17" i="8"/>
  <c r="AP18" i="8"/>
  <c r="AP19" i="8"/>
  <c r="AP20" i="8"/>
  <c r="AP21" i="8"/>
  <c r="AP22" i="8"/>
  <c r="AP23" i="8"/>
  <c r="AP24" i="8"/>
  <c r="AP25" i="8"/>
  <c r="AP26" i="8"/>
  <c r="AP27" i="8"/>
  <c r="AP28" i="8"/>
  <c r="AP29" i="8"/>
  <c r="AP30" i="8"/>
  <c r="AP31" i="8"/>
  <c r="AP32" i="8"/>
  <c r="AP33" i="8"/>
  <c r="AP34" i="8"/>
  <c r="AP35" i="8"/>
  <c r="AP36" i="8"/>
  <c r="AP37" i="8"/>
  <c r="AP6" i="8"/>
  <c r="AO6" i="8"/>
  <c r="AO7" i="8"/>
  <c r="AO8" i="8"/>
  <c r="AO9" i="8"/>
  <c r="AO10" i="8"/>
  <c r="AO11" i="8"/>
  <c r="AO12" i="8"/>
  <c r="AO13" i="8"/>
  <c r="AO14" i="8"/>
  <c r="AO15" i="8"/>
  <c r="AO16" i="8"/>
  <c r="AO17" i="8"/>
  <c r="AO18" i="8"/>
  <c r="AO19" i="8"/>
  <c r="AO20" i="8"/>
  <c r="AO21" i="8"/>
  <c r="AO22" i="8"/>
  <c r="AO23" i="8"/>
  <c r="AO24" i="8"/>
  <c r="AO25" i="8"/>
  <c r="AO26" i="8"/>
  <c r="AO27" i="8"/>
  <c r="AO28" i="8"/>
  <c r="AO29" i="8"/>
  <c r="AO30" i="8"/>
  <c r="AO31" i="8"/>
  <c r="AO32" i="8"/>
  <c r="AO33" i="8"/>
  <c r="AO34" i="8"/>
  <c r="AO35" i="8"/>
  <c r="AO36" i="8"/>
  <c r="AO37" i="8"/>
  <c r="AO5" i="8"/>
  <c r="AN5" i="8"/>
  <c r="AN6" i="8"/>
  <c r="AN7" i="8"/>
  <c r="AN8" i="8"/>
  <c r="AN9" i="8"/>
  <c r="AN10" i="8"/>
  <c r="AN11" i="8"/>
  <c r="AN12" i="8"/>
  <c r="AN13" i="8"/>
  <c r="AN14" i="8"/>
  <c r="AN15" i="8"/>
  <c r="AN16" i="8"/>
  <c r="AN17" i="8"/>
  <c r="AN18" i="8"/>
  <c r="AN19" i="8"/>
  <c r="AN20" i="8"/>
  <c r="AN21" i="8"/>
  <c r="AN22" i="8"/>
  <c r="AN23" i="8"/>
  <c r="AN24" i="8"/>
  <c r="AN25" i="8"/>
  <c r="AN26" i="8"/>
  <c r="AN27" i="8"/>
  <c r="AN28" i="8"/>
  <c r="AN29" i="8"/>
  <c r="AN30" i="8"/>
  <c r="AN31" i="8"/>
  <c r="AN32" i="8"/>
  <c r="AN33" i="8"/>
  <c r="AN34" i="8"/>
  <c r="AN35" i="8"/>
  <c r="AN36" i="8"/>
  <c r="AN37" i="8"/>
  <c r="AN4" i="8"/>
  <c r="AI38" i="8"/>
  <c r="AH37" i="8"/>
  <c r="AH38" i="8"/>
  <c r="AG36" i="8"/>
  <c r="AG37" i="8"/>
  <c r="AG38" i="8"/>
  <c r="AF35" i="8"/>
  <c r="AF36" i="8"/>
  <c r="AF37" i="8"/>
  <c r="AF38" i="8"/>
  <c r="AE34" i="8"/>
  <c r="AE35" i="8"/>
  <c r="AE36" i="8"/>
  <c r="AE37" i="8"/>
  <c r="AE38" i="8"/>
  <c r="AD33" i="8"/>
  <c r="AD34" i="8"/>
  <c r="AD35" i="8"/>
  <c r="AD36" i="8"/>
  <c r="AD37" i="8"/>
  <c r="AD38" i="8"/>
  <c r="AC32" i="8"/>
  <c r="AC33" i="8"/>
  <c r="AC34" i="8"/>
  <c r="AC35" i="8"/>
  <c r="AC36" i="8"/>
  <c r="AC37" i="8"/>
  <c r="AC38" i="8"/>
  <c r="AB38" i="8"/>
  <c r="AB31" i="8"/>
  <c r="AB32" i="8"/>
  <c r="AB33" i="8"/>
  <c r="AB34" i="8"/>
  <c r="AB35" i="8"/>
  <c r="AB36" i="8"/>
  <c r="AB37" i="8"/>
  <c r="AA30" i="8"/>
  <c r="AA31" i="8"/>
  <c r="AA32" i="8"/>
  <c r="AA33" i="8"/>
  <c r="AA34" i="8"/>
  <c r="AA35" i="8"/>
  <c r="AA36" i="8"/>
  <c r="AA37" i="8"/>
  <c r="AA38" i="8"/>
  <c r="Z29" i="8"/>
  <c r="Z30" i="8"/>
  <c r="Z31" i="8"/>
  <c r="Z32" i="8"/>
  <c r="Z33" i="8"/>
  <c r="Z34" i="8"/>
  <c r="Z35" i="8"/>
  <c r="Z36" i="8"/>
  <c r="Z37" i="8"/>
  <c r="Z38" i="8"/>
  <c r="Y28" i="8"/>
  <c r="Y29" i="8"/>
  <c r="Y30" i="8"/>
  <c r="Y31" i="8"/>
  <c r="Y32" i="8"/>
  <c r="Y33" i="8"/>
  <c r="Y34" i="8"/>
  <c r="Y35" i="8"/>
  <c r="Y36" i="8"/>
  <c r="Y37" i="8"/>
  <c r="Y38" i="8"/>
  <c r="X27" i="8"/>
  <c r="X28" i="8"/>
  <c r="X29" i="8"/>
  <c r="X30" i="8"/>
  <c r="X31" i="8"/>
  <c r="X32" i="8"/>
  <c r="X33" i="8"/>
  <c r="X34" i="8"/>
  <c r="X35" i="8"/>
  <c r="X36" i="8"/>
  <c r="X37" i="8"/>
  <c r="X38" i="8"/>
  <c r="W26" i="8"/>
  <c r="W27" i="8"/>
  <c r="W28" i="8"/>
  <c r="W29" i="8"/>
  <c r="W30" i="8"/>
  <c r="W31" i="8"/>
  <c r="W32" i="8"/>
  <c r="W33" i="8"/>
  <c r="W34" i="8"/>
  <c r="W35" i="8"/>
  <c r="W36" i="8"/>
  <c r="W37" i="8"/>
  <c r="W38" i="8"/>
  <c r="V25" i="8"/>
  <c r="V26" i="8"/>
  <c r="V27" i="8"/>
  <c r="V28" i="8"/>
  <c r="V29" i="8"/>
  <c r="V30" i="8"/>
  <c r="V31" i="8"/>
  <c r="V32" i="8"/>
  <c r="V33" i="8"/>
  <c r="V34" i="8"/>
  <c r="V35" i="8"/>
  <c r="V36" i="8"/>
  <c r="V37" i="8"/>
  <c r="V38" i="8"/>
  <c r="U24" i="8"/>
  <c r="U25" i="8"/>
  <c r="U26" i="8"/>
  <c r="U27" i="8"/>
  <c r="U28" i="8"/>
  <c r="U29" i="8"/>
  <c r="U30" i="8"/>
  <c r="U31" i="8"/>
  <c r="U32" i="8"/>
  <c r="U33" i="8"/>
  <c r="U34" i="8"/>
  <c r="U35" i="8"/>
  <c r="U36" i="8"/>
  <c r="U37" i="8"/>
  <c r="U38" i="8"/>
  <c r="T23" i="8"/>
  <c r="T24" i="8"/>
  <c r="T25" i="8"/>
  <c r="T26" i="8"/>
  <c r="T27" i="8"/>
  <c r="T28" i="8"/>
  <c r="T29" i="8"/>
  <c r="T30" i="8"/>
  <c r="T31" i="8"/>
  <c r="T32" i="8"/>
  <c r="T33" i="8"/>
  <c r="T34" i="8"/>
  <c r="T35" i="8"/>
  <c r="T36" i="8"/>
  <c r="T37" i="8"/>
  <c r="T38" i="8"/>
  <c r="S22" i="8"/>
  <c r="S23" i="8"/>
  <c r="S24" i="8"/>
  <c r="S25" i="8"/>
  <c r="S26" i="8"/>
  <c r="S27" i="8"/>
  <c r="S28" i="8"/>
  <c r="S29" i="8"/>
  <c r="S30" i="8"/>
  <c r="S31" i="8"/>
  <c r="S32" i="8"/>
  <c r="S33" i="8"/>
  <c r="S34" i="8"/>
  <c r="S35" i="8"/>
  <c r="S36" i="8"/>
  <c r="S37" i="8"/>
  <c r="S38" i="8"/>
  <c r="R21" i="8"/>
  <c r="R22" i="8"/>
  <c r="R23" i="8"/>
  <c r="R24" i="8"/>
  <c r="R25" i="8"/>
  <c r="R26" i="8"/>
  <c r="R27" i="8"/>
  <c r="R28" i="8"/>
  <c r="R29" i="8"/>
  <c r="R30" i="8"/>
  <c r="R31" i="8"/>
  <c r="R32" i="8"/>
  <c r="R33" i="8"/>
  <c r="R34" i="8"/>
  <c r="R35" i="8"/>
  <c r="R36" i="8"/>
  <c r="R37" i="8"/>
  <c r="R38" i="8"/>
  <c r="Q20" i="8"/>
  <c r="Q21" i="8"/>
  <c r="Q22" i="8"/>
  <c r="Q23" i="8"/>
  <c r="Q24" i="8"/>
  <c r="Q25" i="8"/>
  <c r="Q26" i="8"/>
  <c r="Q27" i="8"/>
  <c r="Q28" i="8"/>
  <c r="Q29" i="8"/>
  <c r="Q30" i="8"/>
  <c r="Q31" i="8"/>
  <c r="Q32" i="8"/>
  <c r="Q33" i="8"/>
  <c r="Q34" i="8"/>
  <c r="Q35" i="8"/>
  <c r="Q36" i="8"/>
  <c r="Q37" i="8"/>
  <c r="Q38" i="8"/>
  <c r="P19" i="8"/>
  <c r="P20" i="8"/>
  <c r="P21" i="8"/>
  <c r="P22" i="8"/>
  <c r="P23" i="8"/>
  <c r="P24" i="8"/>
  <c r="P25" i="8"/>
  <c r="P26" i="8"/>
  <c r="P27" i="8"/>
  <c r="P28" i="8"/>
  <c r="P29" i="8"/>
  <c r="P30" i="8"/>
  <c r="P31" i="8"/>
  <c r="P32" i="8"/>
  <c r="P33" i="8"/>
  <c r="P34" i="8"/>
  <c r="P35" i="8"/>
  <c r="P36" i="8"/>
  <c r="P37" i="8"/>
  <c r="P38" i="8"/>
  <c r="O18" i="8"/>
  <c r="O19" i="8"/>
  <c r="O20" i="8"/>
  <c r="O21" i="8"/>
  <c r="O22" i="8"/>
  <c r="O23" i="8"/>
  <c r="O24" i="8"/>
  <c r="O25" i="8"/>
  <c r="O26" i="8"/>
  <c r="O27" i="8"/>
  <c r="O28" i="8"/>
  <c r="O29" i="8"/>
  <c r="O30" i="8"/>
  <c r="O31" i="8"/>
  <c r="O32" i="8"/>
  <c r="O33" i="8"/>
  <c r="O34" i="8"/>
  <c r="O35" i="8"/>
  <c r="O36" i="8"/>
  <c r="O37" i="8"/>
  <c r="O38" i="8"/>
  <c r="N17" i="8"/>
  <c r="N18" i="8"/>
  <c r="N19" i="8"/>
  <c r="N20" i="8"/>
  <c r="N21" i="8"/>
  <c r="N22" i="8"/>
  <c r="N23" i="8"/>
  <c r="N24" i="8"/>
  <c r="N25" i="8"/>
  <c r="N26" i="8"/>
  <c r="N27" i="8"/>
  <c r="N28" i="8"/>
  <c r="N29" i="8"/>
  <c r="N30" i="8"/>
  <c r="N31" i="8"/>
  <c r="N32" i="8"/>
  <c r="N33" i="8"/>
  <c r="N34" i="8"/>
  <c r="N35" i="8"/>
  <c r="N36" i="8"/>
  <c r="N37" i="8"/>
  <c r="N38" i="8"/>
  <c r="M16" i="8"/>
  <c r="M17" i="8"/>
  <c r="M18" i="8"/>
  <c r="M19" i="8"/>
  <c r="M20" i="8"/>
  <c r="M21" i="8"/>
  <c r="M22" i="8"/>
  <c r="M23" i="8"/>
  <c r="M24" i="8"/>
  <c r="M25" i="8"/>
  <c r="M26" i="8"/>
  <c r="M27" i="8"/>
  <c r="M28" i="8"/>
  <c r="M29" i="8"/>
  <c r="M30" i="8"/>
  <c r="M31" i="8"/>
  <c r="M32" i="8"/>
  <c r="M33" i="8"/>
  <c r="M34" i="8"/>
  <c r="M35" i="8"/>
  <c r="M36" i="8"/>
  <c r="M37" i="8"/>
  <c r="M38" i="8"/>
  <c r="AJ38" i="8"/>
  <c r="AI37" i="8"/>
  <c r="AH36" i="8"/>
  <c r="AG35" i="8"/>
  <c r="AF34" i="8"/>
  <c r="AE33" i="8"/>
  <c r="AD32" i="8"/>
  <c r="AC31" i="8"/>
  <c r="AB30" i="8"/>
  <c r="AA29" i="8"/>
  <c r="Z28" i="8"/>
  <c r="Y27" i="8"/>
  <c r="X26" i="8"/>
  <c r="W25" i="8"/>
  <c r="V24" i="8"/>
  <c r="U23" i="8"/>
  <c r="T22" i="8"/>
  <c r="S21" i="8"/>
  <c r="R20" i="8"/>
  <c r="Q19" i="8"/>
  <c r="P18" i="8"/>
  <c r="O17" i="8"/>
  <c r="N16" i="8"/>
  <c r="C7" i="8"/>
  <c r="B4" i="8"/>
  <c r="B6" i="8"/>
  <c r="M15" i="8"/>
  <c r="L15" i="8"/>
  <c r="L16" i="8"/>
  <c r="L17" i="8"/>
  <c r="L18" i="8"/>
  <c r="L19" i="8"/>
  <c r="L20" i="8"/>
  <c r="L21" i="8"/>
  <c r="L22" i="8"/>
  <c r="L23" i="8"/>
  <c r="L24" i="8"/>
  <c r="L25" i="8"/>
  <c r="L26" i="8"/>
  <c r="L27" i="8"/>
  <c r="L28" i="8"/>
  <c r="L29" i="8"/>
  <c r="L30" i="8"/>
  <c r="L31" i="8"/>
  <c r="L32" i="8"/>
  <c r="L33" i="8"/>
  <c r="L34" i="8"/>
  <c r="L35" i="8"/>
  <c r="L36" i="8"/>
  <c r="L37" i="8"/>
  <c r="L38" i="8"/>
  <c r="L14" i="8"/>
  <c r="K13" i="8"/>
  <c r="K14" i="8"/>
  <c r="K15" i="8"/>
  <c r="K16" i="8"/>
  <c r="K17" i="8"/>
  <c r="K18" i="8"/>
  <c r="K19" i="8"/>
  <c r="K20" i="8"/>
  <c r="K21" i="8"/>
  <c r="K22" i="8"/>
  <c r="K23" i="8"/>
  <c r="K24" i="8"/>
  <c r="K25" i="8"/>
  <c r="K26" i="8"/>
  <c r="K27" i="8"/>
  <c r="K28" i="8"/>
  <c r="K29" i="8"/>
  <c r="K30" i="8"/>
  <c r="K31" i="8"/>
  <c r="K32" i="8"/>
  <c r="K33" i="8"/>
  <c r="K34" i="8"/>
  <c r="K35" i="8"/>
  <c r="K36" i="8"/>
  <c r="K37" i="8"/>
  <c r="K38" i="8"/>
  <c r="J12" i="8"/>
  <c r="J13" i="8"/>
  <c r="J14" i="8"/>
  <c r="J15" i="8"/>
  <c r="J16" i="8"/>
  <c r="J17" i="8"/>
  <c r="J18" i="8"/>
  <c r="J19" i="8"/>
  <c r="J20" i="8"/>
  <c r="J21" i="8"/>
  <c r="J22" i="8"/>
  <c r="J23" i="8"/>
  <c r="J24" i="8"/>
  <c r="J25" i="8"/>
  <c r="J26" i="8"/>
  <c r="J27" i="8"/>
  <c r="J28" i="8"/>
  <c r="J29" i="8"/>
  <c r="J30" i="8"/>
  <c r="J31" i="8"/>
  <c r="J32" i="8"/>
  <c r="J33" i="8"/>
  <c r="J34" i="8"/>
  <c r="J35" i="8"/>
  <c r="J36" i="8"/>
  <c r="J37" i="8"/>
  <c r="J38"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B5" i="8"/>
  <c r="C5" i="8"/>
  <c r="C6" i="8"/>
  <c r="B7" i="8"/>
  <c r="B8" i="8"/>
  <c r="C8" i="8"/>
  <c r="B9" i="8"/>
  <c r="C9" i="8"/>
  <c r="B10" i="8"/>
  <c r="C10" i="8"/>
  <c r="B11" i="8"/>
  <c r="C11" i="8"/>
  <c r="B12" i="8"/>
  <c r="C12" i="8"/>
  <c r="B13" i="8"/>
  <c r="C13" i="8"/>
  <c r="B14" i="8"/>
  <c r="C14" i="8"/>
  <c r="B15" i="8"/>
  <c r="C15" i="8"/>
  <c r="B16" i="8"/>
  <c r="C16" i="8"/>
  <c r="B17" i="8"/>
  <c r="C17" i="8"/>
  <c r="B18" i="8"/>
  <c r="C18" i="8"/>
  <c r="B19" i="8"/>
  <c r="C19" i="8"/>
  <c r="B20" i="8"/>
  <c r="C20" i="8"/>
  <c r="B21" i="8"/>
  <c r="C21" i="8"/>
  <c r="B22" i="8"/>
  <c r="C22" i="8"/>
  <c r="B23" i="8"/>
  <c r="C23" i="8"/>
  <c r="B24" i="8"/>
  <c r="C24" i="8"/>
  <c r="B25" i="8"/>
  <c r="C25" i="8"/>
  <c r="B26" i="8"/>
  <c r="C26" i="8"/>
  <c r="B27" i="8"/>
  <c r="C27" i="8"/>
  <c r="C28" i="8"/>
  <c r="C29" i="8"/>
  <c r="C30" i="8"/>
  <c r="C31" i="8"/>
  <c r="C32" i="8"/>
  <c r="C33" i="8"/>
  <c r="C34" i="8"/>
  <c r="C35" i="8"/>
  <c r="C36" i="8"/>
  <c r="C37" i="8"/>
  <c r="C38" i="8"/>
  <c r="B28" i="8"/>
  <c r="B29" i="8"/>
  <c r="B30" i="8"/>
  <c r="B31" i="8"/>
  <c r="B32" i="8"/>
  <c r="B33" i="8"/>
  <c r="B34" i="8"/>
  <c r="B35" i="8"/>
  <c r="B36" i="8"/>
  <c r="B37" i="8"/>
  <c r="B38" i="8"/>
  <c r="B25" i="5"/>
  <c r="B24" i="5"/>
  <c r="C3" i="5"/>
  <c r="E6" i="4"/>
  <c r="E7" i="4"/>
  <c r="E8" i="4"/>
  <c r="E9" i="4"/>
  <c r="E10" i="4"/>
  <c r="I9" i="11"/>
  <c r="B11" i="6"/>
  <c r="D2" i="6"/>
  <c r="H2" i="6"/>
  <c r="L2" i="6"/>
  <c r="P2" i="6"/>
  <c r="T2" i="6"/>
  <c r="X2" i="6"/>
  <c r="AB2" i="6"/>
  <c r="AF2" i="6"/>
  <c r="AJ2" i="6"/>
  <c r="AN2" i="6"/>
  <c r="AR2" i="6"/>
  <c r="AV2" i="6"/>
  <c r="AZ2" i="6"/>
  <c r="BD2" i="6"/>
  <c r="BH2" i="6"/>
  <c r="BL2" i="6"/>
  <c r="BP2" i="6"/>
  <c r="BT2" i="6"/>
  <c r="BX2" i="6"/>
  <c r="CB2" i="6"/>
  <c r="CF2" i="6"/>
  <c r="CJ2" i="6"/>
  <c r="CN2" i="6"/>
  <c r="CR2" i="6"/>
  <c r="CV2" i="6"/>
  <c r="CZ2" i="6"/>
  <c r="DD2" i="6"/>
  <c r="DH2" i="6"/>
  <c r="DL2" i="6"/>
  <c r="DP2" i="6"/>
  <c r="C2" i="6"/>
  <c r="W2" i="6"/>
  <c r="AM2" i="6"/>
  <c r="AY2" i="6"/>
  <c r="BK2" i="6"/>
  <c r="BW2" i="6"/>
  <c r="CI2" i="6"/>
  <c r="CU2" i="6"/>
  <c r="DC2" i="6"/>
  <c r="DO2" i="6"/>
  <c r="E2" i="6"/>
  <c r="I2" i="6"/>
  <c r="M2" i="6"/>
  <c r="Q2" i="6"/>
  <c r="U2" i="6"/>
  <c r="Y2" i="6"/>
  <c r="AC2" i="6"/>
  <c r="AG2" i="6"/>
  <c r="AK2" i="6"/>
  <c r="AO2" i="6"/>
  <c r="AS2" i="6"/>
  <c r="AW2" i="6"/>
  <c r="BA2" i="6"/>
  <c r="BE2" i="6"/>
  <c r="BI2" i="6"/>
  <c r="BM2" i="6"/>
  <c r="BQ2" i="6"/>
  <c r="BU2" i="6"/>
  <c r="BY2" i="6"/>
  <c r="CC2" i="6"/>
  <c r="CG2" i="6"/>
  <c r="CK2" i="6"/>
  <c r="CO2" i="6"/>
  <c r="CS2" i="6"/>
  <c r="CW2" i="6"/>
  <c r="DA2" i="6"/>
  <c r="DE2" i="6"/>
  <c r="DI2" i="6"/>
  <c r="DM2" i="6"/>
  <c r="DQ2" i="6"/>
  <c r="K2" i="6"/>
  <c r="S2" i="6"/>
  <c r="AA2" i="6"/>
  <c r="AI2" i="6"/>
  <c r="AU2" i="6"/>
  <c r="BG2" i="6"/>
  <c r="BS2" i="6"/>
  <c r="CE2" i="6"/>
  <c r="CQ2" i="6"/>
  <c r="DG2" i="6"/>
  <c r="DS2" i="6"/>
  <c r="F2" i="6"/>
  <c r="J2" i="6"/>
  <c r="N2" i="6"/>
  <c r="R2" i="6"/>
  <c r="V2" i="6"/>
  <c r="Z2" i="6"/>
  <c r="AD2" i="6"/>
  <c r="AH2" i="6"/>
  <c r="AL2" i="6"/>
  <c r="AP2" i="6"/>
  <c r="AT2" i="6"/>
  <c r="AX2" i="6"/>
  <c r="BB2" i="6"/>
  <c r="BF2" i="6"/>
  <c r="BJ2" i="6"/>
  <c r="BN2" i="6"/>
  <c r="BR2" i="6"/>
  <c r="BV2" i="6"/>
  <c r="BZ2" i="6"/>
  <c r="CD2" i="6"/>
  <c r="CH2" i="6"/>
  <c r="CL2" i="6"/>
  <c r="CP2" i="6"/>
  <c r="CT2" i="6"/>
  <c r="CX2" i="6"/>
  <c r="DB2" i="6"/>
  <c r="DF2" i="6"/>
  <c r="DJ2" i="6"/>
  <c r="DN2" i="6"/>
  <c r="DR2" i="6"/>
  <c r="G2" i="6"/>
  <c r="O2" i="6"/>
  <c r="AE2" i="6"/>
  <c r="AQ2" i="6"/>
  <c r="BC2" i="6"/>
  <c r="BO2" i="6"/>
  <c r="CA2" i="6"/>
  <c r="CM2" i="6"/>
  <c r="CY2" i="6"/>
  <c r="DK2" i="6"/>
  <c r="AB28" i="5"/>
  <c r="T28" i="5"/>
  <c r="X28" i="5"/>
  <c r="AC28" i="5"/>
  <c r="AG28" i="5"/>
  <c r="AK28" i="5"/>
  <c r="Q28" i="5"/>
  <c r="U28" i="5"/>
  <c r="Y28" i="5"/>
  <c r="AD28" i="5"/>
  <c r="AH28" i="5"/>
  <c r="AL28" i="5"/>
  <c r="R28" i="5"/>
  <c r="V28" i="5"/>
  <c r="Z28" i="5"/>
  <c r="AE28" i="5"/>
  <c r="AI28" i="5"/>
  <c r="AM28" i="5"/>
  <c r="S28" i="5"/>
  <c r="W28" i="5"/>
  <c r="AA28" i="5"/>
  <c r="AF28" i="5"/>
  <c r="AJ28" i="5"/>
  <c r="P28" i="5"/>
  <c r="CY4" i="6"/>
  <c r="CY3" i="6"/>
  <c r="DF4" i="6"/>
  <c r="DF3" i="6"/>
  <c r="BZ4" i="6"/>
  <c r="BZ3" i="6"/>
  <c r="N4" i="6"/>
  <c r="N3" i="6"/>
  <c r="S3" i="6"/>
  <c r="S4" i="6"/>
  <c r="CC4" i="6"/>
  <c r="CC3" i="6"/>
  <c r="AW4" i="6"/>
  <c r="AW3" i="6"/>
  <c r="DO4" i="6"/>
  <c r="DO3" i="6"/>
  <c r="DH3" i="6"/>
  <c r="DH4" i="6"/>
  <c r="AV3" i="6"/>
  <c r="AV4" i="6"/>
  <c r="CM4" i="6"/>
  <c r="CM3" i="6"/>
  <c r="AQ4" i="6"/>
  <c r="AQ3" i="6"/>
  <c r="DR4" i="6"/>
  <c r="DR3" i="6"/>
  <c r="DB4" i="6"/>
  <c r="DB3" i="6"/>
  <c r="CL4" i="6"/>
  <c r="CL3" i="6"/>
  <c r="BV4" i="6"/>
  <c r="BV3" i="6"/>
  <c r="BF4" i="6"/>
  <c r="BF3" i="6"/>
  <c r="AP4" i="6"/>
  <c r="AP3" i="6"/>
  <c r="Z4" i="6"/>
  <c r="Z3" i="6"/>
  <c r="J4" i="6"/>
  <c r="J3" i="6"/>
  <c r="CQ4" i="6"/>
  <c r="CQ3" i="6"/>
  <c r="AU4" i="6"/>
  <c r="AU3" i="6"/>
  <c r="K3" i="6"/>
  <c r="K4" i="6"/>
  <c r="DE4" i="6"/>
  <c r="DE3" i="6"/>
  <c r="CO4" i="6"/>
  <c r="CO3" i="6"/>
  <c r="BY4" i="6"/>
  <c r="BY3" i="6"/>
  <c r="BI4" i="6"/>
  <c r="BI3" i="6"/>
  <c r="AS4" i="6"/>
  <c r="AS3" i="6"/>
  <c r="AC4" i="6"/>
  <c r="AC3" i="6"/>
  <c r="M4" i="6"/>
  <c r="M3" i="6"/>
  <c r="DC4" i="6"/>
  <c r="DC3" i="6"/>
  <c r="BK4" i="6"/>
  <c r="BK3" i="6"/>
  <c r="C3" i="6"/>
  <c r="C4" i="6"/>
  <c r="DD3" i="6"/>
  <c r="DD4" i="6"/>
  <c r="CN3" i="6"/>
  <c r="CN4" i="6"/>
  <c r="BX3" i="6"/>
  <c r="BX4" i="6"/>
  <c r="BH3" i="6"/>
  <c r="BH4" i="6"/>
  <c r="AR3" i="6"/>
  <c r="AR4" i="6"/>
  <c r="AB3" i="6"/>
  <c r="AB4" i="6"/>
  <c r="L3" i="6"/>
  <c r="L4" i="6"/>
  <c r="G4" i="6"/>
  <c r="G3" i="6"/>
  <c r="BJ4" i="6"/>
  <c r="BJ3" i="6"/>
  <c r="AD4" i="6"/>
  <c r="AD5" i="6"/>
  <c r="AD3" i="6"/>
  <c r="BG4" i="6"/>
  <c r="BG3" i="6"/>
  <c r="CS4" i="6"/>
  <c r="CS3" i="6"/>
  <c r="AG4" i="6"/>
  <c r="AG3" i="6"/>
  <c r="BW4" i="6"/>
  <c r="BW3" i="6"/>
  <c r="CR3" i="6"/>
  <c r="CR4" i="6"/>
  <c r="AF3" i="6"/>
  <c r="AF4" i="6"/>
  <c r="CA4" i="6"/>
  <c r="CA3" i="6"/>
  <c r="AE4" i="6"/>
  <c r="AE5" i="6"/>
  <c r="AE3" i="6"/>
  <c r="DN4" i="6"/>
  <c r="DN3" i="6"/>
  <c r="CX4" i="6"/>
  <c r="CX3" i="6"/>
  <c r="CH4" i="6"/>
  <c r="CH3" i="6"/>
  <c r="BR4" i="6"/>
  <c r="BR3" i="6"/>
  <c r="BB4" i="6"/>
  <c r="BB3" i="6"/>
  <c r="AL4" i="6"/>
  <c r="AL3" i="6"/>
  <c r="V4" i="6"/>
  <c r="V3" i="6"/>
  <c r="F4" i="6"/>
  <c r="F3" i="6"/>
  <c r="CE4" i="6"/>
  <c r="CE3" i="6"/>
  <c r="AI4" i="6"/>
  <c r="AI3" i="6"/>
  <c r="DQ4" i="6"/>
  <c r="DQ3" i="6"/>
  <c r="DA4" i="6"/>
  <c r="DA3" i="6"/>
  <c r="CK4" i="6"/>
  <c r="CK3" i="6"/>
  <c r="BU4" i="6"/>
  <c r="BU3" i="6"/>
  <c r="BE4" i="6"/>
  <c r="BE3" i="6"/>
  <c r="AO4" i="6"/>
  <c r="AO3" i="6"/>
  <c r="Y4" i="6"/>
  <c r="Y3" i="6"/>
  <c r="I4" i="6"/>
  <c r="I3" i="6"/>
  <c r="CU4" i="6"/>
  <c r="CU3" i="6"/>
  <c r="AY4" i="6"/>
  <c r="AY3" i="6"/>
  <c r="DP3" i="6"/>
  <c r="DP4" i="6"/>
  <c r="CZ3" i="6"/>
  <c r="CZ4" i="6"/>
  <c r="CJ3" i="6"/>
  <c r="CJ4" i="6"/>
  <c r="BT3" i="6"/>
  <c r="BT4" i="6"/>
  <c r="BD3" i="6"/>
  <c r="BD4" i="6"/>
  <c r="AN3" i="6"/>
  <c r="AN4" i="6"/>
  <c r="X3" i="6"/>
  <c r="X4" i="6"/>
  <c r="H3" i="6"/>
  <c r="H4" i="6"/>
  <c r="BC4" i="6"/>
  <c r="BC5" i="6"/>
  <c r="BC3" i="6"/>
  <c r="CP4" i="6"/>
  <c r="CP5" i="6"/>
  <c r="CP3" i="6"/>
  <c r="AT4" i="6"/>
  <c r="AT5" i="6"/>
  <c r="AT3" i="6"/>
  <c r="DG4" i="6"/>
  <c r="DG3" i="6"/>
  <c r="DI4" i="6"/>
  <c r="DI5" i="6"/>
  <c r="DI3" i="6"/>
  <c r="BM4" i="6"/>
  <c r="BM3" i="6"/>
  <c r="Q4" i="6"/>
  <c r="Q3" i="6"/>
  <c r="W4" i="6"/>
  <c r="W3" i="6"/>
  <c r="CB3" i="6"/>
  <c r="CB4" i="6"/>
  <c r="BL3" i="6"/>
  <c r="BL4" i="6"/>
  <c r="P3" i="6"/>
  <c r="P4" i="6"/>
  <c r="DK4" i="6"/>
  <c r="DK3" i="6"/>
  <c r="BO4" i="6"/>
  <c r="BO3" i="6"/>
  <c r="O4" i="6"/>
  <c r="O3" i="6"/>
  <c r="DJ4" i="6"/>
  <c r="DJ5" i="6"/>
  <c r="DJ3" i="6"/>
  <c r="CT4" i="6"/>
  <c r="CT5" i="6"/>
  <c r="CT3" i="6"/>
  <c r="CD4" i="6"/>
  <c r="CD5" i="6"/>
  <c r="CD3" i="6"/>
  <c r="BN4" i="6"/>
  <c r="BN5" i="6"/>
  <c r="BN3" i="6"/>
  <c r="AX4" i="6"/>
  <c r="AX3" i="6"/>
  <c r="AH4" i="6"/>
  <c r="AH3" i="6"/>
  <c r="R4" i="6"/>
  <c r="R5" i="6"/>
  <c r="R3" i="6"/>
  <c r="DS4" i="6"/>
  <c r="DS5" i="6"/>
  <c r="DS3" i="6"/>
  <c r="BS4" i="6"/>
  <c r="BS3" i="6"/>
  <c r="AA4" i="6"/>
  <c r="AA5" i="6"/>
  <c r="AA3" i="6"/>
  <c r="DM4" i="6"/>
  <c r="DM3" i="6"/>
  <c r="CW4" i="6"/>
  <c r="CW3" i="6"/>
  <c r="CG4" i="6"/>
  <c r="CG3" i="6"/>
  <c r="BQ4" i="6"/>
  <c r="BQ3" i="6"/>
  <c r="BA4" i="6"/>
  <c r="BA3" i="6"/>
  <c r="AK4" i="6"/>
  <c r="AK3" i="6"/>
  <c r="U4" i="6"/>
  <c r="U3" i="6"/>
  <c r="E4" i="6"/>
  <c r="E3" i="6"/>
  <c r="CI4" i="6"/>
  <c r="CI5" i="6"/>
  <c r="CI3" i="6"/>
  <c r="AM4" i="6"/>
  <c r="AM5" i="6"/>
  <c r="AM3" i="6"/>
  <c r="DL3" i="6"/>
  <c r="DL4" i="6"/>
  <c r="CV3" i="6"/>
  <c r="CV4" i="6"/>
  <c r="CF3" i="6"/>
  <c r="CF4" i="6"/>
  <c r="BP3" i="6"/>
  <c r="BP4" i="6"/>
  <c r="AZ3" i="6"/>
  <c r="AZ4" i="6"/>
  <c r="AJ3" i="6"/>
  <c r="AJ4" i="6"/>
  <c r="T3" i="6"/>
  <c r="T4" i="6"/>
  <c r="D3" i="6"/>
  <c r="D4" i="6"/>
  <c r="D5" i="6"/>
  <c r="AX5" i="6"/>
  <c r="AX13" i="6"/>
  <c r="BS5" i="6"/>
  <c r="BS11" i="6"/>
  <c r="CA5" i="6"/>
  <c r="CA11" i="6"/>
  <c r="CZ5" i="6"/>
  <c r="CZ13" i="6"/>
  <c r="BG5" i="6"/>
  <c r="BG9" i="6"/>
  <c r="CN5" i="6"/>
  <c r="BJ5" i="6"/>
  <c r="BJ3" i="5"/>
  <c r="AA10" i="6"/>
  <c r="AA13" i="6"/>
  <c r="AA11" i="6"/>
  <c r="AA9" i="6"/>
  <c r="AA12" i="6"/>
  <c r="AA7" i="6"/>
  <c r="AA8" i="6"/>
  <c r="DS6" i="6"/>
  <c r="DS13" i="6"/>
  <c r="DS9" i="6"/>
  <c r="DS10" i="6"/>
  <c r="DS11" i="6"/>
  <c r="DS12" i="6"/>
  <c r="DS7" i="6"/>
  <c r="DS8" i="6"/>
  <c r="BN6" i="6"/>
  <c r="BN13" i="6"/>
  <c r="BN10" i="6"/>
  <c r="BN9" i="6"/>
  <c r="BN11" i="6"/>
  <c r="BN12" i="6"/>
  <c r="BN7" i="6"/>
  <c r="BN8" i="6"/>
  <c r="CT6" i="6"/>
  <c r="CT13" i="6"/>
  <c r="CT10" i="6"/>
  <c r="CT9" i="6"/>
  <c r="CT12" i="6"/>
  <c r="CT11" i="6"/>
  <c r="CT7" i="6"/>
  <c r="CT8" i="6"/>
  <c r="CP6" i="6"/>
  <c r="CP13" i="6"/>
  <c r="CP12" i="6"/>
  <c r="CP10" i="6"/>
  <c r="CP9" i="6"/>
  <c r="CP11" i="6"/>
  <c r="CP7" i="6"/>
  <c r="CP8" i="6"/>
  <c r="AE11" i="6"/>
  <c r="AE9" i="6"/>
  <c r="AE12" i="6"/>
  <c r="AE10" i="6"/>
  <c r="AE13" i="6"/>
  <c r="AE7" i="6"/>
  <c r="AE8" i="6"/>
  <c r="AD10" i="6"/>
  <c r="AD11" i="6"/>
  <c r="AD9" i="6"/>
  <c r="AD12" i="6"/>
  <c r="AD13" i="6"/>
  <c r="AD7" i="6"/>
  <c r="AD8" i="6"/>
  <c r="AM13" i="6"/>
  <c r="AM12" i="6"/>
  <c r="AM11" i="6"/>
  <c r="AM9" i="6"/>
  <c r="AM10" i="6"/>
  <c r="AM7" i="6"/>
  <c r="AM8" i="6"/>
  <c r="CI6" i="6"/>
  <c r="CI13" i="6"/>
  <c r="CI10" i="6"/>
  <c r="CI11" i="6"/>
  <c r="CI9" i="6"/>
  <c r="CI12" i="6"/>
  <c r="CI7" i="6"/>
  <c r="CI8" i="6"/>
  <c r="BS9" i="6"/>
  <c r="BS10" i="6"/>
  <c r="R6" i="6"/>
  <c r="R10" i="6"/>
  <c r="R9" i="6"/>
  <c r="R12" i="6"/>
  <c r="R13" i="6"/>
  <c r="R11" i="6"/>
  <c r="R7" i="6"/>
  <c r="R8" i="6"/>
  <c r="AX10" i="6"/>
  <c r="AX11" i="6"/>
  <c r="CD6" i="6"/>
  <c r="CD13" i="6"/>
  <c r="CD11" i="6"/>
  <c r="CD10" i="6"/>
  <c r="CD9" i="6"/>
  <c r="CD12" i="6"/>
  <c r="CD7" i="6"/>
  <c r="CD8" i="6"/>
  <c r="DJ6" i="6"/>
  <c r="DJ13" i="6"/>
  <c r="DJ10" i="6"/>
  <c r="DJ9" i="6"/>
  <c r="DJ12" i="6"/>
  <c r="DJ11" i="6"/>
  <c r="DJ7" i="6"/>
  <c r="DJ8" i="6"/>
  <c r="DI6" i="6"/>
  <c r="DI13" i="6"/>
  <c r="DI12" i="6"/>
  <c r="DI10" i="6"/>
  <c r="DI9" i="6"/>
  <c r="DI11" i="6"/>
  <c r="DI7" i="6"/>
  <c r="DI8" i="6"/>
  <c r="AT3" i="5"/>
  <c r="AT6" i="6"/>
  <c r="AT13" i="6"/>
  <c r="AT12" i="6"/>
  <c r="AT10" i="6"/>
  <c r="AT9" i="6"/>
  <c r="AT11" i="6"/>
  <c r="AT7" i="6"/>
  <c r="AT8" i="6"/>
  <c r="BC3" i="5"/>
  <c r="BC6" i="6"/>
  <c r="BC13" i="6"/>
  <c r="BC11" i="6"/>
  <c r="BC12" i="6"/>
  <c r="BC10" i="6"/>
  <c r="BC9" i="6"/>
  <c r="BC7" i="6"/>
  <c r="BC8" i="6"/>
  <c r="D10" i="6"/>
  <c r="D9" i="6"/>
  <c r="D12" i="6"/>
  <c r="D11" i="6"/>
  <c r="D13" i="6"/>
  <c r="D8" i="6"/>
  <c r="D7" i="6"/>
  <c r="CN6" i="6"/>
  <c r="CN13" i="6"/>
  <c r="CN10" i="6"/>
  <c r="CN12" i="6"/>
  <c r="CN9" i="6"/>
  <c r="CN11" i="6"/>
  <c r="CN7" i="6"/>
  <c r="CN8" i="6"/>
  <c r="D6" i="6"/>
  <c r="AM3" i="5"/>
  <c r="AM7" i="5"/>
  <c r="AM6" i="6"/>
  <c r="AA3" i="5"/>
  <c r="AA4" i="5"/>
  <c r="AA6" i="6"/>
  <c r="AE3" i="5"/>
  <c r="AE11" i="5"/>
  <c r="AE6" i="6"/>
  <c r="AD3" i="5"/>
  <c r="AD4" i="5"/>
  <c r="AD6" i="6"/>
  <c r="H5" i="6"/>
  <c r="H3" i="5"/>
  <c r="AJ5" i="6"/>
  <c r="BO5" i="6"/>
  <c r="AG5" i="6"/>
  <c r="R3" i="5"/>
  <c r="BP5" i="6"/>
  <c r="BL5" i="6"/>
  <c r="DA5" i="6"/>
  <c r="BW5" i="6"/>
  <c r="DC5" i="6"/>
  <c r="T5" i="6"/>
  <c r="AZ5" i="6"/>
  <c r="CF5" i="6"/>
  <c r="DL5" i="6"/>
  <c r="P5" i="6"/>
  <c r="CB5" i="6"/>
  <c r="X5" i="6"/>
  <c r="BD5" i="6"/>
  <c r="CJ5" i="6"/>
  <c r="DP5" i="6"/>
  <c r="CR5" i="6"/>
  <c r="L5" i="6"/>
  <c r="AR5" i="6"/>
  <c r="BX5" i="6"/>
  <c r="DD5" i="6"/>
  <c r="AV5" i="6"/>
  <c r="CV5" i="6"/>
  <c r="AH5" i="6"/>
  <c r="O5" i="6"/>
  <c r="W5" i="6"/>
  <c r="BM5" i="6"/>
  <c r="DG5" i="6"/>
  <c r="I5" i="6"/>
  <c r="AO5" i="6"/>
  <c r="BU5" i="6"/>
  <c r="U5" i="6"/>
  <c r="BA5" i="6"/>
  <c r="CG5" i="6"/>
  <c r="DM5" i="6"/>
  <c r="Q5" i="6"/>
  <c r="CU5" i="6"/>
  <c r="Y5" i="6"/>
  <c r="BE5" i="6"/>
  <c r="CK5" i="6"/>
  <c r="DQ5" i="6"/>
  <c r="CE5" i="6"/>
  <c r="V5" i="6"/>
  <c r="BB5" i="6"/>
  <c r="CH5" i="6"/>
  <c r="DN5" i="6"/>
  <c r="BK5" i="6"/>
  <c r="M5" i="6"/>
  <c r="AS5" i="6"/>
  <c r="BY5" i="6"/>
  <c r="DE5" i="6"/>
  <c r="AU5" i="6"/>
  <c r="J5" i="6"/>
  <c r="AP5" i="6"/>
  <c r="BV5" i="6"/>
  <c r="DB5" i="6"/>
  <c r="AQ5" i="6"/>
  <c r="DO5" i="6"/>
  <c r="CC5" i="6"/>
  <c r="N5" i="6"/>
  <c r="DF5" i="6"/>
  <c r="D3" i="5"/>
  <c r="AN5" i="6"/>
  <c r="BT5" i="6"/>
  <c r="AF5" i="6"/>
  <c r="AB5" i="6"/>
  <c r="BH5" i="6"/>
  <c r="K5" i="6"/>
  <c r="DH5" i="6"/>
  <c r="S5" i="6"/>
  <c r="E5" i="6"/>
  <c r="AK5" i="6"/>
  <c r="BQ5" i="6"/>
  <c r="CW5" i="6"/>
  <c r="DK5" i="6"/>
  <c r="AY5" i="6"/>
  <c r="AI5" i="6"/>
  <c r="F5" i="6"/>
  <c r="AL5" i="6"/>
  <c r="BR5" i="6"/>
  <c r="CX5" i="6"/>
  <c r="CS5" i="6"/>
  <c r="G5" i="6"/>
  <c r="AC5" i="6"/>
  <c r="BI5" i="6"/>
  <c r="CO5" i="6"/>
  <c r="CQ5" i="6"/>
  <c r="Z5" i="6"/>
  <c r="BF5" i="6"/>
  <c r="CL5" i="6"/>
  <c r="DR5" i="6"/>
  <c r="CM5" i="6"/>
  <c r="AW5" i="6"/>
  <c r="BZ5" i="6"/>
  <c r="CY5" i="6"/>
  <c r="CA12" i="6"/>
  <c r="CA9" i="6"/>
  <c r="CA13" i="6"/>
  <c r="CA7" i="6"/>
  <c r="CA10" i="6"/>
  <c r="CA6" i="6"/>
  <c r="CA8" i="6"/>
  <c r="BS13" i="6"/>
  <c r="BS7" i="6"/>
  <c r="CZ11" i="6"/>
  <c r="AM5" i="5"/>
  <c r="AM8" i="5"/>
  <c r="CZ6" i="6"/>
  <c r="AE6" i="5"/>
  <c r="BG12" i="6"/>
  <c r="AX8" i="6"/>
  <c r="AX6" i="6"/>
  <c r="BS12" i="6"/>
  <c r="BS6" i="6"/>
  <c r="BG13" i="6"/>
  <c r="AX7" i="6"/>
  <c r="BS8" i="6"/>
  <c r="AE4" i="5"/>
  <c r="AE8" i="5"/>
  <c r="AM9" i="5"/>
  <c r="AX9" i="6"/>
  <c r="AX3" i="5"/>
  <c r="AX11" i="5"/>
  <c r="AE10" i="5"/>
  <c r="AM10" i="5"/>
  <c r="AX12" i="6"/>
  <c r="CZ8" i="6"/>
  <c r="CZ9" i="6"/>
  <c r="CZ7" i="6"/>
  <c r="CZ12" i="6"/>
  <c r="CZ10" i="6"/>
  <c r="BG10" i="6"/>
  <c r="BG6" i="6"/>
  <c r="BG8" i="6"/>
  <c r="BG11" i="6"/>
  <c r="BG3" i="5"/>
  <c r="BG9" i="5"/>
  <c r="BG7" i="6"/>
  <c r="BJ7" i="6"/>
  <c r="BJ12" i="6"/>
  <c r="BJ9" i="6"/>
  <c r="BJ13" i="6"/>
  <c r="BJ10" i="6"/>
  <c r="BJ6" i="6"/>
  <c r="BJ8" i="6"/>
  <c r="BJ11" i="6"/>
  <c r="AA6" i="5"/>
  <c r="AA11" i="5"/>
  <c r="AD13" i="5"/>
  <c r="AD19" i="5"/>
  <c r="AD39" i="5"/>
  <c r="CQ6" i="6"/>
  <c r="CQ13" i="6"/>
  <c r="CQ10" i="6"/>
  <c r="CQ9" i="6"/>
  <c r="CQ11" i="6"/>
  <c r="CQ12" i="6"/>
  <c r="CQ7" i="6"/>
  <c r="CQ8" i="6"/>
  <c r="DK6" i="6"/>
  <c r="DK13" i="6"/>
  <c r="DK12" i="6"/>
  <c r="DK9" i="6"/>
  <c r="DK10" i="6"/>
  <c r="DK11" i="6"/>
  <c r="DK8" i="6"/>
  <c r="DK7" i="6"/>
  <c r="AN3" i="5"/>
  <c r="AN6" i="6"/>
  <c r="C29" i="6"/>
  <c r="AN10" i="6"/>
  <c r="AN13" i="6"/>
  <c r="AN12" i="6"/>
  <c r="AN9" i="6"/>
  <c r="AN11" i="6"/>
  <c r="AN7" i="6"/>
  <c r="AN8" i="6"/>
  <c r="DB6" i="6"/>
  <c r="DB13" i="6"/>
  <c r="DB10" i="6"/>
  <c r="DB9" i="6"/>
  <c r="DB12" i="6"/>
  <c r="DB11" i="6"/>
  <c r="DB7" i="6"/>
  <c r="DB8" i="6"/>
  <c r="M6" i="6"/>
  <c r="M13" i="6"/>
  <c r="M9" i="6"/>
  <c r="M12" i="6"/>
  <c r="M10" i="6"/>
  <c r="M11" i="6"/>
  <c r="M7" i="6"/>
  <c r="M8" i="6"/>
  <c r="BB3" i="5"/>
  <c r="BB6" i="6"/>
  <c r="BB13" i="6"/>
  <c r="BB11" i="6"/>
  <c r="BB12" i="6"/>
  <c r="BB10" i="6"/>
  <c r="BB9" i="6"/>
  <c r="BB7" i="6"/>
  <c r="BB8" i="6"/>
  <c r="CK6" i="6"/>
  <c r="CK13" i="6"/>
  <c r="CK12" i="6"/>
  <c r="CK11" i="6"/>
  <c r="CK10" i="6"/>
  <c r="CK9" i="6"/>
  <c r="CK7" i="6"/>
  <c r="CK8" i="6"/>
  <c r="Q6" i="6"/>
  <c r="Q11" i="6"/>
  <c r="Q13" i="6"/>
  <c r="Q9" i="6"/>
  <c r="Q10" i="6"/>
  <c r="Q12" i="6"/>
  <c r="Q7" i="6"/>
  <c r="Q8" i="6"/>
  <c r="U10" i="6"/>
  <c r="U12" i="6"/>
  <c r="U11" i="6"/>
  <c r="U13" i="6"/>
  <c r="U9" i="6"/>
  <c r="U8" i="6"/>
  <c r="U7" i="6"/>
  <c r="DG6" i="6"/>
  <c r="DG13" i="6"/>
  <c r="DG10" i="6"/>
  <c r="DG9" i="6"/>
  <c r="DG11" i="6"/>
  <c r="DG12" i="6"/>
  <c r="DG8" i="6"/>
  <c r="DG7" i="6"/>
  <c r="AH10" i="6"/>
  <c r="AH11" i="6"/>
  <c r="AH9" i="6"/>
  <c r="AH12" i="6"/>
  <c r="AH13" i="6"/>
  <c r="AH7" i="6"/>
  <c r="AH8" i="6"/>
  <c r="C32" i="6"/>
  <c r="BX6" i="6"/>
  <c r="BX13" i="6"/>
  <c r="BX10" i="6"/>
  <c r="BX12" i="6"/>
  <c r="BX9" i="6"/>
  <c r="BX11" i="6"/>
  <c r="BX7" i="6"/>
  <c r="BX8" i="6"/>
  <c r="DP6" i="6"/>
  <c r="DP13" i="6"/>
  <c r="DP12" i="6"/>
  <c r="DP10" i="6"/>
  <c r="DP9" i="6"/>
  <c r="DP11" i="6"/>
  <c r="DP7" i="6"/>
  <c r="DP8" i="6"/>
  <c r="CB6" i="6"/>
  <c r="CB13" i="6"/>
  <c r="CB10" i="6"/>
  <c r="CB9" i="6"/>
  <c r="CB11" i="6"/>
  <c r="CB12" i="6"/>
  <c r="CB7" i="6"/>
  <c r="CB8" i="6"/>
  <c r="AZ3" i="5"/>
  <c r="C30" i="6"/>
  <c r="AZ6" i="6"/>
  <c r="AZ13" i="6"/>
  <c r="AZ10" i="6"/>
  <c r="AZ9" i="6"/>
  <c r="AZ11" i="6"/>
  <c r="AZ12" i="6"/>
  <c r="AZ7" i="6"/>
  <c r="AZ8" i="6"/>
  <c r="DA6" i="6"/>
  <c r="DA13" i="6"/>
  <c r="DA12" i="6"/>
  <c r="DA10" i="6"/>
  <c r="DA9" i="6"/>
  <c r="DA11" i="6"/>
  <c r="DA7" i="6"/>
  <c r="DA8" i="6"/>
  <c r="BZ6" i="6"/>
  <c r="BZ13" i="6"/>
  <c r="BZ12" i="6"/>
  <c r="BZ10" i="6"/>
  <c r="BZ9" i="6"/>
  <c r="BZ11" i="6"/>
  <c r="BZ7" i="6"/>
  <c r="BZ8" i="6"/>
  <c r="CL6" i="6"/>
  <c r="CL13" i="6"/>
  <c r="CL10" i="6"/>
  <c r="CL9" i="6"/>
  <c r="CL11" i="6"/>
  <c r="CL12" i="6"/>
  <c r="CL7" i="6"/>
  <c r="CL8" i="6"/>
  <c r="CO6" i="6"/>
  <c r="CO13" i="6"/>
  <c r="CO10" i="6"/>
  <c r="CO9" i="6"/>
  <c r="CO12" i="6"/>
  <c r="CO11" i="6"/>
  <c r="CO7" i="6"/>
  <c r="CO8" i="6"/>
  <c r="CS6" i="6"/>
  <c r="CS13" i="6"/>
  <c r="CS10" i="6"/>
  <c r="CS9" i="6"/>
  <c r="CS12" i="6"/>
  <c r="CS11" i="6"/>
  <c r="CS7" i="6"/>
  <c r="CS8" i="6"/>
  <c r="F6" i="6"/>
  <c r="F9" i="6"/>
  <c r="F12" i="6"/>
  <c r="F10" i="6"/>
  <c r="F11" i="6"/>
  <c r="F13" i="6"/>
  <c r="F8" i="6"/>
  <c r="F7" i="6"/>
  <c r="CW6" i="6"/>
  <c r="CW13" i="6"/>
  <c r="CW11" i="6"/>
  <c r="CW10" i="6"/>
  <c r="CW9" i="6"/>
  <c r="CW12" i="6"/>
  <c r="CW7" i="6"/>
  <c r="CW8" i="6"/>
  <c r="S6" i="6"/>
  <c r="S11" i="6"/>
  <c r="S9" i="6"/>
  <c r="S12" i="6"/>
  <c r="S10" i="6"/>
  <c r="S13" i="6"/>
  <c r="S8" i="6"/>
  <c r="S7" i="6"/>
  <c r="C28" i="6"/>
  <c r="AB9" i="6"/>
  <c r="AB13" i="6"/>
  <c r="AB10" i="6"/>
  <c r="AB11" i="6"/>
  <c r="AB12" i="6"/>
  <c r="AB8" i="6"/>
  <c r="AB7" i="6"/>
  <c r="CC6" i="6"/>
  <c r="CC13" i="6"/>
  <c r="CC10" i="6"/>
  <c r="CC9" i="6"/>
  <c r="CC11" i="6"/>
  <c r="CC12" i="6"/>
  <c r="CC7" i="6"/>
  <c r="CC8" i="6"/>
  <c r="BV6" i="6"/>
  <c r="BV13" i="6"/>
  <c r="BV10" i="6"/>
  <c r="BV9" i="6"/>
  <c r="BV12" i="6"/>
  <c r="BV11" i="6"/>
  <c r="BV7" i="6"/>
  <c r="BV8" i="6"/>
  <c r="DE6" i="6"/>
  <c r="DE13" i="6"/>
  <c r="DE10" i="6"/>
  <c r="DE9" i="6"/>
  <c r="DE11" i="6"/>
  <c r="DE12" i="6"/>
  <c r="DE7" i="6"/>
  <c r="DE8" i="6"/>
  <c r="BK3" i="5"/>
  <c r="BK6" i="6"/>
  <c r="BK13" i="6"/>
  <c r="BK9" i="6"/>
  <c r="BK10" i="6"/>
  <c r="BK11" i="6"/>
  <c r="BK12" i="6"/>
  <c r="BK8" i="6"/>
  <c r="BK7" i="6"/>
  <c r="V11" i="6"/>
  <c r="V9" i="6"/>
  <c r="V12" i="6"/>
  <c r="V10" i="6"/>
  <c r="V13" i="6"/>
  <c r="V8" i="6"/>
  <c r="V7" i="6"/>
  <c r="BE3" i="5"/>
  <c r="BE6" i="6"/>
  <c r="BE13" i="6"/>
  <c r="BE12" i="6"/>
  <c r="BE10" i="6"/>
  <c r="BE9" i="6"/>
  <c r="BE11" i="6"/>
  <c r="BE7" i="6"/>
  <c r="BE8" i="6"/>
  <c r="DM6" i="6"/>
  <c r="DM13" i="6"/>
  <c r="DM11" i="6"/>
  <c r="DM10" i="6"/>
  <c r="DM9" i="6"/>
  <c r="DM12" i="6"/>
  <c r="DM7" i="6"/>
  <c r="DM8" i="6"/>
  <c r="BU6" i="6"/>
  <c r="BU13" i="6"/>
  <c r="BU10" i="6"/>
  <c r="BU9" i="6"/>
  <c r="BU12" i="6"/>
  <c r="BU11" i="6"/>
  <c r="BU7" i="6"/>
  <c r="BU8" i="6"/>
  <c r="BM6" i="6"/>
  <c r="BM13" i="6"/>
  <c r="BM12" i="6"/>
  <c r="BM11" i="6"/>
  <c r="BM10" i="6"/>
  <c r="BM9" i="6"/>
  <c r="BM7" i="6"/>
  <c r="BM8" i="6"/>
  <c r="CV6" i="6"/>
  <c r="C34" i="6"/>
  <c r="CV13" i="6"/>
  <c r="CV10" i="6"/>
  <c r="CV9" i="6"/>
  <c r="CV11" i="6"/>
  <c r="CV12" i="6"/>
  <c r="CV7" i="6"/>
  <c r="CV8" i="6"/>
  <c r="AR3" i="5"/>
  <c r="AR6" i="6"/>
  <c r="AR13" i="6"/>
  <c r="AR10" i="6"/>
  <c r="AR12" i="6"/>
  <c r="AR9" i="6"/>
  <c r="AR11" i="6"/>
  <c r="AR7" i="6"/>
  <c r="AR8" i="6"/>
  <c r="C33" i="6"/>
  <c r="CJ6" i="6"/>
  <c r="CJ13" i="6"/>
  <c r="CJ12" i="6"/>
  <c r="CJ10" i="6"/>
  <c r="CJ9" i="6"/>
  <c r="CJ11" i="6"/>
  <c r="CJ7" i="6"/>
  <c r="CJ8" i="6"/>
  <c r="P6" i="6"/>
  <c r="C27" i="6"/>
  <c r="P11" i="6"/>
  <c r="P12" i="6"/>
  <c r="P10" i="6"/>
  <c r="P13" i="6"/>
  <c r="P9" i="6"/>
  <c r="P7" i="6"/>
  <c r="P8" i="6"/>
  <c r="T6" i="6"/>
  <c r="T10" i="6"/>
  <c r="T9" i="6"/>
  <c r="T11" i="6"/>
  <c r="T12" i="6"/>
  <c r="T13" i="6"/>
  <c r="T7" i="6"/>
  <c r="T8" i="6"/>
  <c r="C31" i="6"/>
  <c r="BL6" i="6"/>
  <c r="BL13" i="6"/>
  <c r="BL9" i="6"/>
  <c r="BL11" i="6"/>
  <c r="BL10" i="6"/>
  <c r="BL12" i="6"/>
  <c r="BL7" i="6"/>
  <c r="BL8" i="6"/>
  <c r="AE5" i="5"/>
  <c r="AE13" i="5"/>
  <c r="AE21" i="5"/>
  <c r="AE41" i="5"/>
  <c r="AE7" i="5"/>
  <c r="AM6" i="5"/>
  <c r="AM11" i="5"/>
  <c r="AM13" i="5"/>
  <c r="AM14" i="5"/>
  <c r="AJ10" i="6"/>
  <c r="AJ13" i="6"/>
  <c r="AJ11" i="6"/>
  <c r="AJ9" i="6"/>
  <c r="AJ12" i="6"/>
  <c r="AJ7" i="6"/>
  <c r="AJ8" i="6"/>
  <c r="BG13" i="5"/>
  <c r="DR6" i="6"/>
  <c r="DR13" i="6"/>
  <c r="DR10" i="6"/>
  <c r="DR9" i="6"/>
  <c r="DR12" i="6"/>
  <c r="DR11" i="6"/>
  <c r="DR7" i="6"/>
  <c r="DR8" i="6"/>
  <c r="E12" i="6"/>
  <c r="E11" i="6"/>
  <c r="E10" i="6"/>
  <c r="E13" i="6"/>
  <c r="E9" i="6"/>
  <c r="E8" i="6"/>
  <c r="E7" i="6"/>
  <c r="CX6" i="6"/>
  <c r="CX13" i="6"/>
  <c r="CX12" i="6"/>
  <c r="CX11" i="6"/>
  <c r="CX10" i="6"/>
  <c r="CX9" i="6"/>
  <c r="CX7" i="6"/>
  <c r="CX8" i="6"/>
  <c r="Y10" i="6"/>
  <c r="Y12" i="6"/>
  <c r="Y11" i="6"/>
  <c r="Y13" i="6"/>
  <c r="Y9" i="6"/>
  <c r="Y8" i="6"/>
  <c r="Y7" i="6"/>
  <c r="L6" i="6"/>
  <c r="L13" i="6"/>
  <c r="L10" i="6"/>
  <c r="L11" i="6"/>
  <c r="L9" i="6"/>
  <c r="L12" i="6"/>
  <c r="L8" i="6"/>
  <c r="L7" i="6"/>
  <c r="H6" i="6"/>
  <c r="H10" i="6"/>
  <c r="H13" i="6"/>
  <c r="H12" i="6"/>
  <c r="H11" i="6"/>
  <c r="H9" i="6"/>
  <c r="H8" i="6"/>
  <c r="H7" i="6"/>
  <c r="BC13" i="5"/>
  <c r="BC11" i="5"/>
  <c r="BC9" i="5"/>
  <c r="BC10" i="5"/>
  <c r="BC7" i="5"/>
  <c r="BC8" i="5"/>
  <c r="BC6" i="5"/>
  <c r="BC4" i="5"/>
  <c r="BC5" i="5"/>
  <c r="CY6" i="6"/>
  <c r="CY13" i="6"/>
  <c r="CY11" i="6"/>
  <c r="CY12" i="6"/>
  <c r="CY9" i="6"/>
  <c r="CY10" i="6"/>
  <c r="CY7" i="6"/>
  <c r="CY8" i="6"/>
  <c r="G6" i="6"/>
  <c r="G13" i="6"/>
  <c r="G12" i="6"/>
  <c r="G9" i="6"/>
  <c r="G11" i="6"/>
  <c r="G10" i="6"/>
  <c r="G7" i="6"/>
  <c r="G8" i="6"/>
  <c r="AL11" i="6"/>
  <c r="AL10" i="6"/>
  <c r="AL9" i="6"/>
  <c r="AL12" i="6"/>
  <c r="AL13" i="6"/>
  <c r="AL8" i="6"/>
  <c r="AL7" i="6"/>
  <c r="BH3" i="5"/>
  <c r="BH6" i="6"/>
  <c r="BH13" i="6"/>
  <c r="BH10" i="6"/>
  <c r="BH12" i="6"/>
  <c r="BH9" i="6"/>
  <c r="BH11" i="6"/>
  <c r="BH7" i="6"/>
  <c r="BH8" i="6"/>
  <c r="N6" i="6"/>
  <c r="N10" i="6"/>
  <c r="N9" i="6"/>
  <c r="N12" i="6"/>
  <c r="N13" i="6"/>
  <c r="N11" i="6"/>
  <c r="N7" i="6"/>
  <c r="N8" i="6"/>
  <c r="AU3" i="5"/>
  <c r="AU6" i="6"/>
  <c r="AU13" i="6"/>
  <c r="AU9" i="6"/>
  <c r="AU10" i="6"/>
  <c r="AU11" i="6"/>
  <c r="AU12" i="6"/>
  <c r="AU7" i="6"/>
  <c r="AU8" i="6"/>
  <c r="AW3" i="5"/>
  <c r="AW6" i="6"/>
  <c r="AW13" i="6"/>
  <c r="AW10" i="6"/>
  <c r="AW9" i="6"/>
  <c r="AW12" i="6"/>
  <c r="AW11" i="6"/>
  <c r="AW7" i="6"/>
  <c r="AW8" i="6"/>
  <c r="BF3" i="5"/>
  <c r="BF6" i="6"/>
  <c r="BF13" i="6"/>
  <c r="BF10" i="6"/>
  <c r="BF9" i="6"/>
  <c r="BF12" i="6"/>
  <c r="BF11" i="6"/>
  <c r="BF7" i="6"/>
  <c r="BF8" i="6"/>
  <c r="BI3" i="5"/>
  <c r="BI6" i="6"/>
  <c r="BI13" i="6"/>
  <c r="BI10" i="6"/>
  <c r="BI9" i="6"/>
  <c r="BI12" i="6"/>
  <c r="BI11" i="6"/>
  <c r="BI7" i="6"/>
  <c r="BI8" i="6"/>
  <c r="AI11" i="6"/>
  <c r="AI9" i="6"/>
  <c r="AI12" i="6"/>
  <c r="AI10" i="6"/>
  <c r="AI13" i="6"/>
  <c r="AI8" i="6"/>
  <c r="AI7" i="6"/>
  <c r="BQ6" i="6"/>
  <c r="BQ13" i="6"/>
  <c r="BQ11" i="6"/>
  <c r="BQ10" i="6"/>
  <c r="BQ9" i="6"/>
  <c r="BQ12" i="6"/>
  <c r="BQ7" i="6"/>
  <c r="BQ8" i="6"/>
  <c r="C35" i="6"/>
  <c r="DH6" i="6"/>
  <c r="DH13" i="6"/>
  <c r="DH10" i="6"/>
  <c r="DH9" i="6"/>
  <c r="DH11" i="6"/>
  <c r="DH12" i="6"/>
  <c r="DH7" i="6"/>
  <c r="DH8" i="6"/>
  <c r="AF11" i="6"/>
  <c r="AF13" i="6"/>
  <c r="AF12" i="6"/>
  <c r="AF9" i="6"/>
  <c r="AF10" i="6"/>
  <c r="AF7" i="6"/>
  <c r="AF8" i="6"/>
  <c r="DO6" i="6"/>
  <c r="DO13" i="6"/>
  <c r="DO11" i="6"/>
  <c r="DO10" i="6"/>
  <c r="DO12" i="6"/>
  <c r="DO9" i="6"/>
  <c r="DO7" i="6"/>
  <c r="DO8" i="6"/>
  <c r="AP3" i="5"/>
  <c r="AP6" i="6"/>
  <c r="AP13" i="6"/>
  <c r="AP10" i="6"/>
  <c r="AP9" i="6"/>
  <c r="AP11" i="6"/>
  <c r="AP12" i="6"/>
  <c r="AP7" i="6"/>
  <c r="AP8" i="6"/>
  <c r="BY6" i="6"/>
  <c r="BY13" i="6"/>
  <c r="BY10" i="6"/>
  <c r="BY9" i="6"/>
  <c r="BY12" i="6"/>
  <c r="BY11" i="6"/>
  <c r="BY7" i="6"/>
  <c r="BY8" i="6"/>
  <c r="DN6" i="6"/>
  <c r="DN13" i="6"/>
  <c r="DN11" i="6"/>
  <c r="DN10" i="6"/>
  <c r="DN9" i="6"/>
  <c r="DN12" i="6"/>
  <c r="DN7" i="6"/>
  <c r="DN8" i="6"/>
  <c r="CE6" i="6"/>
  <c r="CE13" i="6"/>
  <c r="CE10" i="6"/>
  <c r="CE12" i="6"/>
  <c r="CE9" i="6"/>
  <c r="CE11" i="6"/>
  <c r="CE7" i="6"/>
  <c r="CE8" i="6"/>
  <c r="CG6" i="6"/>
  <c r="CG13" i="6"/>
  <c r="CG12" i="6"/>
  <c r="CG11" i="6"/>
  <c r="CG10" i="6"/>
  <c r="CG9" i="6"/>
  <c r="CG7" i="6"/>
  <c r="CG8" i="6"/>
  <c r="AO3" i="5"/>
  <c r="AO6" i="6"/>
  <c r="AO13" i="6"/>
  <c r="AO10" i="6"/>
  <c r="AO9" i="6"/>
  <c r="AO12" i="6"/>
  <c r="AO11" i="6"/>
  <c r="AO7" i="6"/>
  <c r="AO8" i="6"/>
  <c r="W13" i="6"/>
  <c r="W12" i="6"/>
  <c r="W9" i="6"/>
  <c r="W11" i="6"/>
  <c r="W10" i="6"/>
  <c r="W7" i="6"/>
  <c r="W8" i="6"/>
  <c r="AV3" i="5"/>
  <c r="AV6" i="6"/>
  <c r="AV13" i="6"/>
  <c r="AV9" i="6"/>
  <c r="AV11" i="6"/>
  <c r="AV10" i="6"/>
  <c r="AV12" i="6"/>
  <c r="AV7" i="6"/>
  <c r="AV8" i="6"/>
  <c r="BD3" i="5"/>
  <c r="BD6" i="6"/>
  <c r="BD10" i="6"/>
  <c r="BD13" i="6"/>
  <c r="BD12" i="6"/>
  <c r="BD9" i="6"/>
  <c r="BD11" i="6"/>
  <c r="BD7" i="6"/>
  <c r="BD8" i="6"/>
  <c r="DL6" i="6"/>
  <c r="DL13" i="6"/>
  <c r="DL10" i="6"/>
  <c r="DL9" i="6"/>
  <c r="DL11" i="6"/>
  <c r="DL12" i="6"/>
  <c r="DL7" i="6"/>
  <c r="DL8" i="6"/>
  <c r="DC6" i="6"/>
  <c r="DC13" i="6"/>
  <c r="DC9" i="6"/>
  <c r="DC11" i="6"/>
  <c r="DC12" i="6"/>
  <c r="DC10" i="6"/>
  <c r="DC8" i="6"/>
  <c r="DC7" i="6"/>
  <c r="BP6" i="6"/>
  <c r="BP13" i="6"/>
  <c r="BP10" i="6"/>
  <c r="BP9" i="6"/>
  <c r="BP11" i="6"/>
  <c r="BP12" i="6"/>
  <c r="BP7" i="6"/>
  <c r="BP8" i="6"/>
  <c r="CM6" i="6"/>
  <c r="CM13" i="6"/>
  <c r="CM10" i="6"/>
  <c r="CM11" i="6"/>
  <c r="CM12" i="6"/>
  <c r="CM9" i="6"/>
  <c r="CM7" i="6"/>
  <c r="CM8" i="6"/>
  <c r="Z11" i="6"/>
  <c r="Z13" i="6"/>
  <c r="Z10" i="6"/>
  <c r="Z9" i="6"/>
  <c r="Z12" i="6"/>
  <c r="Z8" i="6"/>
  <c r="Z7" i="6"/>
  <c r="AC13" i="6"/>
  <c r="AC9" i="6"/>
  <c r="AC10" i="6"/>
  <c r="AC12" i="6"/>
  <c r="AC11" i="6"/>
  <c r="AC7" i="6"/>
  <c r="AC8" i="6"/>
  <c r="BR6" i="6"/>
  <c r="BR13" i="6"/>
  <c r="BR11" i="6"/>
  <c r="BR12" i="6"/>
  <c r="BR10" i="6"/>
  <c r="BR9" i="6"/>
  <c r="BR7" i="6"/>
  <c r="BR8" i="6"/>
  <c r="AY3" i="5"/>
  <c r="AY6" i="6"/>
  <c r="AY13" i="6"/>
  <c r="AY12" i="6"/>
  <c r="AY9" i="6"/>
  <c r="AY10" i="6"/>
  <c r="AY11" i="6"/>
  <c r="AY7" i="6"/>
  <c r="AY8" i="6"/>
  <c r="AK12" i="6"/>
  <c r="AK11" i="6"/>
  <c r="AK13" i="6"/>
  <c r="AK9" i="6"/>
  <c r="AK10" i="6"/>
  <c r="AK8" i="6"/>
  <c r="AK7" i="6"/>
  <c r="K6" i="6"/>
  <c r="K10" i="6"/>
  <c r="K13" i="6"/>
  <c r="K11" i="6"/>
  <c r="K9" i="6"/>
  <c r="K12" i="6"/>
  <c r="K8" i="6"/>
  <c r="K7" i="6"/>
  <c r="BT6" i="6"/>
  <c r="BT13" i="6"/>
  <c r="BT12" i="6"/>
  <c r="BT9" i="6"/>
  <c r="BT11" i="6"/>
  <c r="BT10" i="6"/>
  <c r="BT7" i="6"/>
  <c r="BT8" i="6"/>
  <c r="DF6" i="6"/>
  <c r="DF13" i="6"/>
  <c r="DF12" i="6"/>
  <c r="DF11" i="6"/>
  <c r="DF10" i="6"/>
  <c r="DF9" i="6"/>
  <c r="DF7" i="6"/>
  <c r="DF8" i="6"/>
  <c r="AQ6" i="6"/>
  <c r="AQ3" i="5"/>
  <c r="AQ13" i="6"/>
  <c r="AQ10" i="6"/>
  <c r="AQ11" i="6"/>
  <c r="AQ9" i="6"/>
  <c r="AQ12" i="6"/>
  <c r="AQ8" i="6"/>
  <c r="AQ7" i="6"/>
  <c r="J6" i="6"/>
  <c r="J13" i="6"/>
  <c r="J10" i="6"/>
  <c r="J11" i="6"/>
  <c r="J9" i="6"/>
  <c r="J12" i="6"/>
  <c r="J8" i="6"/>
  <c r="J7" i="6"/>
  <c r="AS3" i="5"/>
  <c r="AS6" i="6"/>
  <c r="AS13" i="6"/>
  <c r="AS10" i="6"/>
  <c r="AS9" i="6"/>
  <c r="AS12" i="6"/>
  <c r="AS11" i="6"/>
  <c r="AS7" i="6"/>
  <c r="AS8" i="6"/>
  <c r="CH6" i="6"/>
  <c r="CH13" i="6"/>
  <c r="CH12" i="6"/>
  <c r="CH11" i="6"/>
  <c r="CH10" i="6"/>
  <c r="CH9" i="6"/>
  <c r="CH7" i="6"/>
  <c r="CH8" i="6"/>
  <c r="DQ6" i="6"/>
  <c r="DQ13" i="6"/>
  <c r="DQ11" i="6"/>
  <c r="DQ12" i="6"/>
  <c r="DQ10" i="6"/>
  <c r="DQ9" i="6"/>
  <c r="DQ7" i="6"/>
  <c r="DQ8" i="6"/>
  <c r="CU6" i="6"/>
  <c r="CU13" i="6"/>
  <c r="CU9" i="6"/>
  <c r="CU12" i="6"/>
  <c r="CU10" i="6"/>
  <c r="CU11" i="6"/>
  <c r="CU7" i="6"/>
  <c r="CU8" i="6"/>
  <c r="BA3" i="5"/>
  <c r="BA6" i="6"/>
  <c r="BA13" i="6"/>
  <c r="BA10" i="6"/>
  <c r="BA9" i="6"/>
  <c r="BA12" i="6"/>
  <c r="BA11" i="6"/>
  <c r="BA7" i="6"/>
  <c r="BA8" i="6"/>
  <c r="I6" i="6"/>
  <c r="I10" i="6"/>
  <c r="I12" i="6"/>
  <c r="I11" i="6"/>
  <c r="I13" i="6"/>
  <c r="I9" i="6"/>
  <c r="I8" i="6"/>
  <c r="I7" i="6"/>
  <c r="O6" i="6"/>
  <c r="O11" i="6"/>
  <c r="O9" i="6"/>
  <c r="O10" i="6"/>
  <c r="O13" i="6"/>
  <c r="O12" i="6"/>
  <c r="O8" i="6"/>
  <c r="O7" i="6"/>
  <c r="DD6" i="6"/>
  <c r="DD13" i="6"/>
  <c r="DD10" i="6"/>
  <c r="DD12" i="6"/>
  <c r="DD9" i="6"/>
  <c r="DD11" i="6"/>
  <c r="DD7" i="6"/>
  <c r="DD8" i="6"/>
  <c r="CR6" i="6"/>
  <c r="CR13" i="6"/>
  <c r="CR9" i="6"/>
  <c r="CR11" i="6"/>
  <c r="CR10" i="6"/>
  <c r="CR12" i="6"/>
  <c r="CR7" i="6"/>
  <c r="CR8" i="6"/>
  <c r="X9" i="6"/>
  <c r="X10" i="6"/>
  <c r="X13" i="6"/>
  <c r="X11" i="6"/>
  <c r="X12" i="6"/>
  <c r="X8" i="6"/>
  <c r="X7" i="6"/>
  <c r="CF6" i="6"/>
  <c r="CF13" i="6"/>
  <c r="CF10" i="6"/>
  <c r="CF9" i="6"/>
  <c r="CF11" i="6"/>
  <c r="CF12" i="6"/>
  <c r="CF7" i="6"/>
  <c r="CF8" i="6"/>
  <c r="BW6" i="6"/>
  <c r="BW13" i="6"/>
  <c r="BW10" i="6"/>
  <c r="BW11" i="6"/>
  <c r="BW12" i="6"/>
  <c r="BW9" i="6"/>
  <c r="BW7" i="6"/>
  <c r="BW8" i="6"/>
  <c r="AD10" i="5"/>
  <c r="AE9" i="5"/>
  <c r="AA13" i="5"/>
  <c r="AA18" i="5"/>
  <c r="AA38" i="5"/>
  <c r="AM4" i="5"/>
  <c r="AG11" i="6"/>
  <c r="AG10" i="6"/>
  <c r="AG13" i="6"/>
  <c r="AG9" i="6"/>
  <c r="AG12" i="6"/>
  <c r="AG7" i="6"/>
  <c r="AG8" i="6"/>
  <c r="C26" i="6"/>
  <c r="AT13" i="5"/>
  <c r="AT7" i="5"/>
  <c r="AT11" i="5"/>
  <c r="AT10" i="5"/>
  <c r="AT9" i="5"/>
  <c r="AT8" i="5"/>
  <c r="AT6" i="5"/>
  <c r="AT4" i="5"/>
  <c r="AT5" i="5"/>
  <c r="BO6" i="6"/>
  <c r="BO13" i="6"/>
  <c r="BO12" i="6"/>
  <c r="BO9" i="6"/>
  <c r="BO10" i="6"/>
  <c r="BO11" i="6"/>
  <c r="BO7" i="6"/>
  <c r="BO8" i="6"/>
  <c r="BJ13" i="5"/>
  <c r="BJ7" i="5"/>
  <c r="BJ11" i="5"/>
  <c r="BJ10" i="5"/>
  <c r="BJ9" i="5"/>
  <c r="BJ8" i="5"/>
  <c r="BJ6" i="5"/>
  <c r="BJ4" i="5"/>
  <c r="BJ5" i="5"/>
  <c r="AD11" i="5"/>
  <c r="AD7" i="5"/>
  <c r="AA9" i="5"/>
  <c r="AA8" i="5"/>
  <c r="AD6" i="5"/>
  <c r="AD8" i="5"/>
  <c r="AD9" i="5"/>
  <c r="AA5" i="5"/>
  <c r="AA10" i="5"/>
  <c r="AD5" i="5"/>
  <c r="AA7" i="5"/>
  <c r="AC3" i="5"/>
  <c r="AC11" i="5"/>
  <c r="AC6" i="6"/>
  <c r="AK3" i="5"/>
  <c r="AK4" i="5"/>
  <c r="AK6" i="6"/>
  <c r="E6" i="6"/>
  <c r="U3" i="5"/>
  <c r="U9" i="5"/>
  <c r="U6" i="6"/>
  <c r="AH3" i="5"/>
  <c r="AH8" i="5"/>
  <c r="AH6" i="6"/>
  <c r="AJ3" i="5"/>
  <c r="AJ13" i="5"/>
  <c r="AJ20" i="5"/>
  <c r="AJ40" i="5"/>
  <c r="AJ6" i="6"/>
  <c r="AB3" i="5"/>
  <c r="AB10" i="5"/>
  <c r="AB6" i="6"/>
  <c r="V3" i="5"/>
  <c r="V8" i="5"/>
  <c r="V6" i="6"/>
  <c r="Z3" i="5"/>
  <c r="Z8" i="5"/>
  <c r="Z6" i="6"/>
  <c r="X3" i="5"/>
  <c r="X13" i="5"/>
  <c r="X6" i="6"/>
  <c r="AL3" i="5"/>
  <c r="AL8" i="5"/>
  <c r="AL6" i="6"/>
  <c r="AI3" i="5"/>
  <c r="AI7" i="5"/>
  <c r="AI6" i="6"/>
  <c r="AF3" i="5"/>
  <c r="AF9" i="5"/>
  <c r="AF6" i="6"/>
  <c r="Y3" i="5"/>
  <c r="Y5" i="5"/>
  <c r="Y6" i="6"/>
  <c r="W3" i="5"/>
  <c r="W8" i="5"/>
  <c r="W6" i="6"/>
  <c r="AG3" i="5"/>
  <c r="AG7" i="5"/>
  <c r="AG6" i="6"/>
  <c r="AL9" i="5"/>
  <c r="DT5" i="6"/>
  <c r="Q3" i="5"/>
  <c r="S3" i="5"/>
  <c r="P3" i="5"/>
  <c r="T3" i="5"/>
  <c r="L3" i="5"/>
  <c r="N3" i="5"/>
  <c r="M3" i="5"/>
  <c r="K3" i="5"/>
  <c r="J3" i="5"/>
  <c r="I3" i="5"/>
  <c r="O3" i="5"/>
  <c r="R13" i="5"/>
  <c r="R8" i="5"/>
  <c r="R10" i="5"/>
  <c r="R7" i="5"/>
  <c r="R11" i="5"/>
  <c r="R9" i="5"/>
  <c r="R4" i="5"/>
  <c r="R5" i="5"/>
  <c r="R6" i="5"/>
  <c r="H13" i="5"/>
  <c r="H15" i="5"/>
  <c r="H4" i="5"/>
  <c r="H8" i="5"/>
  <c r="H7" i="5"/>
  <c r="H11" i="5"/>
  <c r="H6" i="5"/>
  <c r="H10" i="5"/>
  <c r="H5" i="5"/>
  <c r="H9" i="5"/>
  <c r="D13" i="5"/>
  <c r="D17" i="5"/>
  <c r="D8" i="5"/>
  <c r="D4" i="5"/>
  <c r="D11" i="5"/>
  <c r="D7" i="5"/>
  <c r="D10" i="5"/>
  <c r="D6" i="5"/>
  <c r="D9" i="5"/>
  <c r="D5" i="5"/>
  <c r="G3" i="5"/>
  <c r="F3" i="5"/>
  <c r="E3" i="5"/>
  <c r="AD17" i="5"/>
  <c r="AD37" i="5"/>
  <c r="AE20" i="5"/>
  <c r="AE40" i="5"/>
  <c r="AM15" i="5"/>
  <c r="AD14" i="5"/>
  <c r="BG4" i="5"/>
  <c r="BG11" i="5"/>
  <c r="AX8" i="5"/>
  <c r="AX7" i="5"/>
  <c r="AX5" i="5"/>
  <c r="AX9" i="5"/>
  <c r="AX13" i="5"/>
  <c r="AX19" i="5"/>
  <c r="AX39" i="5"/>
  <c r="AX4" i="5"/>
  <c r="AX10" i="5"/>
  <c r="AX6" i="5"/>
  <c r="AA16" i="5"/>
  <c r="AA36" i="5"/>
  <c r="AK7" i="5"/>
  <c r="BG6" i="5"/>
  <c r="BG7" i="5"/>
  <c r="AE19" i="5"/>
  <c r="AE39" i="5"/>
  <c r="AE18" i="5"/>
  <c r="AE38" i="5"/>
  <c r="AM19" i="5"/>
  <c r="AM39" i="5"/>
  <c r="AD21" i="5"/>
  <c r="AD41" i="5"/>
  <c r="BG5" i="5"/>
  <c r="BG10" i="5"/>
  <c r="AM17" i="5"/>
  <c r="AM37" i="5"/>
  <c r="AE14" i="5"/>
  <c r="AM20" i="5"/>
  <c r="AM40" i="5"/>
  <c r="AD16" i="5"/>
  <c r="AD36" i="5"/>
  <c r="BG8" i="5"/>
  <c r="AK11" i="5"/>
  <c r="Z13" i="5"/>
  <c r="Z18" i="5"/>
  <c r="Z38" i="5"/>
  <c r="W11" i="5"/>
  <c r="AB9" i="5"/>
  <c r="AH10" i="5"/>
  <c r="AF11" i="5"/>
  <c r="Z10" i="5"/>
  <c r="AB7" i="5"/>
  <c r="AH4" i="5"/>
  <c r="W6" i="5"/>
  <c r="AF7" i="5"/>
  <c r="C36" i="6"/>
  <c r="AM12" i="5"/>
  <c r="Z7" i="5"/>
  <c r="AB4" i="5"/>
  <c r="W7" i="5"/>
  <c r="AA15" i="5"/>
  <c r="AA20" i="5"/>
  <c r="AA40" i="5"/>
  <c r="AC13" i="5"/>
  <c r="AC19" i="5"/>
  <c r="AC39" i="5"/>
  <c r="AA12" i="5"/>
  <c r="AA19" i="5"/>
  <c r="AA39" i="5"/>
  <c r="AC4" i="5"/>
  <c r="AJ15" i="5"/>
  <c r="AC9" i="5"/>
  <c r="AC7" i="5"/>
  <c r="AE17" i="5"/>
  <c r="AE37" i="5"/>
  <c r="AA14" i="5"/>
  <c r="U8" i="5"/>
  <c r="AM18" i="5"/>
  <c r="AM38" i="5"/>
  <c r="AD18" i="5"/>
  <c r="AD38" i="5"/>
  <c r="V6" i="5"/>
  <c r="AE15" i="5"/>
  <c r="X10" i="5"/>
  <c r="AC5" i="5"/>
  <c r="AC10" i="5"/>
  <c r="AC8" i="5"/>
  <c r="AA21" i="5"/>
  <c r="AA41" i="5"/>
  <c r="AI10" i="5"/>
  <c r="AM21" i="5"/>
  <c r="AM41" i="5"/>
  <c r="AD20" i="5"/>
  <c r="AD40" i="5"/>
  <c r="AJ5" i="5"/>
  <c r="AJ17" i="5"/>
  <c r="AJ37" i="5"/>
  <c r="AE16" i="5"/>
  <c r="AE36" i="5"/>
  <c r="X7" i="5"/>
  <c r="AC6" i="5"/>
  <c r="Z5" i="5"/>
  <c r="Z4" i="5"/>
  <c r="AB11" i="5"/>
  <c r="AA17" i="5"/>
  <c r="AA37" i="5"/>
  <c r="U7" i="5"/>
  <c r="Y8" i="5"/>
  <c r="AM16" i="5"/>
  <c r="AM36" i="5"/>
  <c r="AD15" i="5"/>
  <c r="AE12" i="5"/>
  <c r="AJ16" i="5"/>
  <c r="AJ36" i="5"/>
  <c r="AJ19" i="5"/>
  <c r="AJ39" i="5"/>
  <c r="X11" i="5"/>
  <c r="X9" i="5"/>
  <c r="U6" i="5"/>
  <c r="U10" i="5"/>
  <c r="U13" i="5"/>
  <c r="U15" i="5"/>
  <c r="Y6" i="5"/>
  <c r="Y13" i="5"/>
  <c r="Y17" i="5"/>
  <c r="Y37" i="5"/>
  <c r="AI6" i="5"/>
  <c r="V4" i="5"/>
  <c r="AJ11" i="5"/>
  <c r="AJ21" i="5"/>
  <c r="AJ41" i="5"/>
  <c r="AJ18" i="5"/>
  <c r="AJ38" i="5"/>
  <c r="X6" i="5"/>
  <c r="X4" i="5"/>
  <c r="X8" i="5"/>
  <c r="U5" i="5"/>
  <c r="U11" i="5"/>
  <c r="Y10" i="5"/>
  <c r="AI8" i="5"/>
  <c r="V10" i="5"/>
  <c r="AG13" i="5"/>
  <c r="AG14" i="5"/>
  <c r="AJ8" i="5"/>
  <c r="AJ14" i="5"/>
  <c r="X5" i="5"/>
  <c r="U4" i="5"/>
  <c r="Y11" i="5"/>
  <c r="AI11" i="5"/>
  <c r="V7" i="5"/>
  <c r="AJ10" i="5"/>
  <c r="AD12" i="5"/>
  <c r="AK5" i="5"/>
  <c r="AK8" i="5"/>
  <c r="AK9" i="5"/>
  <c r="AK6" i="5"/>
  <c r="AK10" i="5"/>
  <c r="F26" i="6"/>
  <c r="AK13" i="5"/>
  <c r="AK18" i="5"/>
  <c r="AK38" i="5"/>
  <c r="AG10" i="5"/>
  <c r="AL5" i="5"/>
  <c r="BJ12" i="5"/>
  <c r="BC12" i="5"/>
  <c r="AT12" i="5"/>
  <c r="BJ20" i="5"/>
  <c r="BJ40" i="5"/>
  <c r="BJ21" i="5"/>
  <c r="BJ41" i="5"/>
  <c r="BJ19" i="5"/>
  <c r="BJ39" i="5"/>
  <c r="BJ18" i="5"/>
  <c r="BJ38" i="5"/>
  <c r="BJ17" i="5"/>
  <c r="BJ37" i="5"/>
  <c r="BJ16" i="5"/>
  <c r="BJ36" i="5"/>
  <c r="BJ14" i="5"/>
  <c r="BJ15" i="5"/>
  <c r="BJ35" i="5"/>
  <c r="AY13" i="5"/>
  <c r="AY8" i="5"/>
  <c r="AY11" i="5"/>
  <c r="AY10" i="5"/>
  <c r="AY9" i="5"/>
  <c r="AY7" i="5"/>
  <c r="AY5" i="5"/>
  <c r="AY4" i="5"/>
  <c r="AY6" i="5"/>
  <c r="AV13" i="5"/>
  <c r="AV11" i="5"/>
  <c r="AV10" i="5"/>
  <c r="AV9" i="5"/>
  <c r="AV8" i="5"/>
  <c r="AV7" i="5"/>
  <c r="AV6" i="5"/>
  <c r="AV4" i="5"/>
  <c r="AV5" i="5"/>
  <c r="AO13" i="5"/>
  <c r="AO11" i="5"/>
  <c r="AO10" i="5"/>
  <c r="AO9" i="5"/>
  <c r="AO8" i="5"/>
  <c r="AO7" i="5"/>
  <c r="AO6" i="5"/>
  <c r="AO4" i="5"/>
  <c r="AO5" i="5"/>
  <c r="AU13" i="5"/>
  <c r="AU10" i="5"/>
  <c r="AU11" i="5"/>
  <c r="AU9" i="5"/>
  <c r="AU8" i="5"/>
  <c r="AU7" i="5"/>
  <c r="AU5" i="5"/>
  <c r="AU6" i="5"/>
  <c r="AU4" i="5"/>
  <c r="BG18" i="5"/>
  <c r="BG38" i="5"/>
  <c r="BG17" i="5"/>
  <c r="BG37" i="5"/>
  <c r="BG21" i="5"/>
  <c r="BG41" i="5"/>
  <c r="BG20" i="5"/>
  <c r="BG40" i="5"/>
  <c r="BG19" i="5"/>
  <c r="BG39" i="5"/>
  <c r="BG16" i="5"/>
  <c r="BG36" i="5"/>
  <c r="BG14" i="5"/>
  <c r="BG15" i="5"/>
  <c r="BG35" i="5"/>
  <c r="AT20" i="5"/>
  <c r="AT40" i="5"/>
  <c r="AT21" i="5"/>
  <c r="AT41" i="5"/>
  <c r="AT19" i="5"/>
  <c r="AT39" i="5"/>
  <c r="AT18" i="5"/>
  <c r="AT38" i="5"/>
  <c r="AT17" i="5"/>
  <c r="AT37" i="5"/>
  <c r="AT16" i="5"/>
  <c r="AT36" i="5"/>
  <c r="AT14" i="5"/>
  <c r="AT15" i="5"/>
  <c r="AT35" i="5"/>
  <c r="AP13" i="5"/>
  <c r="AP11" i="5"/>
  <c r="AP10" i="5"/>
  <c r="AP9" i="5"/>
  <c r="AP8" i="5"/>
  <c r="AP7" i="5"/>
  <c r="AP6" i="5"/>
  <c r="AP4" i="5"/>
  <c r="AP5" i="5"/>
  <c r="BI13" i="5"/>
  <c r="BI7" i="5"/>
  <c r="BI11" i="5"/>
  <c r="BI10" i="5"/>
  <c r="BI9" i="5"/>
  <c r="BI8" i="5"/>
  <c r="BI6" i="5"/>
  <c r="BI4" i="5"/>
  <c r="BI5" i="5"/>
  <c r="BH13" i="5"/>
  <c r="BH11" i="5"/>
  <c r="BH10" i="5"/>
  <c r="BH9" i="5"/>
  <c r="BH8" i="5"/>
  <c r="BH7" i="5"/>
  <c r="BH6" i="5"/>
  <c r="BH4" i="5"/>
  <c r="BH5" i="5"/>
  <c r="BC21" i="5"/>
  <c r="BC41" i="5"/>
  <c r="BC20" i="5"/>
  <c r="BC40" i="5"/>
  <c r="BC19" i="5"/>
  <c r="BC39" i="5"/>
  <c r="BC18" i="5"/>
  <c r="BC38" i="5"/>
  <c r="BC17" i="5"/>
  <c r="BC37" i="5"/>
  <c r="BC16" i="5"/>
  <c r="BC36" i="5"/>
  <c r="BC14" i="5"/>
  <c r="BC15" i="5"/>
  <c r="BC35" i="5"/>
  <c r="AR13" i="5"/>
  <c r="AR11" i="5"/>
  <c r="AR10" i="5"/>
  <c r="AR9" i="5"/>
  <c r="AR8" i="5"/>
  <c r="AR7" i="5"/>
  <c r="AR6" i="5"/>
  <c r="AR4" i="5"/>
  <c r="AR5" i="5"/>
  <c r="AZ13" i="5"/>
  <c r="AZ11" i="5"/>
  <c r="AZ10" i="5"/>
  <c r="AZ9" i="5"/>
  <c r="AZ8" i="5"/>
  <c r="AZ7" i="5"/>
  <c r="AZ6" i="5"/>
  <c r="AZ4" i="5"/>
  <c r="AZ5" i="5"/>
  <c r="BB13" i="5"/>
  <c r="BB8" i="5"/>
  <c r="BB7" i="5"/>
  <c r="BB11" i="5"/>
  <c r="BB10" i="5"/>
  <c r="BB9" i="5"/>
  <c r="BB6" i="5"/>
  <c r="BB4" i="5"/>
  <c r="BB5" i="5"/>
  <c r="AL6" i="5"/>
  <c r="BA13" i="5"/>
  <c r="BA11" i="5"/>
  <c r="BA10" i="5"/>
  <c r="BA9" i="5"/>
  <c r="BA8" i="5"/>
  <c r="BA7" i="5"/>
  <c r="BA6" i="5"/>
  <c r="BA4" i="5"/>
  <c r="BA5" i="5"/>
  <c r="BF13" i="5"/>
  <c r="BF11" i="5"/>
  <c r="BF10" i="5"/>
  <c r="BF9" i="5"/>
  <c r="BF8" i="5"/>
  <c r="BF7" i="5"/>
  <c r="BF6" i="5"/>
  <c r="BF4" i="5"/>
  <c r="BF5" i="5"/>
  <c r="F28" i="6"/>
  <c r="AS13" i="5"/>
  <c r="AS7" i="5"/>
  <c r="AS11" i="5"/>
  <c r="AS10" i="5"/>
  <c r="AS9" i="5"/>
  <c r="AS8" i="5"/>
  <c r="AS6" i="5"/>
  <c r="AS4" i="5"/>
  <c r="AS5" i="5"/>
  <c r="AQ13" i="5"/>
  <c r="AQ11" i="5"/>
  <c r="AQ10" i="5"/>
  <c r="AQ9" i="5"/>
  <c r="AQ7" i="5"/>
  <c r="AQ8" i="5"/>
  <c r="AQ5" i="5"/>
  <c r="AQ6" i="5"/>
  <c r="AQ4" i="5"/>
  <c r="BD13" i="5"/>
  <c r="BD11" i="5"/>
  <c r="BD10" i="5"/>
  <c r="BD9" i="5"/>
  <c r="BD8" i="5"/>
  <c r="BD7" i="5"/>
  <c r="BD6" i="5"/>
  <c r="BD4" i="5"/>
  <c r="BD5" i="5"/>
  <c r="AW13" i="5"/>
  <c r="AW11" i="5"/>
  <c r="AW10" i="5"/>
  <c r="AW9" i="5"/>
  <c r="AW8" i="5"/>
  <c r="AW7" i="5"/>
  <c r="AW6" i="5"/>
  <c r="AW4" i="5"/>
  <c r="AW5" i="5"/>
  <c r="F27" i="6"/>
  <c r="BE13" i="5"/>
  <c r="BE11" i="5"/>
  <c r="BE10" i="5"/>
  <c r="BE9" i="5"/>
  <c r="BE8" i="5"/>
  <c r="BE7" i="5"/>
  <c r="BE6" i="5"/>
  <c r="BE4" i="5"/>
  <c r="BE5" i="5"/>
  <c r="BK13" i="5"/>
  <c r="BK7" i="5"/>
  <c r="BK10" i="5"/>
  <c r="BK11" i="5"/>
  <c r="BK9" i="5"/>
  <c r="BK8" i="5"/>
  <c r="BK5" i="5"/>
  <c r="BK6" i="5"/>
  <c r="BK4" i="5"/>
  <c r="AN13" i="5"/>
  <c r="AN11" i="5"/>
  <c r="AN10" i="5"/>
  <c r="AN9" i="5"/>
  <c r="AN8" i="5"/>
  <c r="AN7" i="5"/>
  <c r="AN6" i="5"/>
  <c r="AN4" i="5"/>
  <c r="AN5" i="5"/>
  <c r="Z6" i="5"/>
  <c r="Z11" i="5"/>
  <c r="AB5" i="5"/>
  <c r="AB8" i="5"/>
  <c r="AB13" i="5"/>
  <c r="AB19" i="5"/>
  <c r="AB39" i="5"/>
  <c r="AH13" i="5"/>
  <c r="AH20" i="5"/>
  <c r="AH40" i="5"/>
  <c r="AH11" i="5"/>
  <c r="W5" i="5"/>
  <c r="W13" i="5"/>
  <c r="W21" i="5"/>
  <c r="W41" i="5"/>
  <c r="AF4" i="5"/>
  <c r="AF10" i="5"/>
  <c r="AL7" i="5"/>
  <c r="AL11" i="5"/>
  <c r="AG8" i="5"/>
  <c r="Z9" i="5"/>
  <c r="AB6" i="5"/>
  <c r="AH6" i="5"/>
  <c r="AH7" i="5"/>
  <c r="AH9" i="5"/>
  <c r="W4" i="5"/>
  <c r="W10" i="5"/>
  <c r="AF5" i="5"/>
  <c r="AF13" i="5"/>
  <c r="AF14" i="5"/>
  <c r="AF8" i="5"/>
  <c r="AL13" i="5"/>
  <c r="AL21" i="5"/>
  <c r="AL41" i="5"/>
  <c r="AL10" i="5"/>
  <c r="AH5" i="5"/>
  <c r="W9" i="5"/>
  <c r="AF6" i="5"/>
  <c r="AL4" i="5"/>
  <c r="AG4" i="5"/>
  <c r="Y9" i="5"/>
  <c r="Y7" i="5"/>
  <c r="AI13" i="5"/>
  <c r="AI17" i="5"/>
  <c r="AI37" i="5"/>
  <c r="AI9" i="5"/>
  <c r="V5" i="5"/>
  <c r="V11" i="5"/>
  <c r="V13" i="5"/>
  <c r="V14" i="5"/>
  <c r="AG11" i="5"/>
  <c r="AJ4" i="5"/>
  <c r="AG9" i="5"/>
  <c r="AJ6" i="5"/>
  <c r="Y4" i="5"/>
  <c r="AI5" i="5"/>
  <c r="AI4" i="5"/>
  <c r="V9" i="5"/>
  <c r="AG6" i="5"/>
  <c r="AG5" i="5"/>
  <c r="AJ9" i="5"/>
  <c r="AJ7" i="5"/>
  <c r="D21" i="5"/>
  <c r="D41" i="5"/>
  <c r="D16" i="5"/>
  <c r="D36" i="5"/>
  <c r="D20" i="5"/>
  <c r="D40" i="5"/>
  <c r="D18" i="5"/>
  <c r="D38" i="5"/>
  <c r="D14" i="5"/>
  <c r="D19" i="5"/>
  <c r="D39" i="5"/>
  <c r="D15" i="5"/>
  <c r="H18" i="5"/>
  <c r="H38" i="5"/>
  <c r="H20" i="5"/>
  <c r="H40" i="5"/>
  <c r="H17" i="5"/>
  <c r="H37" i="5"/>
  <c r="H14" i="5"/>
  <c r="N10" i="5"/>
  <c r="N8" i="5"/>
  <c r="N5" i="5"/>
  <c r="N11" i="5"/>
  <c r="N7" i="5"/>
  <c r="N13" i="5"/>
  <c r="N9" i="5"/>
  <c r="N4" i="5"/>
  <c r="N6" i="5"/>
  <c r="T4" i="5"/>
  <c r="T10" i="5"/>
  <c r="T8" i="5"/>
  <c r="T9" i="5"/>
  <c r="T7" i="5"/>
  <c r="T11" i="5"/>
  <c r="T13" i="5"/>
  <c r="T5" i="5"/>
  <c r="T6" i="5"/>
  <c r="Q9" i="5"/>
  <c r="Q11" i="5"/>
  <c r="Q4" i="5"/>
  <c r="Q10" i="5"/>
  <c r="Q13" i="5"/>
  <c r="Q7" i="5"/>
  <c r="Q8" i="5"/>
  <c r="Q6" i="5"/>
  <c r="Q5" i="5"/>
  <c r="H21" i="5"/>
  <c r="H41" i="5"/>
  <c r="H19" i="5"/>
  <c r="H39" i="5"/>
  <c r="R12" i="5"/>
  <c r="I4" i="5"/>
  <c r="I10" i="5"/>
  <c r="I13" i="5"/>
  <c r="I8" i="5"/>
  <c r="I5" i="5"/>
  <c r="I9" i="5"/>
  <c r="I11" i="5"/>
  <c r="I7" i="5"/>
  <c r="I6" i="5"/>
  <c r="K13" i="5"/>
  <c r="K5" i="5"/>
  <c r="K7" i="5"/>
  <c r="K9" i="5"/>
  <c r="K11" i="5"/>
  <c r="K10" i="5"/>
  <c r="K4" i="5"/>
  <c r="K8" i="5"/>
  <c r="K6" i="5"/>
  <c r="L8" i="5"/>
  <c r="L10" i="5"/>
  <c r="L7" i="5"/>
  <c r="L9" i="5"/>
  <c r="L11" i="5"/>
  <c r="L6" i="5"/>
  <c r="L13" i="5"/>
  <c r="L4" i="5"/>
  <c r="L5" i="5"/>
  <c r="S6" i="5"/>
  <c r="S8" i="5"/>
  <c r="S13" i="5"/>
  <c r="S10" i="5"/>
  <c r="S7" i="5"/>
  <c r="S11" i="5"/>
  <c r="S9" i="5"/>
  <c r="S4" i="5"/>
  <c r="S5" i="5"/>
  <c r="H16" i="5"/>
  <c r="H36" i="5"/>
  <c r="X18" i="5"/>
  <c r="X38" i="5"/>
  <c r="X20" i="5"/>
  <c r="X40" i="5"/>
  <c r="X16" i="5"/>
  <c r="X36" i="5"/>
  <c r="X17" i="5"/>
  <c r="X37" i="5"/>
  <c r="X19" i="5"/>
  <c r="X39" i="5"/>
  <c r="X21" i="5"/>
  <c r="X41" i="5"/>
  <c r="X14" i="5"/>
  <c r="X15" i="5"/>
  <c r="M4" i="5"/>
  <c r="M10" i="5"/>
  <c r="M8" i="5"/>
  <c r="M13" i="5"/>
  <c r="M9" i="5"/>
  <c r="M7" i="5"/>
  <c r="M11" i="5"/>
  <c r="M6" i="5"/>
  <c r="M5" i="5"/>
  <c r="P7" i="5"/>
  <c r="P13" i="5"/>
  <c r="P11" i="5"/>
  <c r="P4" i="5"/>
  <c r="P8" i="5"/>
  <c r="P10" i="5"/>
  <c r="P9" i="5"/>
  <c r="P6" i="5"/>
  <c r="P5" i="5"/>
  <c r="R15" i="5"/>
  <c r="R17" i="5"/>
  <c r="R37" i="5"/>
  <c r="R21" i="5"/>
  <c r="R41" i="5"/>
  <c r="R18" i="5"/>
  <c r="R38" i="5"/>
  <c r="R19" i="5"/>
  <c r="R39" i="5"/>
  <c r="R20" i="5"/>
  <c r="R40" i="5"/>
  <c r="R16" i="5"/>
  <c r="R36" i="5"/>
  <c r="R14" i="5"/>
  <c r="O10" i="5"/>
  <c r="O13" i="5"/>
  <c r="O9" i="5"/>
  <c r="O7" i="5"/>
  <c r="O11" i="5"/>
  <c r="O8" i="5"/>
  <c r="O4" i="5"/>
  <c r="O6" i="5"/>
  <c r="O5" i="5"/>
  <c r="J10" i="5"/>
  <c r="J11" i="5"/>
  <c r="J9" i="5"/>
  <c r="J7" i="5"/>
  <c r="J13" i="5"/>
  <c r="J4" i="5"/>
  <c r="J8" i="5"/>
  <c r="J5" i="5"/>
  <c r="J6" i="5"/>
  <c r="F13" i="5"/>
  <c r="F20" i="5"/>
  <c r="F40" i="5"/>
  <c r="F6" i="5"/>
  <c r="F10" i="5"/>
  <c r="F5" i="5"/>
  <c r="F9" i="5"/>
  <c r="F4" i="5"/>
  <c r="F8" i="5"/>
  <c r="F11" i="5"/>
  <c r="F7" i="5"/>
  <c r="G13" i="5"/>
  <c r="G19" i="5"/>
  <c r="G39" i="5"/>
  <c r="G7" i="5"/>
  <c r="G11" i="5"/>
  <c r="G6" i="5"/>
  <c r="G10" i="5"/>
  <c r="G5" i="5"/>
  <c r="G9" i="5"/>
  <c r="G8" i="5"/>
  <c r="G4" i="5"/>
  <c r="H12" i="5"/>
  <c r="E13" i="5"/>
  <c r="E15" i="5"/>
  <c r="E5" i="5"/>
  <c r="E9" i="5"/>
  <c r="E4" i="5"/>
  <c r="E8" i="5"/>
  <c r="E7" i="5"/>
  <c r="E11" i="5"/>
  <c r="E6" i="5"/>
  <c r="E10" i="5"/>
  <c r="D12" i="5"/>
  <c r="D37" i="5"/>
  <c r="Z19" i="5"/>
  <c r="Z39" i="5"/>
  <c r="AX16" i="5"/>
  <c r="AX36" i="5"/>
  <c r="AX21" i="5"/>
  <c r="AX41" i="5"/>
  <c r="Y14" i="5"/>
  <c r="Z14" i="5"/>
  <c r="AX17" i="5"/>
  <c r="AX37" i="5"/>
  <c r="AX20" i="5"/>
  <c r="AX40" i="5"/>
  <c r="Z15" i="5"/>
  <c r="AX15" i="5"/>
  <c r="AX35" i="5"/>
  <c r="AX18" i="5"/>
  <c r="AX38" i="5"/>
  <c r="Z20" i="5"/>
  <c r="Z40" i="5"/>
  <c r="AX14" i="5"/>
  <c r="AX34" i="5"/>
  <c r="AX12" i="5"/>
  <c r="AC21" i="5"/>
  <c r="AC41" i="5"/>
  <c r="U19" i="5"/>
  <c r="U39" i="5"/>
  <c r="AG19" i="5"/>
  <c r="AG39" i="5"/>
  <c r="AK20" i="5"/>
  <c r="AK40" i="5"/>
  <c r="AG17" i="5"/>
  <c r="AG37" i="5"/>
  <c r="AK16" i="5"/>
  <c r="AK36" i="5"/>
  <c r="U16" i="5"/>
  <c r="U36" i="5"/>
  <c r="Z17" i="5"/>
  <c r="Z37" i="5"/>
  <c r="Z21" i="5"/>
  <c r="Z41" i="5"/>
  <c r="Z16" i="5"/>
  <c r="Z36" i="5"/>
  <c r="BG12" i="5"/>
  <c r="V16" i="5"/>
  <c r="V36" i="5"/>
  <c r="Y16" i="5"/>
  <c r="Y36" i="5"/>
  <c r="V17" i="5"/>
  <c r="V37" i="5"/>
  <c r="Y21" i="5"/>
  <c r="Y41" i="5"/>
  <c r="Y20" i="5"/>
  <c r="Y40" i="5"/>
  <c r="AD22" i="5"/>
  <c r="AC16" i="5"/>
  <c r="AC36" i="5"/>
  <c r="AH21" i="5"/>
  <c r="AH41" i="5"/>
  <c r="AH15" i="5"/>
  <c r="AC15" i="5"/>
  <c r="AC17" i="5"/>
  <c r="AC37" i="5"/>
  <c r="AL17" i="5"/>
  <c r="AL37" i="5"/>
  <c r="W15" i="5"/>
  <c r="AC14" i="5"/>
  <c r="AC18" i="5"/>
  <c r="AC38" i="5"/>
  <c r="AB17" i="5"/>
  <c r="AB37" i="5"/>
  <c r="AC20" i="5"/>
  <c r="AC40" i="5"/>
  <c r="U12" i="5"/>
  <c r="AC12" i="5"/>
  <c r="AK21" i="5"/>
  <c r="AK41" i="5"/>
  <c r="AK15" i="5"/>
  <c r="U21" i="5"/>
  <c r="U41" i="5"/>
  <c r="U17" i="5"/>
  <c r="U37" i="5"/>
  <c r="AG21" i="5"/>
  <c r="AG41" i="5"/>
  <c r="AG18" i="5"/>
  <c r="AG38" i="5"/>
  <c r="AE22" i="5"/>
  <c r="AK14" i="5"/>
  <c r="AK19" i="5"/>
  <c r="AK39" i="5"/>
  <c r="U20" i="5"/>
  <c r="U40" i="5"/>
  <c r="U14" i="5"/>
  <c r="AG15" i="5"/>
  <c r="AA22" i="5"/>
  <c r="AK17" i="5"/>
  <c r="AK37" i="5"/>
  <c r="U18" i="5"/>
  <c r="U38" i="5"/>
  <c r="AG20" i="5"/>
  <c r="AG40" i="5"/>
  <c r="AG16" i="5"/>
  <c r="AG36" i="5"/>
  <c r="X12" i="5"/>
  <c r="AM22" i="5"/>
  <c r="AJ22" i="5"/>
  <c r="V15" i="5"/>
  <c r="Y18" i="5"/>
  <c r="Y38" i="5"/>
  <c r="AH14" i="5"/>
  <c r="Y15" i="5"/>
  <c r="V12" i="5"/>
  <c r="AF12" i="5"/>
  <c r="V18" i="5"/>
  <c r="V38" i="5"/>
  <c r="Y19" i="5"/>
  <c r="Y39" i="5"/>
  <c r="AH17" i="5"/>
  <c r="AH37" i="5"/>
  <c r="AL15" i="5"/>
  <c r="AS12" i="5"/>
  <c r="BH12" i="5"/>
  <c r="AO12" i="5"/>
  <c r="Z12" i="5"/>
  <c r="AK12" i="5"/>
  <c r="V20" i="5"/>
  <c r="V40" i="5"/>
  <c r="V21" i="5"/>
  <c r="V41" i="5"/>
  <c r="W17" i="5"/>
  <c r="W37" i="5"/>
  <c r="AH19" i="5"/>
  <c r="AH39" i="5"/>
  <c r="AH16" i="5"/>
  <c r="AH36" i="5"/>
  <c r="AB21" i="5"/>
  <c r="AB41" i="5"/>
  <c r="AI15" i="5"/>
  <c r="V19" i="5"/>
  <c r="V39" i="5"/>
  <c r="AH18" i="5"/>
  <c r="AH38" i="5"/>
  <c r="AI20" i="5"/>
  <c r="AI40" i="5"/>
  <c r="W18" i="5"/>
  <c r="W38" i="5"/>
  <c r="W16" i="5"/>
  <c r="W36" i="5"/>
  <c r="AB14" i="5"/>
  <c r="AB20" i="5"/>
  <c r="AB40" i="5"/>
  <c r="AL16" i="5"/>
  <c r="AL36" i="5"/>
  <c r="AL18" i="5"/>
  <c r="AL38" i="5"/>
  <c r="W19" i="5"/>
  <c r="W39" i="5"/>
  <c r="W14" i="5"/>
  <c r="AB15" i="5"/>
  <c r="AB18" i="5"/>
  <c r="AB38" i="5"/>
  <c r="AL19" i="5"/>
  <c r="AL39" i="5"/>
  <c r="AL14" i="5"/>
  <c r="W20" i="5"/>
  <c r="W40" i="5"/>
  <c r="AB16" i="5"/>
  <c r="AB36" i="5"/>
  <c r="AL20" i="5"/>
  <c r="AL40" i="5"/>
  <c r="BE12" i="5"/>
  <c r="BA12" i="5"/>
  <c r="AR12" i="5"/>
  <c r="AT34" i="5"/>
  <c r="AT42" i="5"/>
  <c r="AT22" i="5"/>
  <c r="AT32" i="5"/>
  <c r="BG34" i="5"/>
  <c r="BG42" i="5"/>
  <c r="BG22" i="5"/>
  <c r="BG32" i="5"/>
  <c r="BJ34" i="5"/>
  <c r="BJ42" i="5"/>
  <c r="BJ22" i="5"/>
  <c r="BJ32" i="5"/>
  <c r="BC34" i="5"/>
  <c r="BC42" i="5"/>
  <c r="BC22" i="5"/>
  <c r="BC32" i="5"/>
  <c r="BK12" i="5"/>
  <c r="AW12" i="5"/>
  <c r="BB12" i="5"/>
  <c r="BI12" i="5"/>
  <c r="AV12" i="5"/>
  <c r="BD12" i="5"/>
  <c r="AQ12" i="5"/>
  <c r="BF12" i="5"/>
  <c r="AZ12" i="5"/>
  <c r="AP12" i="5"/>
  <c r="AU12" i="5"/>
  <c r="AY12" i="5"/>
  <c r="BE21" i="5"/>
  <c r="BE41" i="5"/>
  <c r="BE17" i="5"/>
  <c r="BE37" i="5"/>
  <c r="BE20" i="5"/>
  <c r="BE40" i="5"/>
  <c r="BE19" i="5"/>
  <c r="BE39" i="5"/>
  <c r="BE18" i="5"/>
  <c r="BE38" i="5"/>
  <c r="BE16" i="5"/>
  <c r="BE36" i="5"/>
  <c r="BE14" i="5"/>
  <c r="BE15" i="5"/>
  <c r="BE35" i="5"/>
  <c r="AQ18" i="5"/>
  <c r="AQ38" i="5"/>
  <c r="AQ17" i="5"/>
  <c r="AQ37" i="5"/>
  <c r="AQ21" i="5"/>
  <c r="AQ41" i="5"/>
  <c r="AQ20" i="5"/>
  <c r="AQ40" i="5"/>
  <c r="AQ19" i="5"/>
  <c r="AQ39" i="5"/>
  <c r="AQ15" i="5"/>
  <c r="AQ35" i="5"/>
  <c r="AQ16" i="5"/>
  <c r="AQ36" i="5"/>
  <c r="AQ14" i="5"/>
  <c r="BA21" i="5"/>
  <c r="BA41" i="5"/>
  <c r="BA17" i="5"/>
  <c r="BA37" i="5"/>
  <c r="BA20" i="5"/>
  <c r="BA40" i="5"/>
  <c r="BA19" i="5"/>
  <c r="BA39" i="5"/>
  <c r="BA18" i="5"/>
  <c r="BA38" i="5"/>
  <c r="BA16" i="5"/>
  <c r="BA36" i="5"/>
  <c r="BA14" i="5"/>
  <c r="BA15" i="5"/>
  <c r="BA35" i="5"/>
  <c r="AR20" i="5"/>
  <c r="AR40" i="5"/>
  <c r="AR18" i="5"/>
  <c r="AR38" i="5"/>
  <c r="AR21" i="5"/>
  <c r="AR41" i="5"/>
  <c r="AR19" i="5"/>
  <c r="AR39" i="5"/>
  <c r="AR17" i="5"/>
  <c r="AR37" i="5"/>
  <c r="AR16" i="5"/>
  <c r="AR36" i="5"/>
  <c r="AR14" i="5"/>
  <c r="AR15" i="5"/>
  <c r="AR35" i="5"/>
  <c r="AU21" i="5"/>
  <c r="AU41" i="5"/>
  <c r="AU20" i="5"/>
  <c r="AU40" i="5"/>
  <c r="AU19" i="5"/>
  <c r="AU39" i="5"/>
  <c r="AU17" i="5"/>
  <c r="AU37" i="5"/>
  <c r="AU18" i="5"/>
  <c r="AU38" i="5"/>
  <c r="AU15" i="5"/>
  <c r="AU35" i="5"/>
  <c r="AU14" i="5"/>
  <c r="AU16" i="5"/>
  <c r="AU36" i="5"/>
  <c r="AS20" i="5"/>
  <c r="AS40" i="5"/>
  <c r="AS18" i="5"/>
  <c r="AS38" i="5"/>
  <c r="AS21" i="5"/>
  <c r="AS41" i="5"/>
  <c r="AS17" i="5"/>
  <c r="AS37" i="5"/>
  <c r="AS19" i="5"/>
  <c r="AS39" i="5"/>
  <c r="AS16" i="5"/>
  <c r="AS36" i="5"/>
  <c r="AS14" i="5"/>
  <c r="AS15" i="5"/>
  <c r="AS35" i="5"/>
  <c r="BH20" i="5"/>
  <c r="BH40" i="5"/>
  <c r="BH18" i="5"/>
  <c r="BH38" i="5"/>
  <c r="BH17" i="5"/>
  <c r="BH37" i="5"/>
  <c r="BH21" i="5"/>
  <c r="BH41" i="5"/>
  <c r="BH19" i="5"/>
  <c r="BH39" i="5"/>
  <c r="BH16" i="5"/>
  <c r="BH36" i="5"/>
  <c r="BH14" i="5"/>
  <c r="BH15" i="5"/>
  <c r="BH35" i="5"/>
  <c r="AO21" i="5"/>
  <c r="AO41" i="5"/>
  <c r="AO18" i="5"/>
  <c r="AO38" i="5"/>
  <c r="AO20" i="5"/>
  <c r="AO40" i="5"/>
  <c r="AO19" i="5"/>
  <c r="AO39" i="5"/>
  <c r="AO17" i="5"/>
  <c r="AO37" i="5"/>
  <c r="AO16" i="5"/>
  <c r="AO36" i="5"/>
  <c r="AO14" i="5"/>
  <c r="AO15" i="5"/>
  <c r="AO35" i="5"/>
  <c r="AN21" i="5"/>
  <c r="AN41" i="5"/>
  <c r="AN19" i="5"/>
  <c r="AN39" i="5"/>
  <c r="AN18" i="5"/>
  <c r="AN38" i="5"/>
  <c r="AN17" i="5"/>
  <c r="AN37" i="5"/>
  <c r="AN20" i="5"/>
  <c r="AN40" i="5"/>
  <c r="AN16" i="5"/>
  <c r="AN36" i="5"/>
  <c r="AN14" i="5"/>
  <c r="AN15" i="5"/>
  <c r="AN35" i="5"/>
  <c r="AW20" i="5"/>
  <c r="AW40" i="5"/>
  <c r="AW18" i="5"/>
  <c r="AW38" i="5"/>
  <c r="AW21" i="5"/>
  <c r="AW41" i="5"/>
  <c r="AW19" i="5"/>
  <c r="AW39" i="5"/>
  <c r="AW17" i="5"/>
  <c r="AW37" i="5"/>
  <c r="AW16" i="5"/>
  <c r="AW36" i="5"/>
  <c r="AW14" i="5"/>
  <c r="AW15" i="5"/>
  <c r="AW35" i="5"/>
  <c r="BB17" i="5"/>
  <c r="BB37" i="5"/>
  <c r="BB20" i="5"/>
  <c r="BB40" i="5"/>
  <c r="BB21" i="5"/>
  <c r="BB41" i="5"/>
  <c r="BB19" i="5"/>
  <c r="BB39" i="5"/>
  <c r="BB18" i="5"/>
  <c r="BB38" i="5"/>
  <c r="BB16" i="5"/>
  <c r="BB36" i="5"/>
  <c r="BB14" i="5"/>
  <c r="BB15" i="5"/>
  <c r="BB35" i="5"/>
  <c r="BI19" i="5"/>
  <c r="BI39" i="5"/>
  <c r="BI18" i="5"/>
  <c r="BI38" i="5"/>
  <c r="BI17" i="5"/>
  <c r="BI37" i="5"/>
  <c r="BI21" i="5"/>
  <c r="BI41" i="5"/>
  <c r="BI20" i="5"/>
  <c r="BI40" i="5"/>
  <c r="BI16" i="5"/>
  <c r="BI36" i="5"/>
  <c r="BI14" i="5"/>
  <c r="BI15" i="5"/>
  <c r="BI35" i="5"/>
  <c r="AV21" i="5"/>
  <c r="AV41" i="5"/>
  <c r="AV19" i="5"/>
  <c r="AV39" i="5"/>
  <c r="AV17" i="5"/>
  <c r="AV37" i="5"/>
  <c r="AV20" i="5"/>
  <c r="AV40" i="5"/>
  <c r="AV18" i="5"/>
  <c r="AV38" i="5"/>
  <c r="AV16" i="5"/>
  <c r="AV36" i="5"/>
  <c r="AV14" i="5"/>
  <c r="AV15" i="5"/>
  <c r="AV35" i="5"/>
  <c r="AN12" i="5"/>
  <c r="BK21" i="5"/>
  <c r="BK41" i="5"/>
  <c r="BK20" i="5"/>
  <c r="BK40" i="5"/>
  <c r="BK19" i="5"/>
  <c r="BK39" i="5"/>
  <c r="BK17" i="5"/>
  <c r="BK37" i="5"/>
  <c r="BK18" i="5"/>
  <c r="BK38" i="5"/>
  <c r="BK16" i="5"/>
  <c r="BK36" i="5"/>
  <c r="BK15" i="5"/>
  <c r="BK35" i="5"/>
  <c r="BK14" i="5"/>
  <c r="BD21" i="5"/>
  <c r="BD41" i="5"/>
  <c r="BD19" i="5"/>
  <c r="BD39" i="5"/>
  <c r="BD17" i="5"/>
  <c r="BD37" i="5"/>
  <c r="BD20" i="5"/>
  <c r="BD40" i="5"/>
  <c r="BD18" i="5"/>
  <c r="BD38" i="5"/>
  <c r="BD16" i="5"/>
  <c r="BD36" i="5"/>
  <c r="BD14" i="5"/>
  <c r="BD15" i="5"/>
  <c r="BD35" i="5"/>
  <c r="BF21" i="5"/>
  <c r="BF41" i="5"/>
  <c r="BF19" i="5"/>
  <c r="BF39" i="5"/>
  <c r="BF18" i="5"/>
  <c r="BF38" i="5"/>
  <c r="BF17" i="5"/>
  <c r="BF37" i="5"/>
  <c r="BF20" i="5"/>
  <c r="BF40" i="5"/>
  <c r="BF16" i="5"/>
  <c r="BF36" i="5"/>
  <c r="BF14" i="5"/>
  <c r="BF15" i="5"/>
  <c r="BF35" i="5"/>
  <c r="AZ21" i="5"/>
  <c r="AZ41" i="5"/>
  <c r="AZ19" i="5"/>
  <c r="AZ39" i="5"/>
  <c r="AZ17" i="5"/>
  <c r="AZ37" i="5"/>
  <c r="AZ20" i="5"/>
  <c r="AZ40" i="5"/>
  <c r="AZ18" i="5"/>
  <c r="AZ38" i="5"/>
  <c r="AZ16" i="5"/>
  <c r="AZ36" i="5"/>
  <c r="AZ14" i="5"/>
  <c r="AZ15" i="5"/>
  <c r="AZ35" i="5"/>
  <c r="AP21" i="5"/>
  <c r="AP41" i="5"/>
  <c r="AP19" i="5"/>
  <c r="AP39" i="5"/>
  <c r="AP18" i="5"/>
  <c r="AP38" i="5"/>
  <c r="AP17" i="5"/>
  <c r="AP37" i="5"/>
  <c r="AP20" i="5"/>
  <c r="AP40" i="5"/>
  <c r="AP16" i="5"/>
  <c r="AP36" i="5"/>
  <c r="AP14" i="5"/>
  <c r="AP15" i="5"/>
  <c r="AP35" i="5"/>
  <c r="AY21" i="5"/>
  <c r="AY41" i="5"/>
  <c r="AY20" i="5"/>
  <c r="AY40" i="5"/>
  <c r="AY19" i="5"/>
  <c r="AY39" i="5"/>
  <c r="AY18" i="5"/>
  <c r="AY38" i="5"/>
  <c r="AY17" i="5"/>
  <c r="AY37" i="5"/>
  <c r="AY15" i="5"/>
  <c r="AY35" i="5"/>
  <c r="AY16" i="5"/>
  <c r="AY36" i="5"/>
  <c r="AY14" i="5"/>
  <c r="AH12" i="5"/>
  <c r="AL12" i="5"/>
  <c r="W12" i="5"/>
  <c r="AB12" i="5"/>
  <c r="AI16" i="5"/>
  <c r="AI36" i="5"/>
  <c r="AI21" i="5"/>
  <c r="AI41" i="5"/>
  <c r="AF19" i="5"/>
  <c r="AF39" i="5"/>
  <c r="AF21" i="5"/>
  <c r="AF41" i="5"/>
  <c r="AF17" i="5"/>
  <c r="AF37" i="5"/>
  <c r="AF20" i="5"/>
  <c r="AF40" i="5"/>
  <c r="AF16" i="5"/>
  <c r="AF36" i="5"/>
  <c r="AF18" i="5"/>
  <c r="AF38" i="5"/>
  <c r="AF15" i="5"/>
  <c r="AG12" i="5"/>
  <c r="Y12" i="5"/>
  <c r="AI12" i="5"/>
  <c r="AJ12" i="5"/>
  <c r="AI14" i="5"/>
  <c r="AI18" i="5"/>
  <c r="AI38" i="5"/>
  <c r="AI19" i="5"/>
  <c r="AI39" i="5"/>
  <c r="E17" i="5"/>
  <c r="E37" i="5"/>
  <c r="E16" i="5"/>
  <c r="E36" i="5"/>
  <c r="E20" i="5"/>
  <c r="E40" i="5"/>
  <c r="E18" i="5"/>
  <c r="E38" i="5"/>
  <c r="F14" i="5"/>
  <c r="E21" i="5"/>
  <c r="E41" i="5"/>
  <c r="E14" i="5"/>
  <c r="E19" i="5"/>
  <c r="E39" i="5"/>
  <c r="D22" i="5"/>
  <c r="F17" i="5"/>
  <c r="F37" i="5"/>
  <c r="F19" i="5"/>
  <c r="F39" i="5"/>
  <c r="F15" i="5"/>
  <c r="F16" i="5"/>
  <c r="F36" i="5"/>
  <c r="F21" i="5"/>
  <c r="F41" i="5"/>
  <c r="G18" i="5"/>
  <c r="G38" i="5"/>
  <c r="F18" i="5"/>
  <c r="F38" i="5"/>
  <c r="G16" i="5"/>
  <c r="G36" i="5"/>
  <c r="O12" i="5"/>
  <c r="K12" i="5"/>
  <c r="N12" i="5"/>
  <c r="G17" i="5"/>
  <c r="G37" i="5"/>
  <c r="G20" i="5"/>
  <c r="G40" i="5"/>
  <c r="S17" i="5"/>
  <c r="S37" i="5"/>
  <c r="S21" i="5"/>
  <c r="S41" i="5"/>
  <c r="S14" i="5"/>
  <c r="S19" i="5"/>
  <c r="S39" i="5"/>
  <c r="S20" i="5"/>
  <c r="S40" i="5"/>
  <c r="S18" i="5"/>
  <c r="S38" i="5"/>
  <c r="S15" i="5"/>
  <c r="S16" i="5"/>
  <c r="S36" i="5"/>
  <c r="T21" i="5"/>
  <c r="T41" i="5"/>
  <c r="T20" i="5"/>
  <c r="T40" i="5"/>
  <c r="T18" i="5"/>
  <c r="T38" i="5"/>
  <c r="T19" i="5"/>
  <c r="T39" i="5"/>
  <c r="T14" i="5"/>
  <c r="T17" i="5"/>
  <c r="T37" i="5"/>
  <c r="T16" i="5"/>
  <c r="T36" i="5"/>
  <c r="T15" i="5"/>
  <c r="Q12" i="5"/>
  <c r="H22" i="5"/>
  <c r="G15" i="5"/>
  <c r="G21" i="5"/>
  <c r="G41" i="5"/>
  <c r="J19" i="5"/>
  <c r="J39" i="5"/>
  <c r="J21" i="5"/>
  <c r="J41" i="5"/>
  <c r="J14" i="5"/>
  <c r="J16" i="5"/>
  <c r="J36" i="5"/>
  <c r="J18" i="5"/>
  <c r="J38" i="5"/>
  <c r="J17" i="5"/>
  <c r="J37" i="5"/>
  <c r="J20" i="5"/>
  <c r="J40" i="5"/>
  <c r="J15" i="5"/>
  <c r="O21" i="5"/>
  <c r="O41" i="5"/>
  <c r="O17" i="5"/>
  <c r="O37" i="5"/>
  <c r="O20" i="5"/>
  <c r="O40" i="5"/>
  <c r="O14" i="5"/>
  <c r="O19" i="5"/>
  <c r="O39" i="5"/>
  <c r="O18" i="5"/>
  <c r="O38" i="5"/>
  <c r="O15" i="5"/>
  <c r="O16" i="5"/>
  <c r="O36" i="5"/>
  <c r="R22" i="5"/>
  <c r="P12" i="5"/>
  <c r="M12" i="5"/>
  <c r="X22" i="5"/>
  <c r="S12" i="5"/>
  <c r="L12" i="5"/>
  <c r="K18" i="5"/>
  <c r="K38" i="5"/>
  <c r="K19" i="5"/>
  <c r="K39" i="5"/>
  <c r="K20" i="5"/>
  <c r="K40" i="5"/>
  <c r="K21" i="5"/>
  <c r="K41" i="5"/>
  <c r="K14" i="5"/>
  <c r="K17" i="5"/>
  <c r="K37" i="5"/>
  <c r="K15" i="5"/>
  <c r="K16" i="5"/>
  <c r="K36" i="5"/>
  <c r="T12" i="5"/>
  <c r="N18" i="5"/>
  <c r="N38" i="5"/>
  <c r="N19" i="5"/>
  <c r="N39" i="5"/>
  <c r="N21" i="5"/>
  <c r="N41" i="5"/>
  <c r="N14" i="5"/>
  <c r="N17" i="5"/>
  <c r="N37" i="5"/>
  <c r="N20" i="5"/>
  <c r="N40" i="5"/>
  <c r="N16" i="5"/>
  <c r="N36" i="5"/>
  <c r="N15" i="5"/>
  <c r="P21" i="5"/>
  <c r="P41" i="5"/>
  <c r="P19" i="5"/>
  <c r="P39" i="5"/>
  <c r="P20" i="5"/>
  <c r="P40" i="5"/>
  <c r="P14" i="5"/>
  <c r="P18" i="5"/>
  <c r="P38" i="5"/>
  <c r="P17" i="5"/>
  <c r="P37" i="5"/>
  <c r="P16" i="5"/>
  <c r="P36" i="5"/>
  <c r="P15" i="5"/>
  <c r="I21" i="5"/>
  <c r="I41" i="5"/>
  <c r="I19" i="5"/>
  <c r="I39" i="5"/>
  <c r="I18" i="5"/>
  <c r="I38" i="5"/>
  <c r="I16" i="5"/>
  <c r="I36" i="5"/>
  <c r="I15" i="5"/>
  <c r="I14" i="5"/>
  <c r="I20" i="5"/>
  <c r="I40" i="5"/>
  <c r="I17" i="5"/>
  <c r="I37" i="5"/>
  <c r="Q20" i="5"/>
  <c r="Q40" i="5"/>
  <c r="Q21" i="5"/>
  <c r="Q41" i="5"/>
  <c r="Q18" i="5"/>
  <c r="Q38" i="5"/>
  <c r="Q14" i="5"/>
  <c r="Q17" i="5"/>
  <c r="Q37" i="5"/>
  <c r="Q15" i="5"/>
  <c r="Q19" i="5"/>
  <c r="Q39" i="5"/>
  <c r="Q16" i="5"/>
  <c r="Q36" i="5"/>
  <c r="G14" i="5"/>
  <c r="J12" i="5"/>
  <c r="M17" i="5"/>
  <c r="M37" i="5"/>
  <c r="M20" i="5"/>
  <c r="M40" i="5"/>
  <c r="M21" i="5"/>
  <c r="M41" i="5"/>
  <c r="M19" i="5"/>
  <c r="M39" i="5"/>
  <c r="M14" i="5"/>
  <c r="M18" i="5"/>
  <c r="M38" i="5"/>
  <c r="M16" i="5"/>
  <c r="M36" i="5"/>
  <c r="M15" i="5"/>
  <c r="L17" i="5"/>
  <c r="L37" i="5"/>
  <c r="L14" i="5"/>
  <c r="L20" i="5"/>
  <c r="L40" i="5"/>
  <c r="L19" i="5"/>
  <c r="L39" i="5"/>
  <c r="L18" i="5"/>
  <c r="L38" i="5"/>
  <c r="L21" i="5"/>
  <c r="L41" i="5"/>
  <c r="L15" i="5"/>
  <c r="L16" i="5"/>
  <c r="L36" i="5"/>
  <c r="I12" i="5"/>
  <c r="F12" i="5"/>
  <c r="G12" i="5"/>
  <c r="E12" i="5"/>
  <c r="AX42" i="5"/>
  <c r="AX22" i="5"/>
  <c r="AX32" i="5"/>
  <c r="Z22" i="5"/>
  <c r="AK22" i="5"/>
  <c r="AC22" i="5"/>
  <c r="Y22" i="5"/>
  <c r="AG22" i="5"/>
  <c r="U22" i="5"/>
  <c r="AH22" i="5"/>
  <c r="V22" i="5"/>
  <c r="W22" i="5"/>
  <c r="AL22" i="5"/>
  <c r="AB22" i="5"/>
  <c r="AU34" i="5"/>
  <c r="AU42" i="5"/>
  <c r="AU22" i="5"/>
  <c r="AU32" i="5"/>
  <c r="AR34" i="5"/>
  <c r="AR42" i="5"/>
  <c r="AR22" i="5"/>
  <c r="AR32" i="5"/>
  <c r="BA34" i="5"/>
  <c r="BA42" i="5"/>
  <c r="BA22" i="5"/>
  <c r="BA32" i="5"/>
  <c r="BE34" i="5"/>
  <c r="BE42" i="5"/>
  <c r="BE22" i="5"/>
  <c r="BE32" i="5"/>
  <c r="AO34" i="5"/>
  <c r="AO42" i="5"/>
  <c r="AO22" i="5"/>
  <c r="AO32" i="5"/>
  <c r="BH34" i="5"/>
  <c r="BH42" i="5"/>
  <c r="BH22" i="5"/>
  <c r="BH32" i="5"/>
  <c r="AS34" i="5"/>
  <c r="AS42" i="5"/>
  <c r="AS22" i="5"/>
  <c r="AS32" i="5"/>
  <c r="BI34" i="5"/>
  <c r="BI42" i="5"/>
  <c r="BI22" i="5"/>
  <c r="BI32" i="5"/>
  <c r="AW34" i="5"/>
  <c r="AW42" i="5"/>
  <c r="AW22" i="5"/>
  <c r="AW32" i="5"/>
  <c r="AY34" i="5"/>
  <c r="AY42" i="5"/>
  <c r="AY22" i="5"/>
  <c r="AY32" i="5"/>
  <c r="BK34" i="5"/>
  <c r="BK42" i="5"/>
  <c r="BK22" i="5"/>
  <c r="BK32" i="5"/>
  <c r="AV34" i="5"/>
  <c r="AV42" i="5"/>
  <c r="AV22" i="5"/>
  <c r="AV32" i="5"/>
  <c r="BB34" i="5"/>
  <c r="BB42" i="5"/>
  <c r="BB22" i="5"/>
  <c r="BB32" i="5"/>
  <c r="AP34" i="5"/>
  <c r="AP42" i="5"/>
  <c r="AP22" i="5"/>
  <c r="AP32" i="5"/>
  <c r="AZ34" i="5"/>
  <c r="AZ42" i="5"/>
  <c r="AZ22" i="5"/>
  <c r="AZ32" i="5"/>
  <c r="BF34" i="5"/>
  <c r="BF42" i="5"/>
  <c r="BF22" i="5"/>
  <c r="BF32" i="5"/>
  <c r="BD34" i="5"/>
  <c r="BD42" i="5"/>
  <c r="BD22" i="5"/>
  <c r="BD32" i="5"/>
  <c r="AQ34" i="5"/>
  <c r="AQ42" i="5"/>
  <c r="AQ22" i="5"/>
  <c r="AQ32" i="5"/>
  <c r="AN22" i="5"/>
  <c r="AN32" i="5"/>
  <c r="AN34" i="5"/>
  <c r="AN42" i="5"/>
  <c r="AJ29" i="5"/>
  <c r="Z29" i="5"/>
  <c r="Z30" i="5"/>
  <c r="AM29" i="5"/>
  <c r="W29" i="5"/>
  <c r="W30" i="5"/>
  <c r="Q29" i="5"/>
  <c r="Q30" i="5"/>
  <c r="AC29" i="5"/>
  <c r="AE29" i="5"/>
  <c r="Y29" i="5"/>
  <c r="Y30" i="5"/>
  <c r="AK29" i="5"/>
  <c r="AL29" i="5"/>
  <c r="S29" i="5"/>
  <c r="S30" i="5"/>
  <c r="AB29" i="5"/>
  <c r="AB30" i="5"/>
  <c r="AF29" i="5"/>
  <c r="AA29" i="5"/>
  <c r="AA30" i="5"/>
  <c r="U29" i="5"/>
  <c r="U30" i="5"/>
  <c r="T29" i="5"/>
  <c r="T30" i="5"/>
  <c r="V29" i="5"/>
  <c r="V30" i="5"/>
  <c r="AH29" i="5"/>
  <c r="AI29" i="5"/>
  <c r="AD29" i="5"/>
  <c r="X29" i="5"/>
  <c r="X30" i="5"/>
  <c r="AG29" i="5"/>
  <c r="R29" i="5"/>
  <c r="R30" i="5"/>
  <c r="P29" i="5"/>
  <c r="AF22" i="5"/>
  <c r="AI22" i="5"/>
  <c r="O25" i="5"/>
  <c r="O35" i="5"/>
  <c r="E25" i="5"/>
  <c r="E35" i="5"/>
  <c r="AM25" i="5"/>
  <c r="Z25" i="5"/>
  <c r="Z35" i="5"/>
  <c r="R25" i="5"/>
  <c r="R35" i="5"/>
  <c r="AE25" i="5"/>
  <c r="I25" i="5"/>
  <c r="I35" i="5"/>
  <c r="AJ25" i="5"/>
  <c r="K25" i="5"/>
  <c r="K35" i="5"/>
  <c r="AK25" i="5"/>
  <c r="S25" i="5"/>
  <c r="V25" i="5"/>
  <c r="N25" i="5"/>
  <c r="N35" i="5"/>
  <c r="L25" i="5"/>
  <c r="L35" i="5"/>
  <c r="AH25" i="5"/>
  <c r="AL25" i="5"/>
  <c r="AL35" i="5"/>
  <c r="J25" i="5"/>
  <c r="J35" i="5"/>
  <c r="H25" i="5"/>
  <c r="H35" i="5"/>
  <c r="G25" i="5"/>
  <c r="G35" i="5"/>
  <c r="AF25" i="5"/>
  <c r="T25" i="5"/>
  <c r="AG25" i="5"/>
  <c r="P25" i="5"/>
  <c r="X25" i="5"/>
  <c r="Y25" i="5"/>
  <c r="M25" i="5"/>
  <c r="M35" i="5"/>
  <c r="U25" i="5"/>
  <c r="F25" i="5"/>
  <c r="F35" i="5"/>
  <c r="AC25" i="5"/>
  <c r="AA25" i="5"/>
  <c r="Q25" i="5"/>
  <c r="Q35" i="5"/>
  <c r="AI25" i="5"/>
  <c r="W25" i="5"/>
  <c r="AD25" i="5"/>
  <c r="AD35" i="5"/>
  <c r="AB25" i="5"/>
  <c r="E22" i="5"/>
  <c r="H24" i="5"/>
  <c r="H34" i="5"/>
  <c r="F22" i="5"/>
  <c r="D24" i="5"/>
  <c r="D34" i="5"/>
  <c r="G22" i="5"/>
  <c r="AL24" i="5"/>
  <c r="AG24" i="5"/>
  <c r="I22" i="5"/>
  <c r="I24" i="5"/>
  <c r="AK24" i="5"/>
  <c r="G24" i="5"/>
  <c r="L22" i="5"/>
  <c r="AA24" i="5"/>
  <c r="K22" i="5"/>
  <c r="J22" i="5"/>
  <c r="AB24" i="5"/>
  <c r="AI24" i="5"/>
  <c r="Y24" i="5"/>
  <c r="V24" i="5"/>
  <c r="W24" i="5"/>
  <c r="Q22" i="5"/>
  <c r="AM24" i="5"/>
  <c r="AD24" i="5"/>
  <c r="AH24" i="5"/>
  <c r="S24" i="5"/>
  <c r="N24" i="5"/>
  <c r="F24" i="5"/>
  <c r="K24" i="5"/>
  <c r="O24" i="5"/>
  <c r="O26" i="5"/>
  <c r="E24" i="5"/>
  <c r="Q24" i="5"/>
  <c r="P22" i="5"/>
  <c r="X24" i="5"/>
  <c r="U24" i="5"/>
  <c r="T22" i="5"/>
  <c r="D35" i="5"/>
  <c r="AC24" i="5"/>
  <c r="AF24" i="5"/>
  <c r="M22" i="5"/>
  <c r="AJ24" i="5"/>
  <c r="AE24" i="5"/>
  <c r="R24" i="5"/>
  <c r="Z24" i="5"/>
  <c r="M24" i="5"/>
  <c r="N22" i="5"/>
  <c r="T24" i="5"/>
  <c r="J24" i="5"/>
  <c r="O22" i="5"/>
  <c r="P24" i="5"/>
  <c r="L24" i="5"/>
  <c r="S22" i="5"/>
  <c r="AC30" i="5"/>
  <c r="N83" i="5"/>
  <c r="AV78" i="5"/>
  <c r="O118" i="5"/>
  <c r="V118" i="5"/>
  <c r="BE113" i="5"/>
  <c r="AP108" i="5"/>
  <c r="AH93" i="5"/>
  <c r="AF58" i="5"/>
  <c r="H73" i="5"/>
  <c r="BD118" i="5"/>
  <c r="BD98" i="5"/>
  <c r="W68" i="5"/>
  <c r="AP123" i="5"/>
  <c r="H123" i="5"/>
  <c r="AG98" i="5"/>
  <c r="AE113" i="5"/>
  <c r="L118" i="5"/>
  <c r="I118" i="5"/>
  <c r="E103" i="5"/>
  <c r="AY58" i="5"/>
  <c r="AG123" i="5"/>
  <c r="E83" i="5"/>
  <c r="AY123" i="5"/>
  <c r="O63" i="5"/>
  <c r="AY103" i="5"/>
  <c r="AF98" i="5"/>
  <c r="M83" i="5"/>
  <c r="AT88" i="5"/>
  <c r="BH58" i="5"/>
  <c r="AQ98" i="5"/>
  <c r="H108" i="5"/>
  <c r="AQ73" i="5"/>
  <c r="AU113" i="5"/>
  <c r="AT113" i="5"/>
  <c r="O68" i="5"/>
  <c r="K73" i="5"/>
  <c r="K118" i="5"/>
  <c r="X68" i="5"/>
  <c r="M58" i="5"/>
  <c r="N113" i="5"/>
  <c r="H118" i="5"/>
  <c r="V108" i="5"/>
  <c r="AZ98" i="5"/>
  <c r="BJ118" i="5"/>
  <c r="P78" i="5"/>
  <c r="P113" i="5"/>
  <c r="D63" i="5"/>
  <c r="AM68" i="5"/>
  <c r="W113" i="5"/>
  <c r="BC73" i="5"/>
  <c r="BD108" i="5"/>
  <c r="AL68" i="5"/>
  <c r="N88" i="5"/>
  <c r="AE78" i="5"/>
  <c r="AQ113" i="5"/>
  <c r="BG93" i="5"/>
  <c r="W73" i="5"/>
  <c r="U83" i="5"/>
  <c r="AI83" i="5"/>
  <c r="AG88" i="5"/>
  <c r="H58" i="5"/>
  <c r="AM103" i="5"/>
  <c r="BG83" i="5"/>
  <c r="Q83" i="5"/>
  <c r="AD98" i="5"/>
  <c r="AD73" i="5"/>
  <c r="AI88" i="5"/>
  <c r="AE108" i="5"/>
  <c r="BI118" i="5"/>
  <c r="AB78" i="5"/>
  <c r="AJ103" i="5"/>
  <c r="AW78" i="5"/>
  <c r="BA73" i="5"/>
  <c r="AR118" i="5"/>
  <c r="BK88" i="5"/>
  <c r="S58" i="5"/>
  <c r="AZ123" i="5"/>
  <c r="M78" i="5"/>
  <c r="AH68" i="5"/>
  <c r="L88" i="5"/>
  <c r="Z93" i="5"/>
  <c r="AJ83" i="5"/>
  <c r="K58" i="5"/>
  <c r="BC93" i="5"/>
  <c r="W123" i="5"/>
  <c r="AG103" i="5"/>
  <c r="P93" i="5"/>
  <c r="K63" i="5"/>
  <c r="M103" i="5"/>
  <c r="BK108" i="5"/>
  <c r="AG58" i="5"/>
  <c r="AN68" i="5"/>
  <c r="AN73" i="5"/>
  <c r="Y98" i="5"/>
  <c r="BF68" i="5"/>
  <c r="K78" i="5"/>
  <c r="AB118" i="5"/>
  <c r="AZ63" i="5"/>
  <c r="O88" i="5"/>
  <c r="AX108" i="5"/>
  <c r="AB103" i="5"/>
  <c r="Z63" i="5"/>
  <c r="BE123" i="5"/>
  <c r="BD88" i="5"/>
  <c r="AL98" i="5"/>
  <c r="BB123" i="5"/>
  <c r="O98" i="5"/>
  <c r="R93" i="5"/>
  <c r="D78" i="5"/>
  <c r="M63" i="5"/>
  <c r="H113" i="5"/>
  <c r="BI63" i="5"/>
  <c r="AC68" i="5"/>
  <c r="AM63" i="5"/>
  <c r="I68" i="5"/>
  <c r="D123" i="5"/>
  <c r="Z73" i="5"/>
  <c r="AR113" i="5"/>
  <c r="I103" i="5"/>
  <c r="S88" i="5"/>
  <c r="Y103" i="5"/>
  <c r="AW108" i="5"/>
  <c r="AW63" i="5"/>
  <c r="AG78" i="5"/>
  <c r="AL123" i="5"/>
  <c r="AS63" i="5"/>
  <c r="BG123" i="5"/>
  <c r="U118" i="5"/>
  <c r="AP103" i="5"/>
  <c r="AL103" i="5"/>
  <c r="O58" i="5"/>
  <c r="V98" i="5"/>
  <c r="BH68" i="5"/>
  <c r="BG88" i="5"/>
  <c r="D58" i="5"/>
  <c r="AV93" i="5"/>
  <c r="AN88" i="5"/>
  <c r="AO103" i="5"/>
  <c r="BK93" i="5"/>
  <c r="AX113" i="5"/>
  <c r="X103" i="5"/>
  <c r="BC63" i="5"/>
  <c r="AT93" i="5"/>
  <c r="L73" i="5"/>
  <c r="BB113" i="5"/>
  <c r="E113" i="5"/>
  <c r="N58" i="5"/>
  <c r="D113" i="5"/>
  <c r="AI123" i="5"/>
  <c r="AR78" i="5"/>
  <c r="Y63" i="5"/>
  <c r="AZ88" i="5"/>
  <c r="BA78" i="5"/>
  <c r="AA93" i="5"/>
  <c r="E68" i="5"/>
  <c r="AG93" i="5"/>
  <c r="AS113" i="5"/>
  <c r="AD108" i="5"/>
  <c r="I123" i="5"/>
  <c r="AE98" i="5"/>
  <c r="S63" i="5"/>
  <c r="BE83" i="5"/>
  <c r="I108" i="5"/>
  <c r="AQ88" i="5"/>
  <c r="AL63" i="5"/>
  <c r="AR63" i="5"/>
  <c r="AK103" i="5"/>
  <c r="BH63" i="5"/>
  <c r="BB118" i="5"/>
  <c r="AN93" i="5"/>
  <c r="D118" i="5"/>
  <c r="AR103" i="5"/>
  <c r="AU83" i="5"/>
  <c r="Q68" i="5"/>
  <c r="AA83" i="5"/>
  <c r="AI118" i="5"/>
  <c r="Z98" i="5"/>
  <c r="D93" i="5"/>
  <c r="V78" i="5"/>
  <c r="G63" i="5"/>
  <c r="Z68" i="5"/>
  <c r="AH83" i="5"/>
  <c r="AA103" i="5"/>
  <c r="T118" i="5"/>
  <c r="I73" i="5"/>
  <c r="BK78" i="5"/>
  <c r="AS93" i="5"/>
  <c r="AK123" i="5"/>
  <c r="AM98" i="5"/>
  <c r="F63" i="5"/>
  <c r="AH58" i="5"/>
  <c r="AN103" i="5"/>
  <c r="F78" i="5"/>
  <c r="AS68" i="5"/>
  <c r="BK113" i="5"/>
  <c r="AQ58" i="5"/>
  <c r="J118" i="5"/>
  <c r="W118" i="5"/>
  <c r="BJ68" i="5"/>
  <c r="G83" i="5"/>
  <c r="AZ68" i="5"/>
  <c r="BC88" i="5"/>
  <c r="I58" i="5"/>
  <c r="V68" i="5"/>
  <c r="AO123" i="5"/>
  <c r="V88" i="5"/>
  <c r="X73" i="5"/>
  <c r="AE63" i="5"/>
  <c r="AQ118" i="5"/>
  <c r="AH113" i="5"/>
  <c r="AF118" i="5"/>
  <c r="W93" i="5"/>
  <c r="AP113" i="5"/>
  <c r="BK98" i="5"/>
  <c r="BC123" i="5"/>
  <c r="BH73" i="5"/>
  <c r="AE88" i="5"/>
  <c r="BI98" i="5"/>
  <c r="BJ83" i="5"/>
  <c r="W108" i="5"/>
  <c r="BJ78" i="5"/>
  <c r="BI78" i="5"/>
  <c r="AB73" i="5"/>
  <c r="R83" i="5"/>
  <c r="V83" i="5"/>
  <c r="BG98" i="5"/>
  <c r="R58" i="5"/>
  <c r="AN58" i="5"/>
  <c r="BF83" i="5"/>
  <c r="Y78" i="5"/>
  <c r="P88" i="5"/>
  <c r="AU78" i="5"/>
  <c r="X78" i="5"/>
  <c r="AE103" i="5"/>
  <c r="BG78" i="5"/>
  <c r="Q98" i="5"/>
  <c r="AI108" i="5"/>
  <c r="L103" i="5"/>
  <c r="G73" i="5"/>
  <c r="AF123" i="5"/>
  <c r="BI103" i="5"/>
  <c r="AA78" i="5"/>
  <c r="H83" i="5"/>
  <c r="AD123" i="5"/>
  <c r="Z83" i="5"/>
  <c r="P73" i="5"/>
  <c r="AJ118" i="5"/>
  <c r="BI88" i="5"/>
  <c r="M123" i="5"/>
  <c r="BF58" i="5"/>
  <c r="K88" i="5"/>
  <c r="K113" i="5"/>
  <c r="AD83" i="5"/>
  <c r="BH123" i="5"/>
  <c r="V93" i="5"/>
  <c r="AB93" i="5"/>
  <c r="W88" i="5"/>
  <c r="BG113" i="5"/>
  <c r="AX68" i="5"/>
  <c r="W98" i="5"/>
  <c r="AU63" i="5"/>
  <c r="AA123" i="5"/>
  <c r="AW58" i="5"/>
  <c r="AB123" i="5"/>
  <c r="AU98" i="5"/>
  <c r="Y83" i="5"/>
  <c r="AU123" i="5"/>
  <c r="BG103" i="5"/>
  <c r="AU108" i="5"/>
  <c r="U63" i="5"/>
  <c r="L68" i="5"/>
  <c r="AX78" i="5"/>
  <c r="W83" i="5"/>
  <c r="BD123" i="5"/>
  <c r="F73" i="5"/>
  <c r="Q118" i="5"/>
  <c r="AW88" i="5"/>
  <c r="AA73" i="5"/>
  <c r="BH98" i="5"/>
  <c r="AN108" i="5"/>
  <c r="AC88" i="5"/>
  <c r="F118" i="5"/>
  <c r="J123" i="5"/>
  <c r="J63" i="5"/>
  <c r="U78" i="5"/>
  <c r="I83" i="5"/>
  <c r="AU73" i="5"/>
  <c r="AG118" i="5"/>
  <c r="S103" i="5"/>
  <c r="AK93" i="5"/>
  <c r="AK73" i="5"/>
  <c r="X98" i="5"/>
  <c r="AY63" i="5"/>
  <c r="X93" i="5"/>
  <c r="AV68" i="5"/>
  <c r="X108" i="5"/>
  <c r="BA68" i="5"/>
  <c r="AD118" i="5"/>
  <c r="L113" i="5"/>
  <c r="AX98" i="5"/>
  <c r="BG63" i="5"/>
  <c r="AF78" i="5"/>
  <c r="AK83" i="5"/>
  <c r="AD68" i="5"/>
  <c r="BG68" i="5"/>
  <c r="BF78" i="5"/>
  <c r="AV63" i="5"/>
  <c r="E98" i="5"/>
  <c r="BK58" i="5"/>
  <c r="U98" i="5"/>
  <c r="AT118" i="5"/>
  <c r="N93" i="5"/>
  <c r="BB108" i="5"/>
  <c r="R123" i="5"/>
  <c r="P68" i="5"/>
  <c r="J73" i="5"/>
  <c r="Z88" i="5"/>
  <c r="AA63" i="5"/>
  <c r="AV123" i="5"/>
  <c r="AV88" i="5"/>
  <c r="O103" i="5"/>
  <c r="E73" i="5"/>
  <c r="M113" i="5"/>
  <c r="BB63" i="5"/>
  <c r="AP78" i="5"/>
  <c r="BA113" i="5"/>
  <c r="BE78" i="5"/>
  <c r="AE68" i="5"/>
  <c r="AX88" i="5"/>
  <c r="AE58" i="5"/>
  <c r="G123" i="5"/>
  <c r="AY78" i="5"/>
  <c r="G88" i="5"/>
  <c r="AZ93" i="5"/>
  <c r="AV118" i="5"/>
  <c r="L83" i="5"/>
  <c r="U58" i="5"/>
  <c r="U93" i="5"/>
  <c r="E88" i="5"/>
  <c r="AJ113" i="5"/>
  <c r="G118" i="5"/>
  <c r="BG58" i="5"/>
  <c r="T113" i="5"/>
  <c r="R78" i="5"/>
  <c r="AM93" i="5"/>
  <c r="BJ93" i="5"/>
  <c r="Y123" i="5"/>
  <c r="AC83" i="5"/>
  <c r="AK68" i="5"/>
  <c r="AK98" i="5"/>
  <c r="S118" i="5"/>
  <c r="AN118" i="5"/>
  <c r="M93" i="5"/>
  <c r="AF68" i="5"/>
  <c r="Z78" i="5"/>
  <c r="AF93" i="5"/>
  <c r="BH118" i="5"/>
  <c r="BJ73" i="5"/>
  <c r="Q103" i="5"/>
  <c r="AB63" i="5"/>
  <c r="P118" i="5"/>
  <c r="AX63" i="5"/>
  <c r="AV58" i="5"/>
  <c r="AX93" i="5"/>
  <c r="BE98" i="5"/>
  <c r="AJ73" i="5"/>
  <c r="AA58" i="5"/>
  <c r="S73" i="5"/>
  <c r="K108" i="5"/>
  <c r="G113" i="5"/>
  <c r="W63" i="5"/>
  <c r="AA68" i="5"/>
  <c r="Q78" i="5"/>
  <c r="N108" i="5"/>
  <c r="R73" i="5"/>
  <c r="AT83" i="5"/>
  <c r="AM113" i="5"/>
  <c r="AT98" i="5"/>
  <c r="AO113" i="5"/>
  <c r="BC108" i="5"/>
  <c r="BA103" i="5"/>
  <c r="BI68" i="5"/>
  <c r="AK113" i="5"/>
  <c r="AU93" i="5"/>
  <c r="BF103" i="5"/>
  <c r="AI68" i="5"/>
  <c r="AL118" i="5"/>
  <c r="BC58" i="5"/>
  <c r="AD93" i="5"/>
  <c r="X123" i="5"/>
  <c r="BI93" i="5"/>
  <c r="BD78" i="5"/>
  <c r="BE63" i="5"/>
  <c r="J88" i="5"/>
  <c r="AF83" i="5"/>
  <c r="F113" i="5"/>
  <c r="AI93" i="5"/>
  <c r="I78" i="5"/>
  <c r="AP88" i="5"/>
  <c r="AI73" i="5"/>
  <c r="AD78" i="5"/>
  <c r="BC103" i="5"/>
  <c r="S93" i="5"/>
  <c r="AW73" i="5"/>
  <c r="G103" i="5"/>
  <c r="T73" i="5"/>
  <c r="D73" i="5"/>
  <c r="E108" i="5"/>
  <c r="D98" i="5"/>
  <c r="AB113" i="5"/>
  <c r="H88" i="5"/>
  <c r="AN98" i="5"/>
  <c r="E63" i="5"/>
  <c r="R63" i="5"/>
  <c r="AR58" i="5"/>
  <c r="AE83" i="5"/>
  <c r="AV98" i="5"/>
  <c r="AN113" i="5"/>
  <c r="AP68" i="5"/>
  <c r="S113" i="5"/>
  <c r="BC113" i="5"/>
  <c r="AF63" i="5"/>
  <c r="AZ113" i="5"/>
  <c r="U113" i="5"/>
  <c r="AA98" i="5"/>
  <c r="F123" i="5"/>
  <c r="BF98" i="5"/>
  <c r="BA123" i="5"/>
  <c r="AV113" i="5"/>
  <c r="BF93" i="5"/>
  <c r="S123" i="5"/>
  <c r="BK123" i="5"/>
  <c r="Q93" i="5"/>
  <c r="BH108" i="5"/>
  <c r="AO63" i="5"/>
  <c r="BF108" i="5"/>
  <c r="AD58" i="5"/>
  <c r="AI103" i="5"/>
  <c r="Z58" i="5"/>
  <c r="P108" i="5"/>
  <c r="E78" i="5"/>
  <c r="BH78" i="5"/>
  <c r="AQ103" i="5"/>
  <c r="F88" i="5"/>
  <c r="BI123" i="5"/>
  <c r="AK58" i="5"/>
  <c r="AR88" i="5"/>
  <c r="G78" i="5"/>
  <c r="H68" i="5"/>
  <c r="BK118" i="5"/>
  <c r="P63" i="5"/>
  <c r="AJ123" i="5"/>
  <c r="AM118" i="5"/>
  <c r="AR123" i="5"/>
  <c r="AC58" i="5"/>
  <c r="AO88" i="5"/>
  <c r="AT103" i="5"/>
  <c r="AB98" i="5"/>
  <c r="AU58" i="5"/>
  <c r="T93" i="5"/>
  <c r="J58" i="5"/>
  <c r="M73" i="5"/>
  <c r="AL58" i="5"/>
  <c r="J83" i="5"/>
  <c r="BB98" i="5"/>
  <c r="BC118" i="5"/>
  <c r="N118" i="5"/>
  <c r="BG108" i="5"/>
  <c r="AY108" i="5"/>
  <c r="AS58" i="5"/>
  <c r="X63" i="5"/>
  <c r="AJ98" i="5"/>
  <c r="H98" i="5"/>
  <c r="T98" i="5"/>
  <c r="AZ108" i="5"/>
  <c r="BE73" i="5"/>
  <c r="K83" i="5"/>
  <c r="AX83" i="5"/>
  <c r="U123" i="5"/>
  <c r="AS103" i="5"/>
  <c r="BB78" i="5"/>
  <c r="AZ58" i="5"/>
  <c r="AZ118" i="5"/>
  <c r="AL73" i="5"/>
  <c r="Y58" i="5"/>
  <c r="AM83" i="5"/>
  <c r="J68" i="5"/>
  <c r="AL78" i="5"/>
  <c r="N103" i="5"/>
  <c r="BD83" i="5"/>
  <c r="BD103" i="5"/>
  <c r="AN123" i="5"/>
  <c r="H93" i="5"/>
  <c r="Y88" i="5"/>
  <c r="J108" i="5"/>
  <c r="AK63" i="5"/>
  <c r="I113" i="5"/>
  <c r="L58" i="5"/>
  <c r="AU88" i="5"/>
  <c r="AH103" i="5"/>
  <c r="AU118" i="5"/>
  <c r="BJ103" i="5"/>
  <c r="AW83" i="5"/>
  <c r="AJ58" i="5"/>
  <c r="AA118" i="5"/>
  <c r="AC108" i="5"/>
  <c r="AE123" i="5"/>
  <c r="AB83" i="5"/>
  <c r="AE118" i="5"/>
  <c r="AC63" i="5"/>
  <c r="S98" i="5"/>
  <c r="AD103" i="5"/>
  <c r="AJ63" i="5"/>
  <c r="X58" i="5"/>
  <c r="AK78" i="5"/>
  <c r="BD113" i="5"/>
  <c r="AI98" i="5"/>
  <c r="M68" i="5"/>
  <c r="AH63" i="5"/>
  <c r="AT58" i="5"/>
  <c r="AX73" i="5"/>
  <c r="P123" i="5"/>
  <c r="I88" i="5"/>
  <c r="AH98" i="5"/>
  <c r="J113" i="5"/>
  <c r="BA83" i="5"/>
  <c r="V113" i="5"/>
  <c r="AP93" i="5"/>
  <c r="L98" i="5"/>
  <c r="AL113" i="5"/>
  <c r="BF73" i="5"/>
  <c r="X113" i="5"/>
  <c r="BH103" i="5"/>
  <c r="BJ108" i="5"/>
  <c r="J93" i="5"/>
  <c r="AO78" i="5"/>
  <c r="AR98" i="5"/>
  <c r="Y68" i="5"/>
  <c r="X118" i="5"/>
  <c r="BE108" i="5"/>
  <c r="BK68" i="5"/>
  <c r="F58" i="5"/>
  <c r="S108" i="5"/>
  <c r="AA113" i="5"/>
  <c r="E93" i="5"/>
  <c r="AQ93" i="5"/>
  <c r="AQ108" i="5"/>
  <c r="BE103" i="5"/>
  <c r="AM123" i="5"/>
  <c r="F108" i="5"/>
  <c r="BA58" i="5"/>
  <c r="E123" i="5"/>
  <c r="AL83" i="5"/>
  <c r="V58" i="5"/>
  <c r="AJ108" i="5"/>
  <c r="AY113" i="5"/>
  <c r="R113" i="5"/>
  <c r="AF113" i="5"/>
  <c r="O93" i="5"/>
  <c r="BK103" i="5"/>
  <c r="F83" i="5"/>
  <c r="AT78" i="5"/>
  <c r="AT108" i="5"/>
  <c r="AS88" i="5"/>
  <c r="K98" i="5"/>
  <c r="H63" i="5"/>
  <c r="AI58" i="5"/>
  <c r="O73" i="5"/>
  <c r="L93" i="5"/>
  <c r="H103" i="5"/>
  <c r="K123" i="5"/>
  <c r="AG83" i="5"/>
  <c r="P58" i="5"/>
  <c r="Q58" i="5"/>
  <c r="AZ83" i="5"/>
  <c r="G93" i="5"/>
  <c r="N63" i="5"/>
  <c r="AK118" i="5"/>
  <c r="AZ78" i="5"/>
  <c r="AS83" i="5"/>
  <c r="BC78" i="5"/>
  <c r="AQ63" i="5"/>
  <c r="AX123" i="5"/>
  <c r="BF123" i="5"/>
  <c r="K68" i="5"/>
  <c r="AH88" i="5"/>
  <c r="AC118" i="5"/>
  <c r="X83" i="5"/>
  <c r="Y118" i="5"/>
  <c r="AT73" i="5"/>
  <c r="AN83" i="5"/>
  <c r="AC98" i="5"/>
  <c r="BE58" i="5"/>
  <c r="L78" i="5"/>
  <c r="AG63" i="5"/>
  <c r="AF103" i="5"/>
  <c r="AH78" i="5"/>
  <c r="AZ103" i="5"/>
  <c r="F98" i="5"/>
  <c r="Z123" i="5"/>
  <c r="BB58" i="5"/>
  <c r="BF63" i="5"/>
  <c r="G58" i="5"/>
  <c r="L108" i="5"/>
  <c r="Y93" i="5"/>
  <c r="Z103" i="5"/>
  <c r="BI58" i="5"/>
  <c r="AJ68" i="5"/>
  <c r="AB68" i="5"/>
  <c r="BI83" i="5"/>
  <c r="V103" i="5"/>
  <c r="AS123" i="5"/>
  <c r="AP58" i="5"/>
  <c r="AF88" i="5"/>
  <c r="AH73" i="5"/>
  <c r="U108" i="5"/>
  <c r="AS73" i="5"/>
  <c r="AP98" i="5"/>
  <c r="BI113" i="5"/>
  <c r="O78" i="5"/>
  <c r="AE73" i="5"/>
  <c r="R88" i="5"/>
  <c r="AD88" i="5"/>
  <c r="BB83" i="5"/>
  <c r="BG73" i="5"/>
  <c r="U68" i="5"/>
  <c r="AT63" i="5"/>
  <c r="AI113" i="5"/>
  <c r="T123" i="5"/>
  <c r="V123" i="5"/>
  <c r="AV83" i="5"/>
  <c r="BA98" i="5"/>
  <c r="W78" i="5"/>
  <c r="F68" i="5"/>
  <c r="AQ78" i="5"/>
  <c r="T78" i="5"/>
  <c r="J78" i="5"/>
  <c r="BH88" i="5"/>
  <c r="AY98" i="5"/>
  <c r="AH118" i="5"/>
  <c r="BA63" i="5"/>
  <c r="P83" i="5"/>
  <c r="F93" i="5"/>
  <c r="N123" i="5"/>
  <c r="BE118" i="5"/>
  <c r="M118" i="5"/>
  <c r="BB93" i="5"/>
  <c r="AP118" i="5"/>
  <c r="Z113" i="5"/>
  <c r="Q88" i="5"/>
  <c r="BG65" i="5"/>
  <c r="BG70" i="5"/>
  <c r="BC115" i="5"/>
  <c r="BJ69" i="5"/>
  <c r="BC85" i="5"/>
  <c r="BG84" i="5"/>
  <c r="BC94" i="5"/>
  <c r="BG85" i="5"/>
  <c r="BC99" i="5"/>
  <c r="AT110" i="5"/>
  <c r="BC80" i="5"/>
  <c r="BG119" i="5"/>
  <c r="BJ119" i="5"/>
  <c r="BG124" i="5"/>
  <c r="BG125" i="5"/>
  <c r="BJ85" i="5"/>
  <c r="AT84" i="5"/>
  <c r="BG115" i="5"/>
  <c r="BJ99" i="5"/>
  <c r="BG105" i="5"/>
  <c r="BC89" i="5"/>
  <c r="BC64" i="5"/>
  <c r="BC70" i="5"/>
  <c r="BG99" i="5"/>
  <c r="BC75" i="5"/>
  <c r="BC90" i="5"/>
  <c r="BJ110" i="5"/>
  <c r="BC84" i="5"/>
  <c r="BG75" i="5"/>
  <c r="BG104" i="5"/>
  <c r="BC109" i="5"/>
  <c r="BG69" i="5"/>
  <c r="BJ109" i="5"/>
  <c r="BJ59" i="5"/>
  <c r="AT74" i="5"/>
  <c r="BJ75" i="5"/>
  <c r="BC114" i="5"/>
  <c r="AT109" i="5"/>
  <c r="BG109" i="5"/>
  <c r="AT75" i="5"/>
  <c r="BJ115" i="5"/>
  <c r="BJ100" i="5"/>
  <c r="BG95" i="5"/>
  <c r="BC105" i="5"/>
  <c r="BC124" i="5"/>
  <c r="BC95" i="5"/>
  <c r="AT100" i="5"/>
  <c r="BG80" i="5"/>
  <c r="AT70" i="5"/>
  <c r="BG110" i="5"/>
  <c r="BG94" i="5"/>
  <c r="BJ84" i="5"/>
  <c r="BJ89" i="5"/>
  <c r="BG60" i="5"/>
  <c r="AT125" i="5"/>
  <c r="BC104" i="5"/>
  <c r="BA88" i="5"/>
  <c r="AI78" i="5"/>
  <c r="AY88" i="5"/>
  <c r="K103" i="5"/>
  <c r="BD93" i="5"/>
  <c r="U88" i="5"/>
  <c r="W58" i="5"/>
  <c r="R98" i="5"/>
  <c r="AY68" i="5"/>
  <c r="BB68" i="5"/>
  <c r="AO98" i="5"/>
  <c r="AS98" i="5"/>
  <c r="AW98" i="5"/>
  <c r="AN78" i="5"/>
  <c r="AQ68" i="5"/>
  <c r="AS78" i="5"/>
  <c r="AU103" i="5"/>
  <c r="R118" i="5"/>
  <c r="AX58" i="5"/>
  <c r="R68" i="5"/>
  <c r="AY93" i="5"/>
  <c r="AA108" i="5"/>
  <c r="AL108" i="5"/>
  <c r="BH83" i="5"/>
  <c r="AC113" i="5"/>
  <c r="BK63" i="5"/>
  <c r="K93" i="5"/>
  <c r="AS118" i="5"/>
  <c r="H78" i="5"/>
  <c r="AG73" i="5"/>
  <c r="D88" i="5"/>
  <c r="T108" i="5"/>
  <c r="AV103" i="5"/>
  <c r="AR93" i="5"/>
  <c r="BJ58" i="5"/>
  <c r="BD58" i="5"/>
  <c r="AO73" i="5"/>
  <c r="AE93" i="5"/>
  <c r="I63" i="5"/>
  <c r="AL88" i="5"/>
  <c r="Q63" i="5"/>
  <c r="BB103" i="5"/>
  <c r="BC98" i="5"/>
  <c r="BC68" i="5"/>
  <c r="Q73" i="5"/>
  <c r="BB88" i="5"/>
  <c r="R108" i="5"/>
  <c r="I93" i="5"/>
  <c r="AW118" i="5"/>
  <c r="BH93" i="5"/>
  <c r="BD73" i="5"/>
  <c r="Q108" i="5"/>
  <c r="AQ123" i="5"/>
  <c r="BA118" i="5"/>
  <c r="AJ88" i="5"/>
  <c r="S83" i="5"/>
  <c r="AW103" i="5"/>
  <c r="AP83" i="5"/>
  <c r="Z118" i="5"/>
  <c r="AM58" i="5"/>
  <c r="T83" i="5"/>
  <c r="N78" i="5"/>
  <c r="AQ83" i="5"/>
  <c r="M98" i="5"/>
  <c r="AG68" i="5"/>
  <c r="AO68" i="5"/>
  <c r="AM78" i="5"/>
  <c r="W103" i="5"/>
  <c r="O108" i="5"/>
  <c r="Q113" i="5"/>
  <c r="BA108" i="5"/>
  <c r="AP63" i="5"/>
  <c r="N68" i="5"/>
  <c r="N73" i="5"/>
  <c r="J98" i="5"/>
  <c r="AV73" i="5"/>
  <c r="BK73" i="5"/>
  <c r="BK83" i="5"/>
  <c r="T58" i="5"/>
  <c r="BD63" i="5"/>
  <c r="AL93" i="5"/>
  <c r="F103" i="5"/>
  <c r="AO108" i="5"/>
  <c r="AJ78" i="5"/>
  <c r="AC103" i="5"/>
  <c r="BJ113" i="5"/>
  <c r="P98" i="5"/>
  <c r="AP73" i="5"/>
  <c r="AF108" i="5"/>
  <c r="L123" i="5"/>
  <c r="O113" i="5"/>
  <c r="BD68" i="5"/>
  <c r="AW123" i="5"/>
  <c r="P103" i="5"/>
  <c r="I98" i="5"/>
  <c r="E118" i="5"/>
  <c r="BH113" i="5"/>
  <c r="D108" i="5"/>
  <c r="AO83" i="5"/>
  <c r="AZ73" i="5"/>
  <c r="AC78" i="5"/>
  <c r="Z108" i="5"/>
  <c r="AY83" i="5"/>
  <c r="AX103" i="5"/>
  <c r="AM88" i="5"/>
  <c r="D68" i="5"/>
  <c r="N98" i="5"/>
  <c r="Y73" i="5"/>
  <c r="D103" i="5"/>
  <c r="AR68" i="5"/>
  <c r="AR73" i="5"/>
  <c r="G68" i="5"/>
  <c r="AH123" i="5"/>
  <c r="T68" i="5"/>
  <c r="AN63" i="5"/>
  <c r="M108" i="5"/>
  <c r="E58" i="5"/>
  <c r="BJ123" i="5"/>
  <c r="Y113" i="5"/>
  <c r="BF88" i="5"/>
  <c r="AW113" i="5"/>
  <c r="AC73" i="5"/>
  <c r="BE68" i="5"/>
  <c r="BI73" i="5"/>
  <c r="Y108" i="5"/>
  <c r="AW68" i="5"/>
  <c r="L63" i="5"/>
  <c r="AK108" i="5"/>
  <c r="S68" i="5"/>
  <c r="AD113" i="5"/>
  <c r="AH108" i="5"/>
  <c r="AO93" i="5"/>
  <c r="AD63" i="5"/>
  <c r="U73" i="5"/>
  <c r="M88" i="5"/>
  <c r="AM108" i="5"/>
  <c r="AB58" i="5"/>
  <c r="BE93" i="5"/>
  <c r="AT123" i="5"/>
  <c r="AS108" i="5"/>
  <c r="V73" i="5"/>
  <c r="BF113" i="5"/>
  <c r="R103" i="5"/>
  <c r="O123" i="5"/>
  <c r="BA93" i="5"/>
  <c r="G108" i="5"/>
  <c r="AW93" i="5"/>
  <c r="AG113" i="5"/>
  <c r="AG108" i="5"/>
  <c r="AB88" i="5"/>
  <c r="AX118" i="5"/>
  <c r="AF73" i="5"/>
  <c r="BJ98" i="5"/>
  <c r="AV108" i="5"/>
  <c r="G98" i="5"/>
  <c r="AO118" i="5"/>
  <c r="T88" i="5"/>
  <c r="AR83" i="5"/>
  <c r="BE88" i="5"/>
  <c r="AT68" i="5"/>
  <c r="AI63" i="5"/>
  <c r="O83" i="5"/>
  <c r="BJ88" i="5"/>
  <c r="BC83" i="5"/>
  <c r="BI108" i="5"/>
  <c r="AK88" i="5"/>
  <c r="AA88" i="5"/>
  <c r="AR108" i="5"/>
  <c r="U103" i="5"/>
  <c r="Q123" i="5"/>
  <c r="AY73" i="5"/>
  <c r="BJ63" i="5"/>
  <c r="BB73" i="5"/>
  <c r="D83" i="5"/>
  <c r="AJ93" i="5"/>
  <c r="AM73" i="5"/>
  <c r="S78" i="5"/>
  <c r="BF118" i="5"/>
  <c r="X88" i="5"/>
  <c r="T103" i="5"/>
  <c r="AO58" i="5"/>
  <c r="AY118" i="5"/>
  <c r="AC93" i="5"/>
  <c r="V63" i="5"/>
  <c r="BG118" i="5"/>
  <c r="AB108" i="5"/>
  <c r="T63" i="5"/>
  <c r="AU68" i="5"/>
  <c r="AC123" i="5"/>
  <c r="J103" i="5"/>
  <c r="BC100" i="5"/>
  <c r="BC60" i="5"/>
  <c r="BC110" i="5"/>
  <c r="AT105" i="5"/>
  <c r="BG100" i="5"/>
  <c r="BJ114" i="5"/>
  <c r="AT120" i="5"/>
  <c r="AT79" i="5"/>
  <c r="BG120" i="5"/>
  <c r="AT114" i="5"/>
  <c r="BC120" i="5"/>
  <c r="BG79" i="5"/>
  <c r="BJ79" i="5"/>
  <c r="BJ95" i="5"/>
  <c r="BC74" i="5"/>
  <c r="AT90" i="5"/>
  <c r="AT59" i="5"/>
  <c r="BG74" i="5"/>
  <c r="AT104" i="5"/>
  <c r="BJ74" i="5"/>
  <c r="BG89" i="5"/>
  <c r="AT64" i="5"/>
  <c r="BJ80" i="5"/>
  <c r="AT89" i="5"/>
  <c r="AT115" i="5"/>
  <c r="BJ125" i="5"/>
  <c r="BJ90" i="5"/>
  <c r="AT80" i="5"/>
  <c r="BJ124" i="5"/>
  <c r="AT99" i="5"/>
  <c r="AT60" i="5"/>
  <c r="AT95" i="5"/>
  <c r="AT65" i="5"/>
  <c r="BJ120" i="5"/>
  <c r="BJ94" i="5"/>
  <c r="BJ104" i="5"/>
  <c r="BC125" i="5"/>
  <c r="BG90" i="5"/>
  <c r="BC79" i="5"/>
  <c r="BC69" i="5"/>
  <c r="BG64" i="5"/>
  <c r="AT124" i="5"/>
  <c r="BC119" i="5"/>
  <c r="BJ60" i="5"/>
  <c r="BC59" i="5"/>
  <c r="BG114" i="5"/>
  <c r="AT94" i="5"/>
  <c r="BJ70" i="5"/>
  <c r="AT85" i="5"/>
  <c r="BC65" i="5"/>
  <c r="AT119" i="5"/>
  <c r="BJ64" i="5"/>
  <c r="BG59" i="5"/>
  <c r="BJ65" i="5"/>
  <c r="AT69" i="5"/>
  <c r="BJ105" i="5"/>
  <c r="BG117" i="5"/>
  <c r="BJ62" i="5"/>
  <c r="BC82" i="5"/>
  <c r="BJ87" i="5"/>
  <c r="AT67" i="5"/>
  <c r="BJ97" i="5"/>
  <c r="AT122" i="5"/>
  <c r="BJ122" i="5"/>
  <c r="BJ112" i="5"/>
  <c r="BC67" i="5"/>
  <c r="BC97" i="5"/>
  <c r="BJ57" i="5"/>
  <c r="AT62" i="5"/>
  <c r="BG72" i="5"/>
  <c r="AT72" i="5"/>
  <c r="BC77" i="5"/>
  <c r="AT107" i="5"/>
  <c r="AT77" i="5"/>
  <c r="BJ107" i="5"/>
  <c r="AT57" i="5"/>
  <c r="BJ102" i="5"/>
  <c r="BG107" i="5"/>
  <c r="BC117" i="5"/>
  <c r="AT102" i="5"/>
  <c r="BC112" i="5"/>
  <c r="BC102" i="5"/>
  <c r="BC57" i="5"/>
  <c r="BC107" i="5"/>
  <c r="AT97" i="5"/>
  <c r="AT82" i="5"/>
  <c r="BJ72" i="5"/>
  <c r="BJ92" i="5"/>
  <c r="BG57" i="5"/>
  <c r="AT117" i="5"/>
  <c r="BG67" i="5"/>
  <c r="BG62" i="5"/>
  <c r="BG102" i="5"/>
  <c r="BG112" i="5"/>
  <c r="BG77" i="5"/>
  <c r="BG97" i="5"/>
  <c r="BJ77" i="5"/>
  <c r="BJ82" i="5"/>
  <c r="BC122" i="5"/>
  <c r="BC87" i="5"/>
  <c r="BJ67" i="5"/>
  <c r="AT92" i="5"/>
  <c r="BC62" i="5"/>
  <c r="BG87" i="5"/>
  <c r="BG122" i="5"/>
  <c r="BC92" i="5"/>
  <c r="BG82" i="5"/>
  <c r="BG92" i="5"/>
  <c r="BC72" i="5"/>
  <c r="BJ117" i="5"/>
  <c r="AT112" i="5"/>
  <c r="AT87" i="5"/>
  <c r="AH35" i="5"/>
  <c r="AA35" i="5"/>
  <c r="AG35" i="5"/>
  <c r="AC35" i="5"/>
  <c r="O34" i="5"/>
  <c r="O42" i="5"/>
  <c r="AK35" i="5"/>
  <c r="O3" i="2"/>
  <c r="K31" i="2"/>
  <c r="O4" i="2"/>
  <c r="K32" i="2"/>
  <c r="N4" i="2"/>
  <c r="J32" i="2"/>
  <c r="N3" i="2"/>
  <c r="J31" i="2"/>
  <c r="AE35" i="5"/>
  <c r="X35" i="5"/>
  <c r="AF35" i="5"/>
  <c r="V35" i="5"/>
  <c r="AJ35" i="5"/>
  <c r="Y35" i="5"/>
  <c r="AI35" i="5"/>
  <c r="W35" i="5"/>
  <c r="T35" i="5"/>
  <c r="AB35" i="5"/>
  <c r="U35" i="5"/>
  <c r="P35" i="5"/>
  <c r="S35" i="5"/>
  <c r="AM35" i="5"/>
  <c r="P30" i="5"/>
  <c r="M26" i="5"/>
  <c r="M32" i="5"/>
  <c r="N26" i="5"/>
  <c r="N32" i="5"/>
  <c r="Q26" i="5"/>
  <c r="Q32" i="5"/>
  <c r="H42" i="5"/>
  <c r="AG26" i="5"/>
  <c r="S26" i="5"/>
  <c r="S32" i="5"/>
  <c r="L26" i="5"/>
  <c r="L32" i="5"/>
  <c r="J26" i="5"/>
  <c r="J32" i="5"/>
  <c r="K26" i="5"/>
  <c r="K32" i="5"/>
  <c r="I26" i="5"/>
  <c r="I32" i="5"/>
  <c r="D26" i="5"/>
  <c r="D32" i="5"/>
  <c r="P26" i="5"/>
  <c r="T26" i="5"/>
  <c r="T32" i="5"/>
  <c r="AL26" i="5"/>
  <c r="S34" i="5"/>
  <c r="H26" i="5"/>
  <c r="H32" i="5"/>
  <c r="D42" i="5"/>
  <c r="I34" i="5"/>
  <c r="I42" i="5"/>
  <c r="O32" i="5"/>
  <c r="AG34" i="5"/>
  <c r="AL34" i="5"/>
  <c r="AL42" i="5"/>
  <c r="AH26" i="5"/>
  <c r="AH34" i="5"/>
  <c r="Q34" i="5"/>
  <c r="Q42" i="5"/>
  <c r="E26" i="5"/>
  <c r="E32" i="5"/>
  <c r="E34" i="5"/>
  <c r="E42" i="5"/>
  <c r="AD26" i="5"/>
  <c r="AD34" i="5"/>
  <c r="AD42" i="5"/>
  <c r="N34" i="5"/>
  <c r="N42" i="5"/>
  <c r="R26" i="5"/>
  <c r="R32" i="5"/>
  <c r="R34" i="5"/>
  <c r="R42" i="5"/>
  <c r="AF26" i="5"/>
  <c r="AF34" i="5"/>
  <c r="U26" i="5"/>
  <c r="U32" i="5"/>
  <c r="U34" i="5"/>
  <c r="W26" i="5"/>
  <c r="W32" i="5"/>
  <c r="W34" i="5"/>
  <c r="AI26" i="5"/>
  <c r="AI34" i="5"/>
  <c r="K34" i="5"/>
  <c r="K42" i="5"/>
  <c r="T34" i="5"/>
  <c r="P34" i="5"/>
  <c r="V26" i="5"/>
  <c r="V32" i="5"/>
  <c r="V34" i="5"/>
  <c r="G26" i="5"/>
  <c r="G32" i="5"/>
  <c r="G34" i="5"/>
  <c r="G42" i="5"/>
  <c r="Z26" i="5"/>
  <c r="Z32" i="5"/>
  <c r="Z34" i="5"/>
  <c r="Z42" i="5"/>
  <c r="M34" i="5"/>
  <c r="M42" i="5"/>
  <c r="Y26" i="5"/>
  <c r="Y32" i="5"/>
  <c r="Y34" i="5"/>
  <c r="AK26" i="5"/>
  <c r="AK34" i="5"/>
  <c r="AE26" i="5"/>
  <c r="AE34" i="5"/>
  <c r="AJ26" i="5"/>
  <c r="AJ34" i="5"/>
  <c r="AC26" i="5"/>
  <c r="AC32" i="5"/>
  <c r="AC34" i="5"/>
  <c r="X26" i="5"/>
  <c r="X32" i="5"/>
  <c r="X34" i="5"/>
  <c r="F26" i="5"/>
  <c r="F32" i="5"/>
  <c r="F34" i="5"/>
  <c r="F42" i="5"/>
  <c r="AM26" i="5"/>
  <c r="AM34" i="5"/>
  <c r="AB26" i="5"/>
  <c r="AB32" i="5"/>
  <c r="AB34" i="5"/>
  <c r="J34" i="5"/>
  <c r="J42" i="5"/>
  <c r="AA26" i="5"/>
  <c r="AA32" i="5"/>
  <c r="AA34" i="5"/>
  <c r="L34" i="5"/>
  <c r="L42" i="5"/>
  <c r="AD30" i="5"/>
  <c r="BJ127" i="5"/>
  <c r="BJ128" i="5"/>
  <c r="BJ129" i="5"/>
  <c r="BG127" i="5"/>
  <c r="BG128" i="5"/>
  <c r="BG129" i="5"/>
  <c r="AT127" i="5"/>
  <c r="AT128" i="5"/>
  <c r="AT129" i="5"/>
  <c r="BC127" i="5"/>
  <c r="BC128" i="5"/>
  <c r="BC129" i="5"/>
  <c r="AG42" i="5"/>
  <c r="AA42" i="5"/>
  <c r="F32" i="2"/>
  <c r="P32" i="2"/>
  <c r="F31" i="2"/>
  <c r="P31" i="2"/>
  <c r="E31" i="2"/>
  <c r="O31" i="2"/>
  <c r="E32" i="2"/>
  <c r="O32" i="2"/>
  <c r="AC42" i="5"/>
  <c r="AB42" i="5"/>
  <c r="Y42" i="5"/>
  <c r="K4" i="2"/>
  <c r="AH42" i="5"/>
  <c r="X42" i="5"/>
  <c r="F4" i="2"/>
  <c r="AM42" i="5"/>
  <c r="AE42" i="5"/>
  <c r="AF42" i="5"/>
  <c r="AK42" i="5"/>
  <c r="D3" i="2"/>
  <c r="D4" i="2"/>
  <c r="W42" i="5"/>
  <c r="AI42" i="5"/>
  <c r="U42" i="5"/>
  <c r="P32" i="5"/>
  <c r="H3" i="2"/>
  <c r="J3" i="2"/>
  <c r="E3" i="2"/>
  <c r="K3" i="2"/>
  <c r="C3" i="2"/>
  <c r="I3" i="2"/>
  <c r="E4" i="2"/>
  <c r="C4" i="2"/>
  <c r="F3" i="2"/>
  <c r="V42" i="5"/>
  <c r="AJ42" i="5"/>
  <c r="S42" i="5"/>
  <c r="P42" i="5"/>
  <c r="H4" i="2"/>
  <c r="T42" i="5"/>
  <c r="G1" i="10"/>
  <c r="AD32" i="5"/>
  <c r="AE30" i="5"/>
  <c r="AE32" i="5"/>
  <c r="G3" i="2"/>
  <c r="M4" i="2"/>
  <c r="I32" i="2"/>
  <c r="G4" i="2"/>
  <c r="J4" i="2"/>
  <c r="L3" i="2"/>
  <c r="H31" i="2"/>
  <c r="I4" i="2"/>
  <c r="I8" i="11"/>
  <c r="B18" i="10"/>
  <c r="B19" i="10"/>
  <c r="AF30" i="5"/>
  <c r="AF32" i="5"/>
  <c r="D32" i="2"/>
  <c r="N32" i="2"/>
  <c r="C31" i="2"/>
  <c r="M31" i="2"/>
  <c r="L4" i="2"/>
  <c r="H32" i="2"/>
  <c r="G31" i="2"/>
  <c r="G32" i="2"/>
  <c r="B16" i="10"/>
  <c r="B17" i="10"/>
  <c r="AG30" i="5"/>
  <c r="AG32" i="5"/>
  <c r="C32" i="2"/>
  <c r="M32" i="2"/>
  <c r="B32" i="2"/>
  <c r="L32" i="2"/>
  <c r="B31" i="2"/>
  <c r="L31" i="2"/>
  <c r="G67" i="2"/>
  <c r="G72" i="2"/>
  <c r="G70" i="2"/>
  <c r="G71" i="2"/>
  <c r="B21" i="10"/>
  <c r="AH30" i="5"/>
  <c r="AH32" i="5"/>
  <c r="G2" i="10"/>
  <c r="B20" i="10"/>
  <c r="AI30" i="5"/>
  <c r="AI32" i="5"/>
  <c r="AJ30" i="5"/>
  <c r="AJ32" i="5"/>
  <c r="AK30" i="5"/>
  <c r="AK32" i="5"/>
  <c r="AM30" i="5"/>
  <c r="AM32" i="5"/>
  <c r="AL30" i="5"/>
  <c r="AL32" i="5"/>
  <c r="O60" i="5"/>
  <c r="O80" i="5"/>
  <c r="AC60" i="5"/>
  <c r="AL90" i="5"/>
  <c r="AD60" i="5"/>
  <c r="G110" i="5"/>
  <c r="G120" i="5"/>
  <c r="AF105" i="5"/>
  <c r="P109" i="5"/>
  <c r="I90" i="5"/>
  <c r="I85" i="5"/>
  <c r="AB80" i="5"/>
  <c r="M75" i="5"/>
  <c r="M90" i="5"/>
  <c r="F125" i="5"/>
  <c r="W70" i="5"/>
  <c r="AO60" i="5"/>
  <c r="AW84" i="5"/>
  <c r="R74" i="5"/>
  <c r="W84" i="5"/>
  <c r="W119" i="5"/>
  <c r="AE99" i="5"/>
  <c r="E100" i="5"/>
  <c r="AP69" i="5"/>
  <c r="V90" i="5"/>
  <c r="Q105" i="5"/>
  <c r="Q115" i="5"/>
  <c r="AP79" i="5"/>
  <c r="AN89" i="5"/>
  <c r="AP64" i="5"/>
  <c r="AN84" i="5"/>
  <c r="BH95" i="5"/>
  <c r="U94" i="5"/>
  <c r="U104" i="5"/>
  <c r="X100" i="5"/>
  <c r="E110" i="5"/>
  <c r="BK115" i="5"/>
  <c r="BI70" i="5"/>
  <c r="BB90" i="5"/>
  <c r="BD95" i="5"/>
  <c r="AZ125" i="5"/>
  <c r="BD120" i="5"/>
  <c r="AO125" i="5"/>
  <c r="BA119" i="5"/>
  <c r="AS85" i="5"/>
  <c r="AU69" i="5"/>
  <c r="AW60" i="5"/>
  <c r="BK119" i="5"/>
  <c r="AV74" i="5"/>
  <c r="AO124" i="5"/>
  <c r="AW59" i="5"/>
  <c r="BD59" i="5"/>
  <c r="AM125" i="5"/>
  <c r="T124" i="5"/>
  <c r="AC124" i="5"/>
  <c r="M79" i="5"/>
  <c r="AE119" i="5"/>
  <c r="AG115" i="5"/>
  <c r="V105" i="5"/>
  <c r="W64" i="5"/>
  <c r="S94" i="5"/>
  <c r="V59" i="5"/>
  <c r="F90" i="5"/>
  <c r="N94" i="5"/>
  <c r="AF110" i="5"/>
  <c r="AU100" i="5"/>
  <c r="AY115" i="5"/>
  <c r="R64" i="5"/>
  <c r="U74" i="5"/>
  <c r="U89" i="5"/>
  <c r="V124" i="5"/>
  <c r="E85" i="5"/>
  <c r="AG110" i="5"/>
  <c r="Y100" i="5"/>
  <c r="E75" i="5"/>
  <c r="Q125" i="5"/>
  <c r="Z124" i="5"/>
  <c r="AK85" i="5"/>
  <c r="Q120" i="5"/>
  <c r="BE74" i="5"/>
  <c r="Y105" i="5"/>
  <c r="M100" i="5"/>
  <c r="M110" i="5"/>
  <c r="AA85" i="5"/>
  <c r="BH124" i="5"/>
  <c r="BF99" i="5"/>
  <c r="AQ59" i="5"/>
  <c r="AZ84" i="5"/>
  <c r="AR114" i="5"/>
  <c r="BE84" i="5"/>
  <c r="BB114" i="5"/>
  <c r="AU59" i="5"/>
  <c r="AX109" i="5"/>
  <c r="BE100" i="5"/>
  <c r="AN59" i="5"/>
  <c r="AN105" i="5"/>
  <c r="AX69" i="5"/>
  <c r="BH60" i="5"/>
  <c r="BI75" i="5"/>
  <c r="AW100" i="5"/>
  <c r="BH74" i="5"/>
  <c r="AQ114" i="5"/>
  <c r="AX90" i="5"/>
  <c r="AU90" i="5"/>
  <c r="BD109" i="5"/>
  <c r="AU85" i="5"/>
  <c r="AW65" i="5"/>
  <c r="AV60" i="5"/>
  <c r="AW70" i="5"/>
  <c r="AV125" i="5"/>
  <c r="AQ105" i="5"/>
  <c r="AO74" i="5"/>
  <c r="BE94" i="5"/>
  <c r="AX75" i="5"/>
  <c r="AX85" i="5"/>
  <c r="BA74" i="5"/>
  <c r="AQ89" i="5"/>
  <c r="Z70" i="5"/>
  <c r="Y109" i="5"/>
  <c r="P69" i="5"/>
  <c r="AC119" i="5"/>
  <c r="AP105" i="5"/>
  <c r="AC89" i="5"/>
  <c r="BE65" i="5"/>
  <c r="BH110" i="5"/>
  <c r="AW104" i="5"/>
  <c r="AP100" i="5"/>
  <c r="AV115" i="5"/>
  <c r="AW80" i="5"/>
  <c r="BF60" i="5"/>
  <c r="AQ95" i="5"/>
  <c r="BI100" i="5"/>
  <c r="AO105" i="5"/>
  <c r="AY125" i="5"/>
  <c r="BF80" i="5"/>
  <c r="BA89" i="5"/>
  <c r="BF65" i="5"/>
  <c r="BA84" i="5"/>
  <c r="AW69" i="5"/>
  <c r="BA99" i="5"/>
  <c r="AR69" i="5"/>
  <c r="AS89" i="5"/>
  <c r="AW79" i="5"/>
  <c r="BD124" i="5"/>
  <c r="BA80" i="5"/>
  <c r="BI85" i="5"/>
  <c r="BF70" i="5"/>
  <c r="BB99" i="5"/>
  <c r="BB69" i="5"/>
  <c r="AN85" i="5"/>
  <c r="AN65" i="5"/>
  <c r="BE120" i="5"/>
  <c r="AN70" i="5"/>
  <c r="BE95" i="5"/>
  <c r="AN64" i="5"/>
  <c r="BH70" i="5"/>
  <c r="BE85" i="5"/>
  <c r="BI120" i="5"/>
  <c r="BB120" i="5"/>
  <c r="AW74" i="5"/>
  <c r="AW64" i="5"/>
  <c r="BK114" i="5"/>
  <c r="AN94" i="5"/>
  <c r="AP99" i="5"/>
  <c r="BB95" i="5"/>
  <c r="AP74" i="5"/>
  <c r="BI104" i="5"/>
  <c r="BK99" i="5"/>
  <c r="BI109" i="5"/>
  <c r="BK74" i="5"/>
  <c r="BD79" i="5"/>
  <c r="BB59" i="5"/>
  <c r="AY79" i="5"/>
  <c r="AZ99" i="5"/>
  <c r="AN104" i="5"/>
  <c r="AV84" i="5"/>
  <c r="AQ120" i="5"/>
  <c r="BE104" i="5"/>
  <c r="AV104" i="5"/>
  <c r="AA94" i="5"/>
  <c r="F60" i="5"/>
  <c r="V99" i="5"/>
  <c r="Q100" i="5"/>
  <c r="J75" i="5"/>
  <c r="BE90" i="5"/>
  <c r="Y125" i="5"/>
  <c r="K105" i="5"/>
  <c r="Q104" i="5"/>
  <c r="F89" i="5"/>
  <c r="S114" i="5"/>
  <c r="J120" i="5"/>
  <c r="AR80" i="5"/>
  <c r="AQ94" i="5"/>
  <c r="BI80" i="5"/>
  <c r="AY105" i="5"/>
  <c r="AS79" i="5"/>
  <c r="BE109" i="5"/>
  <c r="AP59" i="5"/>
  <c r="BB104" i="5"/>
  <c r="AR64" i="5"/>
  <c r="D100" i="5"/>
  <c r="F74" i="5"/>
  <c r="L75" i="5"/>
  <c r="AU75" i="5"/>
  <c r="AV89" i="5"/>
  <c r="P95" i="5"/>
  <c r="Y80" i="5"/>
  <c r="Q89" i="5"/>
  <c r="J119" i="5"/>
  <c r="Z100" i="5"/>
  <c r="AH114" i="5"/>
  <c r="AY64" i="5"/>
  <c r="AU120" i="5"/>
  <c r="BI74" i="5"/>
  <c r="AV85" i="5"/>
  <c r="AG94" i="5"/>
  <c r="AN114" i="5"/>
  <c r="D79" i="5"/>
  <c r="P70" i="5"/>
  <c r="AB104" i="5"/>
  <c r="W99" i="5"/>
  <c r="F95" i="5"/>
  <c r="AB75" i="5"/>
  <c r="BH79" i="5"/>
  <c r="BH84" i="5"/>
  <c r="AY124" i="5"/>
  <c r="AR100" i="5"/>
  <c r="AC75" i="5"/>
  <c r="AI115" i="5"/>
  <c r="AC70" i="5"/>
  <c r="BF64" i="5"/>
  <c r="X99" i="5"/>
  <c r="AJ90" i="5"/>
  <c r="L104" i="5"/>
  <c r="Y119" i="5"/>
  <c r="M105" i="5"/>
  <c r="S80" i="5"/>
  <c r="M124" i="5"/>
  <c r="Q70" i="5"/>
  <c r="AE75" i="5"/>
  <c r="Q85" i="5"/>
  <c r="AM95" i="5"/>
  <c r="AA59" i="5"/>
  <c r="AA69" i="5"/>
  <c r="D109" i="5"/>
  <c r="AA110" i="5"/>
  <c r="Y79" i="5"/>
  <c r="AS75" i="5"/>
  <c r="P100" i="5"/>
  <c r="AK60" i="5"/>
  <c r="AH70" i="5"/>
  <c r="H114" i="5"/>
  <c r="L119" i="5"/>
  <c r="AA114" i="5"/>
  <c r="U69" i="5"/>
  <c r="BA94" i="5"/>
  <c r="BF104" i="5"/>
  <c r="BI114" i="5"/>
  <c r="BD125" i="5"/>
  <c r="AZ100" i="5"/>
  <c r="AZ75" i="5"/>
  <c r="AW89" i="5"/>
  <c r="AN69" i="5"/>
  <c r="BF90" i="5"/>
  <c r="BB115" i="5"/>
  <c r="BD104" i="5"/>
  <c r="E125" i="5"/>
  <c r="T104" i="5"/>
  <c r="F59" i="5"/>
  <c r="AM105" i="5"/>
  <c r="Y60" i="5"/>
  <c r="AR124" i="5"/>
  <c r="O105" i="5"/>
  <c r="K124" i="5"/>
  <c r="AL75" i="5"/>
  <c r="AE69" i="5"/>
  <c r="AA89" i="5"/>
  <c r="AH115" i="5"/>
  <c r="AR99" i="5"/>
  <c r="AO114" i="5"/>
  <c r="P85" i="5"/>
  <c r="AX65" i="5"/>
  <c r="AS80" i="5"/>
  <c r="AC100" i="5"/>
  <c r="D70" i="5"/>
  <c r="T90" i="5"/>
  <c r="AZ85" i="5"/>
  <c r="BD84" i="5"/>
  <c r="AW125" i="5"/>
  <c r="AV69" i="5"/>
  <c r="AV64" i="5"/>
  <c r="AV79" i="5"/>
  <c r="BF69" i="5"/>
  <c r="BA95" i="5"/>
  <c r="AU125" i="5"/>
  <c r="BA85" i="5"/>
  <c r="AS95" i="5"/>
  <c r="BB70" i="5"/>
  <c r="BF105" i="5"/>
  <c r="BF120" i="5"/>
  <c r="BF95" i="5"/>
  <c r="AO89" i="5"/>
  <c r="AO70" i="5"/>
  <c r="AO65" i="5"/>
  <c r="AZ124" i="5"/>
  <c r="AU80" i="5"/>
  <c r="BA110" i="5"/>
  <c r="BA105" i="5"/>
  <c r="AO80" i="5"/>
  <c r="BB65" i="5"/>
  <c r="AS114" i="5"/>
  <c r="AX100" i="5"/>
  <c r="Y115" i="5"/>
  <c r="W109" i="5"/>
  <c r="R94" i="5"/>
  <c r="K69" i="5"/>
  <c r="AW85" i="5"/>
  <c r="AV99" i="5"/>
  <c r="BB80" i="5"/>
  <c r="BE119" i="5"/>
  <c r="AW120" i="5"/>
  <c r="BB110" i="5"/>
  <c r="AU79" i="5"/>
  <c r="BA109" i="5"/>
  <c r="BA104" i="5"/>
  <c r="AO79" i="5"/>
  <c r="AW110" i="5"/>
  <c r="AW105" i="5"/>
  <c r="BD115" i="5"/>
  <c r="BA100" i="5"/>
  <c r="AC94" i="5"/>
  <c r="BB64" i="5"/>
  <c r="BB79" i="5"/>
  <c r="AZ109" i="5"/>
  <c r="BK110" i="5"/>
  <c r="AZ70" i="5"/>
  <c r="AS65" i="5"/>
  <c r="AW95" i="5"/>
  <c r="AO115" i="5"/>
  <c r="AS100" i="5"/>
  <c r="AW115" i="5"/>
  <c r="AU84" i="5"/>
  <c r="AZ79" i="5"/>
  <c r="AV119" i="5"/>
  <c r="N69" i="5"/>
  <c r="AJ65" i="5"/>
  <c r="AM110" i="5"/>
  <c r="X124" i="5"/>
  <c r="AX89" i="5"/>
  <c r="J104" i="5"/>
  <c r="AQ119" i="5"/>
  <c r="AY110" i="5"/>
  <c r="AR79" i="5"/>
  <c r="AZ110" i="5"/>
  <c r="T109" i="5"/>
  <c r="AG90" i="5"/>
  <c r="AQ79" i="5"/>
  <c r="AI85" i="5"/>
  <c r="E60" i="5"/>
  <c r="J94" i="5"/>
  <c r="O65" i="5"/>
  <c r="AO120" i="5"/>
  <c r="I80" i="5"/>
  <c r="J114" i="5"/>
  <c r="AD95" i="5"/>
  <c r="W95" i="5"/>
  <c r="AN80" i="5"/>
  <c r="AY59" i="5"/>
  <c r="L65" i="5"/>
  <c r="N120" i="5"/>
  <c r="E84" i="5"/>
  <c r="I109" i="5"/>
  <c r="F85" i="5"/>
  <c r="I124" i="5"/>
  <c r="AD110" i="5"/>
  <c r="X75" i="5"/>
  <c r="AC64" i="5"/>
  <c r="AC59" i="5"/>
  <c r="AG69" i="5"/>
  <c r="N95" i="5"/>
  <c r="G85" i="5"/>
  <c r="T80" i="5"/>
  <c r="AX59" i="5"/>
  <c r="BF94" i="5"/>
  <c r="AV100" i="5"/>
  <c r="AX105" i="5"/>
  <c r="AP114" i="5"/>
  <c r="AQ124" i="5"/>
  <c r="AS125" i="5"/>
  <c r="BK75" i="5"/>
  <c r="AQ100" i="5"/>
  <c r="AR59" i="5"/>
  <c r="BB89" i="5"/>
  <c r="BK60" i="5"/>
  <c r="AO85" i="5"/>
  <c r="AW90" i="5"/>
  <c r="BD90" i="5"/>
  <c r="AO75" i="5"/>
  <c r="AW109" i="5"/>
  <c r="U84" i="5"/>
  <c r="Z89" i="5"/>
  <c r="J64" i="5"/>
  <c r="AG74" i="5"/>
  <c r="AS90" i="5"/>
  <c r="AH79" i="5"/>
  <c r="F75" i="5"/>
  <c r="AY89" i="5"/>
  <c r="AU99" i="5"/>
  <c r="S74" i="5"/>
  <c r="L95" i="5"/>
  <c r="AA109" i="5"/>
  <c r="U125" i="5"/>
  <c r="S59" i="5"/>
  <c r="S69" i="5"/>
  <c r="T119" i="5"/>
  <c r="BI95" i="5"/>
  <c r="AQ64" i="5"/>
  <c r="BH89" i="5"/>
  <c r="AS120" i="5"/>
  <c r="AQ80" i="5"/>
  <c r="BE64" i="5"/>
  <c r="F110" i="5"/>
  <c r="H110" i="5"/>
  <c r="AP90" i="5"/>
  <c r="I64" i="5"/>
  <c r="BI124" i="5"/>
  <c r="I89" i="5"/>
  <c r="L69" i="5"/>
  <c r="I120" i="5"/>
  <c r="AL100" i="5"/>
  <c r="AA125" i="5"/>
  <c r="H99" i="5"/>
  <c r="D94" i="5"/>
  <c r="AM70" i="5"/>
  <c r="BD69" i="5"/>
  <c r="AK75" i="5"/>
  <c r="AY69" i="5"/>
  <c r="AV94" i="5"/>
  <c r="BK65" i="5"/>
  <c r="BF114" i="5"/>
  <c r="H94" i="5"/>
  <c r="AD84" i="5"/>
  <c r="AJ110" i="5"/>
  <c r="AP75" i="5"/>
  <c r="N65" i="5"/>
  <c r="N85" i="5"/>
  <c r="AE80" i="5"/>
  <c r="P105" i="5"/>
  <c r="AN109" i="5"/>
  <c r="AR75" i="5"/>
  <c r="BH100" i="5"/>
  <c r="BB75" i="5"/>
  <c r="AY114" i="5"/>
  <c r="AS99" i="5"/>
  <c r="BK84" i="5"/>
  <c r="BD65" i="5"/>
  <c r="BD100" i="5"/>
  <c r="D110" i="5"/>
  <c r="AB94" i="5"/>
  <c r="AG85" i="5"/>
  <c r="AW114" i="5"/>
  <c r="BA65" i="5"/>
  <c r="W94" i="5"/>
  <c r="L109" i="5"/>
  <c r="J95" i="5"/>
  <c r="S65" i="5"/>
  <c r="D124" i="5"/>
  <c r="G99" i="5"/>
  <c r="AB69" i="5"/>
  <c r="AA65" i="5"/>
  <c r="W105" i="5"/>
  <c r="AA75" i="5"/>
  <c r="AB90" i="5"/>
  <c r="V80" i="5"/>
  <c r="AF64" i="5"/>
  <c r="AG109" i="5"/>
  <c r="L59" i="5"/>
  <c r="J125" i="5"/>
  <c r="D120" i="5"/>
  <c r="W110" i="5"/>
  <c r="AV114" i="5"/>
  <c r="BH65" i="5"/>
  <c r="AP65" i="5"/>
  <c r="AS69" i="5"/>
  <c r="AR125" i="5"/>
  <c r="BA79" i="5"/>
  <c r="R110" i="5"/>
  <c r="U75" i="5"/>
  <c r="AC95" i="5"/>
  <c r="AF104" i="5"/>
  <c r="M109" i="5"/>
  <c r="V89" i="5"/>
  <c r="AH75" i="5"/>
  <c r="Q119" i="5"/>
  <c r="Y114" i="5"/>
  <c r="G89" i="5"/>
  <c r="AC110" i="5"/>
  <c r="BF59" i="5"/>
  <c r="G90" i="5"/>
  <c r="AO109" i="5"/>
  <c r="AO119" i="5"/>
  <c r="F94" i="5"/>
  <c r="N105" i="5"/>
  <c r="G105" i="5"/>
  <c r="I79" i="5"/>
  <c r="R100" i="5"/>
  <c r="L105" i="5"/>
  <c r="AB124" i="5"/>
  <c r="F64" i="5"/>
  <c r="BD80" i="5"/>
  <c r="AW94" i="5"/>
  <c r="S119" i="5"/>
  <c r="BB109" i="5"/>
  <c r="AZ95" i="5"/>
  <c r="BE70" i="5"/>
  <c r="T95" i="5"/>
  <c r="Q109" i="5"/>
  <c r="V75" i="5"/>
  <c r="K110" i="5"/>
  <c r="AK115" i="5"/>
  <c r="AY100" i="5"/>
  <c r="H65" i="5"/>
  <c r="AG124" i="5"/>
  <c r="D85" i="5"/>
  <c r="L100" i="5"/>
  <c r="P115" i="5"/>
  <c r="AB100" i="5"/>
  <c r="V69" i="5"/>
  <c r="V79" i="5"/>
  <c r="AN60" i="5"/>
  <c r="AU105" i="5"/>
  <c r="BI105" i="5"/>
  <c r="AU94" i="5"/>
  <c r="BA59" i="5"/>
  <c r="BK80" i="5"/>
  <c r="N114" i="5"/>
  <c r="AJ75" i="5"/>
  <c r="AM85" i="5"/>
  <c r="AQ60" i="5"/>
  <c r="AG89" i="5"/>
  <c r="V64" i="5"/>
  <c r="AQ110" i="5"/>
  <c r="D119" i="5"/>
  <c r="G75" i="5"/>
  <c r="H79" i="5"/>
  <c r="X120" i="5"/>
  <c r="AF119" i="5"/>
  <c r="AA124" i="5"/>
  <c r="AD100" i="5"/>
  <c r="Z119" i="5"/>
  <c r="AI69" i="5"/>
  <c r="H80" i="5"/>
  <c r="S99" i="5"/>
  <c r="T85" i="5"/>
  <c r="AJ125" i="5"/>
  <c r="AN120" i="5"/>
  <c r="G115" i="5"/>
  <c r="P94" i="5"/>
  <c r="U65" i="5"/>
  <c r="AF79" i="5"/>
  <c r="D75" i="5"/>
  <c r="AC105" i="5"/>
  <c r="AI125" i="5"/>
  <c r="X125" i="5"/>
  <c r="AC90" i="5"/>
  <c r="J59" i="5"/>
  <c r="AF85" i="5"/>
  <c r="J85" i="5"/>
  <c r="O119" i="5"/>
  <c r="Z79" i="5"/>
  <c r="N109" i="5"/>
  <c r="T89" i="5"/>
  <c r="AD70" i="5"/>
  <c r="I59" i="5"/>
  <c r="AD59" i="5"/>
  <c r="AG70" i="5"/>
  <c r="I110" i="5"/>
  <c r="L120" i="5"/>
  <c r="I104" i="5"/>
  <c r="AM65" i="5"/>
  <c r="BA120" i="5"/>
  <c r="G64" i="5"/>
  <c r="AU60" i="5"/>
  <c r="AZ80" i="5"/>
  <c r="D74" i="5"/>
  <c r="D99" i="5"/>
  <c r="H105" i="5"/>
  <c r="R124" i="5"/>
  <c r="AM75" i="5"/>
  <c r="AB74" i="5"/>
  <c r="N119" i="5"/>
  <c r="U90" i="5"/>
  <c r="AE125" i="5"/>
  <c r="AH110" i="5"/>
  <c r="F84" i="5"/>
  <c r="Z90" i="5"/>
  <c r="G59" i="5"/>
  <c r="V125" i="5"/>
  <c r="S110" i="5"/>
  <c r="BF74" i="5"/>
  <c r="U64" i="5"/>
  <c r="P89" i="5"/>
  <c r="O125" i="5"/>
  <c r="K74" i="5"/>
  <c r="AF60" i="5"/>
  <c r="AJ94" i="5"/>
  <c r="AJ89" i="5"/>
  <c r="AF120" i="5"/>
  <c r="AS59" i="5"/>
  <c r="AH85" i="5"/>
  <c r="V120" i="5"/>
  <c r="D114" i="5"/>
  <c r="Z59" i="5"/>
  <c r="H60" i="5"/>
  <c r="G119" i="5"/>
  <c r="M115" i="5"/>
  <c r="AI79" i="5"/>
  <c r="AI95" i="5"/>
  <c r="AK70" i="5"/>
  <c r="BI69" i="5"/>
  <c r="AE90" i="5"/>
  <c r="AD99" i="5"/>
  <c r="BI89" i="5"/>
  <c r="Y124" i="5"/>
  <c r="AH94" i="5"/>
  <c r="BB74" i="5"/>
  <c r="V104" i="5"/>
  <c r="AX119" i="5"/>
  <c r="X74" i="5"/>
  <c r="AS110" i="5"/>
  <c r="BK79" i="5"/>
  <c r="AZ120" i="5"/>
  <c r="AR84" i="5"/>
  <c r="AF100" i="5"/>
  <c r="I99" i="5"/>
  <c r="BA70" i="5"/>
  <c r="J100" i="5"/>
  <c r="AX110" i="5"/>
  <c r="AD75" i="5"/>
  <c r="AE89" i="5"/>
  <c r="AZ94" i="5"/>
  <c r="M84" i="5"/>
  <c r="U109" i="5"/>
  <c r="X104" i="5"/>
  <c r="BK105" i="5"/>
  <c r="BF124" i="5"/>
  <c r="AU74" i="5"/>
  <c r="AZ69" i="5"/>
  <c r="AN124" i="5"/>
  <c r="AJ85" i="5"/>
  <c r="K70" i="5"/>
  <c r="U114" i="5"/>
  <c r="AF75" i="5"/>
  <c r="AY70" i="5"/>
  <c r="AR90" i="5"/>
  <c r="AG114" i="5"/>
  <c r="AA100" i="5"/>
  <c r="E95" i="5"/>
  <c r="K125" i="5"/>
  <c r="AL60" i="5"/>
  <c r="BK69" i="5"/>
  <c r="O114" i="5"/>
  <c r="W115" i="5"/>
  <c r="AC115" i="5"/>
  <c r="U85" i="5"/>
  <c r="AM115" i="5"/>
  <c r="AI84" i="5"/>
  <c r="AF80" i="5"/>
  <c r="U70" i="5"/>
  <c r="AV95" i="5"/>
  <c r="V94" i="5"/>
  <c r="AP120" i="5"/>
  <c r="W65" i="5"/>
  <c r="AS124" i="5"/>
  <c r="U59" i="5"/>
  <c r="D90" i="5"/>
  <c r="AF99" i="5"/>
  <c r="I70" i="5"/>
  <c r="Q64" i="5"/>
  <c r="Q60" i="5"/>
  <c r="Y84" i="5"/>
  <c r="BE124" i="5"/>
  <c r="AZ105" i="5"/>
  <c r="AA60" i="5"/>
  <c r="G100" i="5"/>
  <c r="AJ100" i="5"/>
  <c r="AC109" i="5"/>
  <c r="R75" i="5"/>
  <c r="W120" i="5"/>
  <c r="U120" i="5"/>
  <c r="AE114" i="5"/>
  <c r="AI104" i="5"/>
  <c r="AD109" i="5"/>
  <c r="AI74" i="5"/>
  <c r="AF114" i="5"/>
  <c r="BA124" i="5"/>
  <c r="W124" i="5"/>
  <c r="R120" i="5"/>
  <c r="AG125" i="5"/>
  <c r="T59" i="5"/>
  <c r="BK94" i="5"/>
  <c r="AU119" i="5"/>
  <c r="O99" i="5"/>
  <c r="D125" i="5"/>
  <c r="I84" i="5"/>
  <c r="M104" i="5"/>
  <c r="F115" i="5"/>
  <c r="G79" i="5"/>
  <c r="E80" i="5"/>
  <c r="E59" i="5"/>
  <c r="X65" i="5"/>
  <c r="AE60" i="5"/>
  <c r="AI105" i="5"/>
  <c r="AR85" i="5"/>
  <c r="P120" i="5"/>
  <c r="AI124" i="5"/>
  <c r="T74" i="5"/>
  <c r="AG64" i="5"/>
  <c r="K89" i="5"/>
  <c r="P110" i="5"/>
  <c r="AU124" i="5"/>
  <c r="W89" i="5"/>
  <c r="AJ84" i="5"/>
  <c r="AJ114" i="5"/>
  <c r="H64" i="5"/>
  <c r="Z114" i="5"/>
  <c r="AB79" i="5"/>
  <c r="AQ109" i="5"/>
  <c r="R85" i="5"/>
  <c r="AJ99" i="5"/>
  <c r="AK125" i="5"/>
  <c r="L99" i="5"/>
  <c r="S79" i="5"/>
  <c r="AE84" i="5"/>
  <c r="AX95" i="5"/>
  <c r="BI110" i="5"/>
  <c r="Q65" i="5"/>
  <c r="AK90" i="5"/>
  <c r="AE59" i="5"/>
  <c r="AG60" i="5"/>
  <c r="E105" i="5"/>
  <c r="BK70" i="5"/>
  <c r="L79" i="5"/>
  <c r="E70" i="5"/>
  <c r="BE105" i="5"/>
  <c r="V84" i="5"/>
  <c r="O120" i="5"/>
  <c r="Q75" i="5"/>
  <c r="BI84" i="5"/>
  <c r="J115" i="5"/>
  <c r="AB109" i="5"/>
  <c r="T60" i="5"/>
  <c r="X79" i="5"/>
  <c r="AB99" i="5"/>
  <c r="H109" i="5"/>
  <c r="Y85" i="5"/>
  <c r="O75" i="5"/>
  <c r="AR120" i="5"/>
  <c r="AY109" i="5"/>
  <c r="AV70" i="5"/>
  <c r="BH99" i="5"/>
  <c r="L64" i="5"/>
  <c r="AB125" i="5"/>
  <c r="AF115" i="5"/>
  <c r="L114" i="5"/>
  <c r="AQ74" i="5"/>
  <c r="BD85" i="5"/>
  <c r="AV120" i="5"/>
  <c r="BE79" i="5"/>
  <c r="BH104" i="5"/>
  <c r="AV110" i="5"/>
  <c r="AP89" i="5"/>
  <c r="T94" i="5"/>
  <c r="V65" i="5"/>
  <c r="AR70" i="5"/>
  <c r="K114" i="5"/>
  <c r="J70" i="5"/>
  <c r="AL105" i="5"/>
  <c r="AO59" i="5"/>
  <c r="H120" i="5"/>
  <c r="AC80" i="5"/>
  <c r="D60" i="5"/>
  <c r="BK104" i="5"/>
  <c r="BD74" i="5"/>
  <c r="AN75" i="5"/>
  <c r="BH75" i="5"/>
  <c r="BD110" i="5"/>
  <c r="BF75" i="5"/>
  <c r="AV59" i="5"/>
  <c r="AS109" i="5"/>
  <c r="BI125" i="5"/>
  <c r="BE115" i="5"/>
  <c r="BH85" i="5"/>
  <c r="BF125" i="5"/>
  <c r="BH69" i="5"/>
  <c r="V85" i="5"/>
  <c r="AD119" i="5"/>
  <c r="AW75" i="5"/>
  <c r="AQ90" i="5"/>
  <c r="BE59" i="5"/>
  <c r="BK85" i="5"/>
  <c r="AZ90" i="5"/>
  <c r="AR89" i="5"/>
  <c r="BH115" i="5"/>
  <c r="O104" i="5"/>
  <c r="AX125" i="5"/>
  <c r="BD64" i="5"/>
  <c r="BF85" i="5"/>
  <c r="AR119" i="5"/>
  <c r="BE69" i="5"/>
  <c r="AV109" i="5"/>
  <c r="N59" i="5"/>
  <c r="AG119" i="5"/>
  <c r="AI100" i="5"/>
  <c r="AU70" i="5"/>
  <c r="BH64" i="5"/>
  <c r="AK65" i="5"/>
  <c r="N74" i="5"/>
  <c r="AC125" i="5"/>
  <c r="BA64" i="5"/>
  <c r="V114" i="5"/>
  <c r="AI75" i="5"/>
  <c r="BE114" i="5"/>
  <c r="AE70" i="5"/>
  <c r="D105" i="5"/>
  <c r="BD119" i="5"/>
  <c r="S85" i="5"/>
  <c r="T70" i="5"/>
  <c r="L94" i="5"/>
  <c r="AZ64" i="5"/>
  <c r="AO64" i="5"/>
  <c r="AX120" i="5"/>
  <c r="BF89" i="5"/>
  <c r="AU115" i="5"/>
  <c r="AQ75" i="5"/>
  <c r="AS115" i="5"/>
  <c r="AO100" i="5"/>
  <c r="BH90" i="5"/>
  <c r="O124" i="5"/>
  <c r="AL95" i="5"/>
  <c r="AB85" i="5"/>
  <c r="N70" i="5"/>
  <c r="BE75" i="5"/>
  <c r="AA90" i="5"/>
  <c r="AO99" i="5"/>
  <c r="R104" i="5"/>
  <c r="BB94" i="5"/>
  <c r="AP60" i="5"/>
  <c r="AS105" i="5"/>
  <c r="K99" i="5"/>
  <c r="BD94" i="5"/>
  <c r="AI110" i="5"/>
  <c r="M60" i="5"/>
  <c r="AK110" i="5"/>
  <c r="V74" i="5"/>
  <c r="AV90" i="5"/>
  <c r="G80" i="5"/>
  <c r="AZ89" i="5"/>
  <c r="BI59" i="5"/>
  <c r="AH125" i="5"/>
  <c r="AF90" i="5"/>
  <c r="X115" i="5"/>
  <c r="AA84" i="5"/>
  <c r="AR74" i="5"/>
  <c r="AZ60" i="5"/>
  <c r="BE60" i="5"/>
  <c r="AY80" i="5"/>
  <c r="AS74" i="5"/>
  <c r="T115" i="5"/>
  <c r="BA125" i="5"/>
  <c r="N60" i="5"/>
  <c r="K94" i="5"/>
  <c r="AB105" i="5"/>
  <c r="T64" i="5"/>
  <c r="V119" i="5"/>
  <c r="R65" i="5"/>
  <c r="R95" i="5"/>
  <c r="Z85" i="5"/>
  <c r="AN110" i="5"/>
  <c r="BE110" i="5"/>
  <c r="AP80" i="5"/>
  <c r="AL85" i="5"/>
  <c r="J69" i="5"/>
  <c r="AA99" i="5"/>
  <c r="AW119" i="5"/>
  <c r="AE85" i="5"/>
  <c r="G125" i="5"/>
  <c r="Z110" i="5"/>
  <c r="AC79" i="5"/>
  <c r="T75" i="5"/>
  <c r="Y64" i="5"/>
  <c r="T114" i="5"/>
  <c r="AZ119" i="5"/>
  <c r="AX64" i="5"/>
  <c r="BF84" i="5"/>
  <c r="AR109" i="5"/>
  <c r="BA60" i="5"/>
  <c r="R70" i="5"/>
  <c r="AQ70" i="5"/>
  <c r="J124" i="5"/>
  <c r="BI64" i="5"/>
  <c r="N64" i="5"/>
  <c r="AP95" i="5"/>
  <c r="AL80" i="5"/>
  <c r="BD99" i="5"/>
  <c r="AU95" i="5"/>
  <c r="U80" i="5"/>
  <c r="H124" i="5"/>
  <c r="I95" i="5"/>
  <c r="AF69" i="5"/>
  <c r="H70" i="5"/>
  <c r="AD94" i="5"/>
  <c r="I115" i="5"/>
  <c r="AI64" i="5"/>
  <c r="I119" i="5"/>
  <c r="W60" i="5"/>
  <c r="W100" i="5"/>
  <c r="X84" i="5"/>
  <c r="Z105" i="5"/>
  <c r="AE104" i="5"/>
  <c r="J65" i="5"/>
  <c r="J79" i="5"/>
  <c r="N80" i="5"/>
  <c r="E115" i="5"/>
  <c r="U124" i="5"/>
  <c r="AL115" i="5"/>
  <c r="D65" i="5"/>
  <c r="S125" i="5"/>
  <c r="AH60" i="5"/>
  <c r="BB124" i="5"/>
  <c r="AY120" i="5"/>
  <c r="Y110" i="5"/>
  <c r="U100" i="5"/>
  <c r="BD89" i="5"/>
  <c r="Z75" i="5"/>
  <c r="T65" i="5"/>
  <c r="N99" i="5"/>
  <c r="K59" i="5"/>
  <c r="Z95" i="5"/>
  <c r="AM120" i="5"/>
  <c r="BD75" i="5"/>
  <c r="AJ59" i="5"/>
  <c r="AO69" i="5"/>
  <c r="R84" i="5"/>
  <c r="BI119" i="5"/>
  <c r="AU104" i="5"/>
  <c r="AG104" i="5"/>
  <c r="S100" i="5"/>
  <c r="R115" i="5"/>
  <c r="R59" i="5"/>
  <c r="H89" i="5"/>
  <c r="P114" i="5"/>
  <c r="AI90" i="5"/>
  <c r="R119" i="5"/>
  <c r="AY104" i="5"/>
  <c r="E109" i="5"/>
  <c r="G74" i="5"/>
  <c r="F65" i="5"/>
  <c r="P84" i="5"/>
  <c r="AE65" i="5"/>
  <c r="Y95" i="5"/>
  <c r="T99" i="5"/>
  <c r="AA64" i="5"/>
  <c r="AQ99" i="5"/>
  <c r="Q99" i="5"/>
  <c r="AH109" i="5"/>
  <c r="BH114" i="5"/>
  <c r="AJ115" i="5"/>
  <c r="H74" i="5"/>
  <c r="AY60" i="5"/>
  <c r="K79" i="5"/>
  <c r="F104" i="5"/>
  <c r="M99" i="5"/>
  <c r="P104" i="5"/>
  <c r="L80" i="5"/>
  <c r="AI99" i="5"/>
  <c r="E124" i="5"/>
  <c r="N79" i="5"/>
  <c r="W114" i="5"/>
  <c r="AI60" i="5"/>
  <c r="AO104" i="5"/>
  <c r="W104" i="5"/>
  <c r="E104" i="5"/>
  <c r="Y74" i="5"/>
  <c r="J99" i="5"/>
  <c r="M95" i="5"/>
  <c r="AB60" i="5"/>
  <c r="N104" i="5"/>
  <c r="W79" i="5"/>
  <c r="AZ65" i="5"/>
  <c r="W80" i="5"/>
  <c r="AJ60" i="5"/>
  <c r="K85" i="5"/>
  <c r="AH69" i="5"/>
  <c r="O69" i="5"/>
  <c r="M69" i="5"/>
  <c r="Y104" i="5"/>
  <c r="E120" i="5"/>
  <c r="X59" i="5"/>
  <c r="AJ95" i="5"/>
  <c r="AJ79" i="5"/>
  <c r="M59" i="5"/>
  <c r="BE125" i="5"/>
  <c r="AJ119" i="5"/>
  <c r="AO95" i="5"/>
  <c r="U99" i="5"/>
  <c r="AN125" i="5"/>
  <c r="AF125" i="5"/>
  <c r="AK105" i="5"/>
  <c r="AD89" i="5"/>
  <c r="AH105" i="5"/>
  <c r="AE64" i="5"/>
  <c r="AB114" i="5"/>
  <c r="N75" i="5"/>
  <c r="AD80" i="5"/>
  <c r="S90" i="5"/>
  <c r="AE115" i="5"/>
  <c r="BK64" i="5"/>
  <c r="AX124" i="5"/>
  <c r="Z65" i="5"/>
  <c r="S109" i="5"/>
  <c r="AY90" i="5"/>
  <c r="M74" i="5"/>
  <c r="AH119" i="5"/>
  <c r="J89" i="5"/>
  <c r="AA105" i="5"/>
  <c r="AI65" i="5"/>
  <c r="K90" i="5"/>
  <c r="AZ114" i="5"/>
  <c r="AU89" i="5"/>
  <c r="AA74" i="5"/>
  <c r="AN99" i="5"/>
  <c r="AU64" i="5"/>
  <c r="BH59" i="5"/>
  <c r="BH94" i="5"/>
  <c r="X94" i="5"/>
  <c r="K109" i="5"/>
  <c r="Z104" i="5"/>
  <c r="F120" i="5"/>
  <c r="S95" i="5"/>
  <c r="AA80" i="5"/>
  <c r="N110" i="5"/>
  <c r="BI94" i="5"/>
  <c r="J105" i="5"/>
  <c r="G94" i="5"/>
  <c r="AH100" i="5"/>
  <c r="AB95" i="5"/>
  <c r="AB70" i="5"/>
  <c r="AM80" i="5"/>
  <c r="AH74" i="5"/>
  <c r="K104" i="5"/>
  <c r="AW99" i="5"/>
  <c r="AN79" i="5"/>
  <c r="W85" i="5"/>
  <c r="L125" i="5"/>
  <c r="Z125" i="5"/>
  <c r="AI59" i="5"/>
  <c r="AX94" i="5"/>
  <c r="X89" i="5"/>
  <c r="S84" i="5"/>
  <c r="AI80" i="5"/>
  <c r="AH99" i="5"/>
  <c r="P80" i="5"/>
  <c r="M114" i="5"/>
  <c r="H100" i="5"/>
  <c r="AC120" i="5"/>
  <c r="V115" i="5"/>
  <c r="E119" i="5"/>
  <c r="U60" i="5"/>
  <c r="P74" i="5"/>
  <c r="AB120" i="5"/>
  <c r="P90" i="5"/>
  <c r="J80" i="5"/>
  <c r="M94" i="5"/>
  <c r="Z84" i="5"/>
  <c r="Z120" i="5"/>
  <c r="AG84" i="5"/>
  <c r="Z80" i="5"/>
  <c r="Y94" i="5"/>
  <c r="W90" i="5"/>
  <c r="AD79" i="5"/>
  <c r="AG100" i="5"/>
  <c r="L70" i="5"/>
  <c r="AI119" i="5"/>
  <c r="I100" i="5"/>
  <c r="AD115" i="5"/>
  <c r="I60" i="5"/>
  <c r="AM90" i="5"/>
  <c r="AH104" i="5"/>
  <c r="AC65" i="5"/>
  <c r="J74" i="5"/>
  <c r="AG95" i="5"/>
  <c r="AB110" i="5"/>
  <c r="Q80" i="5"/>
  <c r="AE74" i="5"/>
  <c r="M85" i="5"/>
  <c r="AB65" i="5"/>
  <c r="Q84" i="5"/>
  <c r="R80" i="5"/>
  <c r="G69" i="5"/>
  <c r="AI89" i="5"/>
  <c r="AS94" i="5"/>
  <c r="AX114" i="5"/>
  <c r="F119" i="5"/>
  <c r="M64" i="5"/>
  <c r="D64" i="5"/>
  <c r="AJ80" i="5"/>
  <c r="AI120" i="5"/>
  <c r="Q79" i="5"/>
  <c r="AK95" i="5"/>
  <c r="D104" i="5"/>
  <c r="U79" i="5"/>
  <c r="K60" i="5"/>
  <c r="G70" i="5"/>
  <c r="G104" i="5"/>
  <c r="R105" i="5"/>
  <c r="O84" i="5"/>
  <c r="AA119" i="5"/>
  <c r="AL70" i="5"/>
  <c r="Z109" i="5"/>
  <c r="AQ85" i="5"/>
  <c r="P75" i="5"/>
  <c r="AD124" i="5"/>
  <c r="M89" i="5"/>
  <c r="BB119" i="5"/>
  <c r="Q114" i="5"/>
  <c r="BH120" i="5"/>
  <c r="V110" i="5"/>
  <c r="S70" i="5"/>
  <c r="W75" i="5"/>
  <c r="AF94" i="5"/>
  <c r="AK100" i="5"/>
  <c r="AJ64" i="5"/>
  <c r="AG80" i="5"/>
  <c r="O94" i="5"/>
  <c r="AF95" i="5"/>
  <c r="X90" i="5"/>
  <c r="AM60" i="5"/>
  <c r="AC104" i="5"/>
  <c r="P64" i="5"/>
  <c r="AI70" i="5"/>
  <c r="J109" i="5"/>
  <c r="AC69" i="5"/>
  <c r="AC85" i="5"/>
  <c r="AJ124" i="5"/>
  <c r="R125" i="5"/>
  <c r="AK104" i="5"/>
  <c r="AK94" i="5"/>
  <c r="AK74" i="5"/>
  <c r="AK79" i="5"/>
  <c r="AK114" i="5"/>
  <c r="AK89" i="5"/>
  <c r="AK64" i="5"/>
  <c r="BD60" i="5"/>
  <c r="BF110" i="5"/>
  <c r="BH109" i="5"/>
  <c r="BI79" i="5"/>
  <c r="AV105" i="5"/>
  <c r="AA104" i="5"/>
  <c r="D95" i="5"/>
  <c r="F79" i="5"/>
  <c r="BK90" i="5"/>
  <c r="Z64" i="5"/>
  <c r="AD104" i="5"/>
  <c r="AA79" i="5"/>
  <c r="AZ74" i="5"/>
  <c r="AF65" i="5"/>
  <c r="AE94" i="5"/>
  <c r="E114" i="5"/>
  <c r="AX70" i="5"/>
  <c r="AX79" i="5"/>
  <c r="BI60" i="5"/>
  <c r="AY75" i="5"/>
  <c r="AN90" i="5"/>
  <c r="AP84" i="5"/>
  <c r="AS104" i="5"/>
  <c r="BK109" i="5"/>
  <c r="AY99" i="5"/>
  <c r="BI115" i="5"/>
  <c r="BF115" i="5"/>
  <c r="AW124" i="5"/>
  <c r="AR110" i="5"/>
  <c r="T84" i="5"/>
  <c r="AH124" i="5"/>
  <c r="BK120" i="5"/>
  <c r="BK89" i="5"/>
  <c r="BB60" i="5"/>
  <c r="BA114" i="5"/>
  <c r="AY94" i="5"/>
  <c r="AY74" i="5"/>
  <c r="AX115" i="5"/>
  <c r="AX60" i="5"/>
  <c r="AP125" i="5"/>
  <c r="BK59" i="5"/>
  <c r="AR94" i="5"/>
  <c r="BH119" i="5"/>
  <c r="AP119" i="5"/>
  <c r="AO110" i="5"/>
  <c r="U105" i="5"/>
  <c r="AX99" i="5"/>
  <c r="AR65" i="5"/>
  <c r="AS64" i="5"/>
  <c r="AV80" i="5"/>
  <c r="AS119" i="5"/>
  <c r="W69" i="5"/>
  <c r="O90" i="5"/>
  <c r="AU114" i="5"/>
  <c r="T120" i="5"/>
  <c r="BB105" i="5"/>
  <c r="R90" i="5"/>
  <c r="AF124" i="5"/>
  <c r="J60" i="5"/>
  <c r="AA70" i="5"/>
  <c r="AE120" i="5"/>
  <c r="AA115" i="5"/>
  <c r="E65" i="5"/>
  <c r="AY119" i="5"/>
  <c r="BF119" i="5"/>
  <c r="AP124" i="5"/>
  <c r="AS60" i="5"/>
  <c r="BA75" i="5"/>
  <c r="BK124" i="5"/>
  <c r="AO90" i="5"/>
  <c r="AZ115" i="5"/>
  <c r="AN95" i="5"/>
  <c r="X105" i="5"/>
  <c r="AL65" i="5"/>
  <c r="X80" i="5"/>
  <c r="P79" i="5"/>
  <c r="O109" i="5"/>
  <c r="P60" i="5"/>
  <c r="AL120" i="5"/>
  <c r="AH95" i="5"/>
  <c r="BI90" i="5"/>
  <c r="AP94" i="5"/>
  <c r="AQ65" i="5"/>
  <c r="H95" i="5"/>
  <c r="I69" i="5"/>
  <c r="Q94" i="5"/>
  <c r="H125" i="5"/>
  <c r="O79" i="5"/>
  <c r="M70" i="5"/>
  <c r="Y70" i="5"/>
  <c r="AH89" i="5"/>
  <c r="BD114" i="5"/>
  <c r="AQ69" i="5"/>
  <c r="AD85" i="5"/>
  <c r="H85" i="5"/>
  <c r="K115" i="5"/>
  <c r="AA95" i="5"/>
  <c r="BB100" i="5"/>
  <c r="AS84" i="5"/>
  <c r="AV75" i="5"/>
  <c r="O110" i="5"/>
  <c r="AH65" i="5"/>
  <c r="AE100" i="5"/>
  <c r="F114" i="5"/>
  <c r="G60" i="5"/>
  <c r="AD64" i="5"/>
  <c r="U115" i="5"/>
  <c r="Y120" i="5"/>
  <c r="E99" i="5"/>
  <c r="I114" i="5"/>
  <c r="D115" i="5"/>
  <c r="BA115" i="5"/>
  <c r="AP70" i="5"/>
  <c r="AA120" i="5"/>
  <c r="E90" i="5"/>
  <c r="S115" i="5"/>
  <c r="O115" i="5"/>
  <c r="K120" i="5"/>
  <c r="S120" i="5"/>
  <c r="AK120" i="5"/>
  <c r="AF59" i="5"/>
  <c r="L115" i="5"/>
  <c r="Q59" i="5"/>
  <c r="K100" i="5"/>
  <c r="AH120" i="5"/>
  <c r="AU110" i="5"/>
  <c r="BE89" i="5"/>
  <c r="BH105" i="5"/>
  <c r="AP109" i="5"/>
  <c r="Y90" i="5"/>
  <c r="AS70" i="5"/>
  <c r="K75" i="5"/>
  <c r="E79" i="5"/>
  <c r="X70" i="5"/>
  <c r="AZ59" i="5"/>
  <c r="AU65" i="5"/>
  <c r="AQ104" i="5"/>
  <c r="N115" i="5"/>
  <c r="N124" i="5"/>
  <c r="G84" i="5"/>
  <c r="G65" i="5"/>
  <c r="O59" i="5"/>
  <c r="T69" i="5"/>
  <c r="Q69" i="5"/>
  <c r="AG120" i="5"/>
  <c r="H69" i="5"/>
  <c r="AB115" i="5"/>
  <c r="N100" i="5"/>
  <c r="Z69" i="5"/>
  <c r="W125" i="5"/>
  <c r="AG79" i="5"/>
  <c r="AG59" i="5"/>
  <c r="AI109" i="5"/>
  <c r="V100" i="5"/>
  <c r="AG75" i="5"/>
  <c r="BB125" i="5"/>
  <c r="V95" i="5"/>
  <c r="K80" i="5"/>
  <c r="M80" i="5"/>
  <c r="X64" i="5"/>
  <c r="M119" i="5"/>
  <c r="D59" i="5"/>
  <c r="AH80" i="5"/>
  <c r="AD90" i="5"/>
  <c r="Z115" i="5"/>
  <c r="L60" i="5"/>
  <c r="O64" i="5"/>
  <c r="AD65" i="5"/>
  <c r="X95" i="5"/>
  <c r="X114" i="5"/>
  <c r="AX80" i="5"/>
  <c r="AR95" i="5"/>
  <c r="J90" i="5"/>
  <c r="AQ84" i="5"/>
  <c r="L74" i="5"/>
  <c r="AH59" i="5"/>
  <c r="K65" i="5"/>
  <c r="X109" i="5"/>
  <c r="F99" i="5"/>
  <c r="AN74" i="5"/>
  <c r="D69" i="5"/>
  <c r="M120" i="5"/>
  <c r="O85" i="5"/>
  <c r="H59" i="5"/>
  <c r="E69" i="5"/>
  <c r="T105" i="5"/>
  <c r="AJ105" i="5"/>
  <c r="AH84" i="5"/>
  <c r="P125" i="5"/>
  <c r="O70" i="5"/>
  <c r="AE95" i="5"/>
  <c r="J110" i="5"/>
  <c r="AG99" i="5"/>
  <c r="AF74" i="5"/>
  <c r="F105" i="5"/>
  <c r="D89" i="5"/>
  <c r="BB85" i="5"/>
  <c r="P59" i="5"/>
  <c r="M65" i="5"/>
  <c r="Q110" i="5"/>
  <c r="AN119" i="5"/>
  <c r="F69" i="5"/>
  <c r="N84" i="5"/>
  <c r="AD74" i="5"/>
  <c r="AQ125" i="5"/>
  <c r="AF70" i="5"/>
  <c r="E89" i="5"/>
  <c r="X85" i="5"/>
  <c r="AJ120" i="5"/>
  <c r="E74" i="5"/>
  <c r="AX84" i="5"/>
  <c r="AD125" i="5"/>
  <c r="O100" i="5"/>
  <c r="BH80" i="5"/>
  <c r="AR115" i="5"/>
  <c r="L90" i="5"/>
  <c r="Q95" i="5"/>
  <c r="P124" i="5"/>
  <c r="F80" i="5"/>
  <c r="AJ70" i="5"/>
  <c r="Q90" i="5"/>
  <c r="R109" i="5"/>
  <c r="Y75" i="5"/>
  <c r="D84" i="5"/>
  <c r="AL110" i="5"/>
  <c r="S64" i="5"/>
  <c r="R89" i="5"/>
  <c r="T79" i="5"/>
  <c r="R60" i="5"/>
  <c r="Z60" i="5"/>
  <c r="O95" i="5"/>
  <c r="BK100" i="5"/>
  <c r="X60" i="5"/>
  <c r="S105" i="5"/>
  <c r="AB119" i="5"/>
  <c r="M125" i="5"/>
  <c r="AC84" i="5"/>
  <c r="N89" i="5"/>
  <c r="BK95" i="5"/>
  <c r="L89" i="5"/>
  <c r="I75" i="5"/>
  <c r="AP115" i="5"/>
  <c r="AJ109" i="5"/>
  <c r="AE110" i="5"/>
  <c r="W74" i="5"/>
  <c r="BD105" i="5"/>
  <c r="K119" i="5"/>
  <c r="AD114" i="5"/>
  <c r="F109" i="5"/>
  <c r="BF100" i="5"/>
  <c r="AE79" i="5"/>
  <c r="K64" i="5"/>
  <c r="BI65" i="5"/>
  <c r="AX104" i="5"/>
  <c r="J84" i="5"/>
  <c r="V109" i="5"/>
  <c r="AD69" i="5"/>
  <c r="AJ69" i="5"/>
  <c r="S124" i="5"/>
  <c r="K95" i="5"/>
  <c r="I125" i="5"/>
  <c r="AK84" i="5"/>
  <c r="AK119" i="5"/>
  <c r="AK109" i="5"/>
  <c r="AK99" i="5"/>
  <c r="P99" i="5"/>
  <c r="AP104" i="5"/>
  <c r="AY65" i="5"/>
  <c r="N90" i="5"/>
  <c r="AB59" i="5"/>
  <c r="L124" i="5"/>
  <c r="G114" i="5"/>
  <c r="AL125" i="5"/>
  <c r="P65" i="5"/>
  <c r="Y65" i="5"/>
  <c r="L85" i="5"/>
  <c r="AE105" i="5"/>
  <c r="AJ104" i="5"/>
  <c r="K84" i="5"/>
  <c r="S75" i="5"/>
  <c r="I74" i="5"/>
  <c r="AV65" i="5"/>
  <c r="Y69" i="5"/>
  <c r="H119" i="5"/>
  <c r="AV124" i="5"/>
  <c r="BA69" i="5"/>
  <c r="Y59" i="5"/>
  <c r="G109" i="5"/>
  <c r="W59" i="5"/>
  <c r="Q74" i="5"/>
  <c r="U110" i="5"/>
  <c r="BA90" i="5"/>
  <c r="F124" i="5"/>
  <c r="AY84" i="5"/>
  <c r="AP85" i="5"/>
  <c r="BE99" i="5"/>
  <c r="F70" i="5"/>
  <c r="AX74" i="5"/>
  <c r="R69" i="5"/>
  <c r="E64" i="5"/>
  <c r="AE109" i="5"/>
  <c r="AR105" i="5"/>
  <c r="P119" i="5"/>
  <c r="X69" i="5"/>
  <c r="AC114" i="5"/>
  <c r="F100" i="5"/>
  <c r="AK80" i="5"/>
  <c r="AP110" i="5"/>
  <c r="AO84" i="5"/>
  <c r="BH125" i="5"/>
  <c r="H104" i="5"/>
  <c r="AF109" i="5"/>
  <c r="AB89" i="5"/>
  <c r="AF84" i="5"/>
  <c r="AB64" i="5"/>
  <c r="L110" i="5"/>
  <c r="AN115" i="5"/>
  <c r="AQ115" i="5"/>
  <c r="BB84" i="5"/>
  <c r="H84" i="5"/>
  <c r="G95" i="5"/>
  <c r="AC74" i="5"/>
  <c r="S60" i="5"/>
  <c r="AC99" i="5"/>
  <c r="V70" i="5"/>
  <c r="R79" i="5"/>
  <c r="AI94" i="5"/>
  <c r="H115" i="5"/>
  <c r="R114" i="5"/>
  <c r="Y99" i="5"/>
  <c r="X119" i="5"/>
  <c r="AG105" i="5"/>
  <c r="V60" i="5"/>
  <c r="I105" i="5"/>
  <c r="Z99" i="5"/>
  <c r="AM100" i="5"/>
  <c r="Y89" i="5"/>
  <c r="S104" i="5"/>
  <c r="H90" i="5"/>
  <c r="Z74" i="5"/>
  <c r="AI114" i="5"/>
  <c r="Z94" i="5"/>
  <c r="R99" i="5"/>
  <c r="G124" i="5"/>
  <c r="I65" i="5"/>
  <c r="O89" i="5"/>
  <c r="AR60" i="5"/>
  <c r="AD105" i="5"/>
  <c r="T110" i="5"/>
  <c r="T100" i="5"/>
  <c r="S89" i="5"/>
  <c r="AH90" i="5"/>
  <c r="H75" i="5"/>
  <c r="AN100" i="5"/>
  <c r="AE124" i="5"/>
  <c r="AB84" i="5"/>
  <c r="U95" i="5"/>
  <c r="BD70" i="5"/>
  <c r="AY95" i="5"/>
  <c r="I94" i="5"/>
  <c r="AY85" i="5"/>
  <c r="AD120" i="5"/>
  <c r="BK125" i="5"/>
  <c r="BF79" i="5"/>
  <c r="E94" i="5"/>
  <c r="AH64" i="5"/>
  <c r="T125" i="5"/>
  <c r="Q124" i="5"/>
  <c r="AR104" i="5"/>
  <c r="BE80" i="5"/>
  <c r="AU109" i="5"/>
  <c r="L84" i="5"/>
  <c r="AG65" i="5"/>
  <c r="O74" i="5"/>
  <c r="AF89" i="5"/>
  <c r="BF109" i="5"/>
  <c r="X110" i="5"/>
  <c r="D80" i="5"/>
  <c r="BI99" i="5"/>
  <c r="AO94" i="5"/>
  <c r="N125" i="5"/>
  <c r="U119" i="5"/>
  <c r="AZ104" i="5"/>
  <c r="AJ74" i="5"/>
  <c r="AK124" i="5"/>
  <c r="AK59" i="5"/>
  <c r="AK69" i="5"/>
  <c r="AM114" i="5"/>
  <c r="AL74" i="5"/>
  <c r="AL69" i="5"/>
  <c r="AL64" i="5"/>
  <c r="AL99" i="5"/>
  <c r="AM74" i="5"/>
  <c r="AL79" i="5"/>
  <c r="AM119" i="5"/>
  <c r="AL119" i="5"/>
  <c r="AM104" i="5"/>
  <c r="AM84" i="5"/>
  <c r="AM124" i="5"/>
  <c r="AL94" i="5"/>
  <c r="AM79" i="5"/>
  <c r="AM109" i="5"/>
  <c r="AM59" i="5"/>
  <c r="AL124" i="5"/>
  <c r="AL89" i="5"/>
  <c r="AM69" i="5"/>
  <c r="AL84" i="5"/>
  <c r="AM99" i="5"/>
  <c r="AM94" i="5"/>
  <c r="AL114" i="5"/>
  <c r="AL104" i="5"/>
  <c r="AM89" i="5"/>
  <c r="AL59" i="5"/>
  <c r="AM64" i="5"/>
  <c r="AL109" i="5"/>
  <c r="AK67" i="5"/>
  <c r="AK57" i="5"/>
  <c r="AK122" i="5"/>
  <c r="AJ72" i="5"/>
  <c r="AZ102" i="5"/>
  <c r="U117" i="5"/>
  <c r="AO92" i="5"/>
  <c r="BI97" i="5"/>
  <c r="BF107" i="5"/>
  <c r="AF87" i="5"/>
  <c r="O72" i="5"/>
  <c r="L82" i="5"/>
  <c r="AU107" i="5"/>
  <c r="AR102" i="5"/>
  <c r="Q122" i="5"/>
  <c r="AH62" i="5"/>
  <c r="E92" i="5"/>
  <c r="BF77" i="5"/>
  <c r="I92" i="5"/>
  <c r="AB82" i="5"/>
  <c r="AE122" i="5"/>
  <c r="S87" i="5"/>
  <c r="O87" i="5"/>
  <c r="G122" i="5"/>
  <c r="R97" i="5"/>
  <c r="Z92" i="5"/>
  <c r="AI112" i="5"/>
  <c r="Z72" i="5"/>
  <c r="S102" i="5"/>
  <c r="Y87" i="5"/>
  <c r="Z97" i="5"/>
  <c r="X117" i="5"/>
  <c r="Y97" i="5"/>
  <c r="R112" i="5"/>
  <c r="AI92" i="5"/>
  <c r="R77" i="5"/>
  <c r="AC97" i="5"/>
  <c r="AC72" i="5"/>
  <c r="H82" i="5"/>
  <c r="BB82" i="5"/>
  <c r="AB62" i="5"/>
  <c r="AF82" i="5"/>
  <c r="AB87" i="5"/>
  <c r="AF107" i="5"/>
  <c r="H102" i="5"/>
  <c r="AO82" i="5"/>
  <c r="AC112" i="5"/>
  <c r="X67" i="5"/>
  <c r="P117" i="5"/>
  <c r="AE107" i="5"/>
  <c r="E62" i="5"/>
  <c r="R67" i="5"/>
  <c r="AX72" i="5"/>
  <c r="BE97" i="5"/>
  <c r="AY82" i="5"/>
  <c r="F122" i="5"/>
  <c r="Q72" i="5"/>
  <c r="W57" i="5"/>
  <c r="G107" i="5"/>
  <c r="Y57" i="5"/>
  <c r="BA67" i="5"/>
  <c r="AV122" i="5"/>
  <c r="H117" i="5"/>
  <c r="Y67" i="5"/>
  <c r="I72" i="5"/>
  <c r="K82" i="5"/>
  <c r="AJ102" i="5"/>
  <c r="G112" i="5"/>
  <c r="L122" i="5"/>
  <c r="AB57" i="5"/>
  <c r="AP102" i="5"/>
  <c r="P97" i="5"/>
  <c r="AK97" i="5"/>
  <c r="AK107" i="5"/>
  <c r="AK117" i="5"/>
  <c r="AK82" i="5"/>
  <c r="S122" i="5"/>
  <c r="AJ67" i="5"/>
  <c r="AD67" i="5"/>
  <c r="V107" i="5"/>
  <c r="J82" i="5"/>
  <c r="E11" i="2"/>
  <c r="AX102" i="5"/>
  <c r="K62" i="5"/>
  <c r="AE77" i="5"/>
  <c r="F107" i="5"/>
  <c r="AD112" i="5"/>
  <c r="K117" i="5"/>
  <c r="W72" i="5"/>
  <c r="AJ107" i="5"/>
  <c r="L87" i="5"/>
  <c r="N87" i="5"/>
  <c r="AC82" i="5"/>
  <c r="AB117" i="5"/>
  <c r="T77" i="5"/>
  <c r="R87" i="5"/>
  <c r="S62" i="5"/>
  <c r="D82" i="5"/>
  <c r="R107" i="5"/>
  <c r="P122" i="5"/>
  <c r="AX82" i="5"/>
  <c r="E72" i="5"/>
  <c r="E87" i="5"/>
  <c r="AD72" i="5"/>
  <c r="N82" i="5"/>
  <c r="F67" i="5"/>
  <c r="AN117" i="5"/>
  <c r="P57" i="5"/>
  <c r="D87" i="5"/>
  <c r="AF72" i="5"/>
  <c r="AG97" i="5"/>
  <c r="AH82" i="5"/>
  <c r="E67" i="5"/>
  <c r="H57" i="5"/>
  <c r="D67" i="5"/>
  <c r="AN72" i="5"/>
  <c r="F97" i="5"/>
  <c r="X107" i="5"/>
  <c r="AH57" i="5"/>
  <c r="L72" i="5"/>
  <c r="AQ82" i="5"/>
  <c r="X112" i="5"/>
  <c r="O62" i="5"/>
  <c r="D57" i="5"/>
  <c r="M117" i="5"/>
  <c r="X62" i="5"/>
  <c r="AI107" i="5"/>
  <c r="AG57" i="5"/>
  <c r="AG77" i="5"/>
  <c r="Z67" i="5"/>
  <c r="H67" i="5"/>
  <c r="Q67" i="5"/>
  <c r="T67" i="5"/>
  <c r="O57" i="5"/>
  <c r="G82" i="5"/>
  <c r="N122" i="5"/>
  <c r="AQ102" i="5"/>
  <c r="AZ57" i="5"/>
  <c r="E77" i="5"/>
  <c r="AP107" i="5"/>
  <c r="BE87" i="5"/>
  <c r="Q57" i="5"/>
  <c r="AF57" i="5"/>
  <c r="I112" i="5"/>
  <c r="E97" i="5"/>
  <c r="AD62" i="5"/>
  <c r="F112" i="5"/>
  <c r="AS82" i="5"/>
  <c r="AQ67" i="5"/>
  <c r="BD112" i="5"/>
  <c r="AH87" i="5"/>
  <c r="O77" i="5"/>
  <c r="Q92" i="5"/>
  <c r="I67" i="5"/>
  <c r="AP92" i="5"/>
  <c r="O107" i="5"/>
  <c r="P77" i="5"/>
  <c r="BK122" i="5"/>
  <c r="AP122" i="5"/>
  <c r="BF117" i="5"/>
  <c r="AY117" i="5"/>
  <c r="AF122" i="5"/>
  <c r="AU112" i="5"/>
  <c r="W67" i="5"/>
  <c r="AS117" i="5"/>
  <c r="AS62" i="5"/>
  <c r="AX97" i="5"/>
  <c r="AP117" i="5"/>
  <c r="BH117" i="5"/>
  <c r="AR92" i="5"/>
  <c r="BK57" i="5"/>
  <c r="AY72" i="5"/>
  <c r="AY92" i="5"/>
  <c r="BA112" i="5"/>
  <c r="BK87" i="5"/>
  <c r="AH122" i="5"/>
  <c r="T82" i="5"/>
  <c r="AW122" i="5"/>
  <c r="AY97" i="5"/>
  <c r="BK107" i="5"/>
  <c r="AS102" i="5"/>
  <c r="AP82" i="5"/>
  <c r="AX77" i="5"/>
  <c r="E112" i="5"/>
  <c r="AE92" i="5"/>
  <c r="AZ72" i="5"/>
  <c r="AA77" i="5"/>
  <c r="AD102" i="5"/>
  <c r="Z62" i="5"/>
  <c r="F77" i="5"/>
  <c r="AA102" i="5"/>
  <c r="BI77" i="5"/>
  <c r="BH107" i="5"/>
  <c r="AK62" i="5"/>
  <c r="AK87" i="5"/>
  <c r="AK112" i="5"/>
  <c r="AK77" i="5"/>
  <c r="AK72" i="5"/>
  <c r="AK92" i="5"/>
  <c r="AK102" i="5"/>
  <c r="AJ122" i="5"/>
  <c r="AC67" i="5"/>
  <c r="J107" i="5"/>
  <c r="P62" i="5"/>
  <c r="AC102" i="5"/>
  <c r="O92" i="5"/>
  <c r="AJ62" i="5"/>
  <c r="AF92" i="5"/>
  <c r="Q112" i="5"/>
  <c r="BB117" i="5"/>
  <c r="M87" i="5"/>
  <c r="AD122" i="5"/>
  <c r="Z107" i="5"/>
  <c r="AA117" i="5"/>
  <c r="O82" i="5"/>
  <c r="G102" i="5"/>
  <c r="U77" i="5"/>
  <c r="D102" i="5"/>
  <c r="Q77" i="5"/>
  <c r="D62" i="5"/>
  <c r="M62" i="5"/>
  <c r="F117" i="5"/>
  <c r="AX112" i="5"/>
  <c r="AS92" i="5"/>
  <c r="AI87" i="5"/>
  <c r="G67" i="5"/>
  <c r="D8" i="2"/>
  <c r="Q82" i="5"/>
  <c r="AE72" i="5"/>
  <c r="J72" i="5"/>
  <c r="AH102" i="5"/>
  <c r="AI117" i="5"/>
  <c r="AD77" i="5"/>
  <c r="Y92" i="5"/>
  <c r="AG82" i="5"/>
  <c r="Z82" i="5"/>
  <c r="M92" i="5"/>
  <c r="P72" i="5"/>
  <c r="E117" i="5"/>
  <c r="M112" i="5"/>
  <c r="AH97" i="5"/>
  <c r="S82" i="5"/>
  <c r="X87" i="5"/>
  <c r="AX92" i="5"/>
  <c r="AI57" i="5"/>
  <c r="AN77" i="5"/>
  <c r="AW97" i="5"/>
  <c r="K102" i="5"/>
  <c r="AH72" i="5"/>
  <c r="G92" i="5"/>
  <c r="BI92" i="5"/>
  <c r="Z102" i="5"/>
  <c r="K107" i="5"/>
  <c r="X92" i="5"/>
  <c r="BH92" i="5"/>
  <c r="BH57" i="5"/>
  <c r="AU62" i="5"/>
  <c r="AN97" i="5"/>
  <c r="AA72" i="5"/>
  <c r="AU87" i="5"/>
  <c r="AZ112" i="5"/>
  <c r="J87" i="5"/>
  <c r="AH117" i="5"/>
  <c r="M72" i="5"/>
  <c r="S107" i="5"/>
  <c r="AX122" i="5"/>
  <c r="BK62" i="5"/>
  <c r="AB112" i="5"/>
  <c r="AE62" i="5"/>
  <c r="AD87" i="5"/>
  <c r="U97" i="5"/>
  <c r="AJ117" i="5"/>
  <c r="M57" i="5"/>
  <c r="AJ77" i="5"/>
  <c r="X57" i="5"/>
  <c r="Y102" i="5"/>
  <c r="M67" i="5"/>
  <c r="O67" i="5"/>
  <c r="AH67" i="5"/>
  <c r="W77" i="5"/>
  <c r="N102" i="5"/>
  <c r="J97" i="5"/>
  <c r="Y72" i="5"/>
  <c r="K9" i="2"/>
  <c r="E102" i="5"/>
  <c r="W102" i="5"/>
  <c r="AO102" i="5"/>
  <c r="W112" i="5"/>
  <c r="N77" i="5"/>
  <c r="E122" i="5"/>
  <c r="AI97" i="5"/>
  <c r="P102" i="5"/>
  <c r="M97" i="5"/>
  <c r="F102" i="5"/>
  <c r="K77" i="5"/>
  <c r="H72" i="5"/>
  <c r="BH112" i="5"/>
  <c r="AH107" i="5"/>
  <c r="Q97" i="5"/>
  <c r="AQ97" i="5"/>
  <c r="AA62" i="5"/>
  <c r="T97" i="5"/>
  <c r="P82" i="5"/>
  <c r="G72" i="5"/>
  <c r="E107" i="5"/>
  <c r="AY102" i="5"/>
  <c r="R117" i="5"/>
  <c r="P112" i="5"/>
  <c r="H17" i="2"/>
  <c r="H87" i="5"/>
  <c r="R57" i="5"/>
  <c r="H6" i="2"/>
  <c r="AG102" i="5"/>
  <c r="AU102" i="5"/>
  <c r="BI117" i="5"/>
  <c r="R82" i="5"/>
  <c r="AO67" i="5"/>
  <c r="AJ57" i="5"/>
  <c r="K57" i="5"/>
  <c r="N97" i="5"/>
  <c r="BD87" i="5"/>
  <c r="BB122" i="5"/>
  <c r="U122" i="5"/>
  <c r="J77" i="5"/>
  <c r="AE102" i="5"/>
  <c r="X82" i="5"/>
  <c r="I117" i="5"/>
  <c r="AI62" i="5"/>
  <c r="AD92" i="5"/>
  <c r="AF67" i="5"/>
  <c r="H122" i="5"/>
  <c r="BD97" i="5"/>
  <c r="N62" i="5"/>
  <c r="BI62" i="5"/>
  <c r="J122" i="5"/>
  <c r="AR107" i="5"/>
  <c r="BF82" i="5"/>
  <c r="AX62" i="5"/>
  <c r="AZ117" i="5"/>
  <c r="T112" i="5"/>
  <c r="Y62" i="5"/>
  <c r="AC77" i="5"/>
  <c r="AW117" i="5"/>
  <c r="AA97" i="5"/>
  <c r="J67" i="5"/>
  <c r="V117" i="5"/>
  <c r="T62" i="5"/>
  <c r="K92" i="5"/>
  <c r="AS72" i="5"/>
  <c r="AR72" i="5"/>
  <c r="AA82" i="5"/>
  <c r="BI57" i="5"/>
  <c r="AZ87" i="5"/>
  <c r="V72" i="5"/>
  <c r="BD92" i="5"/>
  <c r="K97" i="5"/>
  <c r="BB92" i="5"/>
  <c r="R102" i="5"/>
  <c r="AO97" i="5"/>
  <c r="O122" i="5"/>
  <c r="BF87" i="5"/>
  <c r="AO62" i="5"/>
  <c r="AZ62" i="5"/>
  <c r="L92" i="5"/>
  <c r="BD117" i="5"/>
  <c r="BE112" i="5"/>
  <c r="V112" i="5"/>
  <c r="BA62" i="5"/>
  <c r="N72" i="5"/>
  <c r="BH62" i="5"/>
  <c r="AG117" i="5"/>
  <c r="N57" i="5"/>
  <c r="AV107" i="5"/>
  <c r="BE67" i="5"/>
  <c r="AR117" i="5"/>
  <c r="BD62" i="5"/>
  <c r="O102" i="5"/>
  <c r="AR87" i="5"/>
  <c r="BE57" i="5"/>
  <c r="AD117" i="5"/>
  <c r="BH67" i="5"/>
  <c r="AS107" i="5"/>
  <c r="AV57" i="5"/>
  <c r="BD72" i="5"/>
  <c r="BK102" i="5"/>
  <c r="AO57" i="5"/>
  <c r="K112" i="5"/>
  <c r="T92" i="5"/>
  <c r="AP87" i="5"/>
  <c r="BH102" i="5"/>
  <c r="BE77" i="5"/>
  <c r="AQ72" i="5"/>
  <c r="L112" i="5"/>
  <c r="L62" i="5"/>
  <c r="BH97" i="5"/>
  <c r="AY107" i="5"/>
  <c r="H107" i="5"/>
  <c r="AB97" i="5"/>
  <c r="X77" i="5"/>
  <c r="AB107" i="5"/>
  <c r="BI82" i="5"/>
  <c r="V82" i="5"/>
  <c r="L77" i="5"/>
  <c r="AE57" i="5"/>
  <c r="AE82" i="5"/>
  <c r="S77" i="5"/>
  <c r="I10" i="2"/>
  <c r="L97" i="5"/>
  <c r="AJ97" i="5"/>
  <c r="AQ107" i="5"/>
  <c r="AB77" i="5"/>
  <c r="Z112" i="5"/>
  <c r="H62" i="5"/>
  <c r="AJ112" i="5"/>
  <c r="AJ82" i="5"/>
  <c r="W87" i="5"/>
  <c r="AU122" i="5"/>
  <c r="K87" i="5"/>
  <c r="AG62" i="5"/>
  <c r="T72" i="5"/>
  <c r="AI122" i="5"/>
  <c r="E57" i="5"/>
  <c r="G77" i="5"/>
  <c r="M102" i="5"/>
  <c r="I82" i="5"/>
  <c r="O97" i="5"/>
  <c r="AU117" i="5"/>
  <c r="BK92" i="5"/>
  <c r="T57" i="5"/>
  <c r="W122" i="5"/>
  <c r="BA122" i="5"/>
  <c r="AF112" i="5"/>
  <c r="AI72" i="5"/>
  <c r="AD107" i="5"/>
  <c r="AI102" i="5"/>
  <c r="AE112" i="5"/>
  <c r="AC107" i="5"/>
  <c r="BE122" i="5"/>
  <c r="Y82" i="5"/>
  <c r="K11" i="2"/>
  <c r="Q62" i="5"/>
  <c r="AF97" i="5"/>
  <c r="U57" i="5"/>
  <c r="AS122" i="5"/>
  <c r="V92" i="5"/>
  <c r="AI82" i="5"/>
  <c r="O112" i="5"/>
  <c r="BK67" i="5"/>
  <c r="AG112" i="5"/>
  <c r="U112" i="5"/>
  <c r="AN122" i="5"/>
  <c r="AZ67" i="5"/>
  <c r="AU72" i="5"/>
  <c r="BF122" i="5"/>
  <c r="X102" i="5"/>
  <c r="U107" i="5"/>
  <c r="M82" i="5"/>
  <c r="F11" i="2"/>
  <c r="AZ92" i="5"/>
  <c r="AE87" i="5"/>
  <c r="I97" i="5"/>
  <c r="AR82" i="5"/>
  <c r="BK77" i="5"/>
  <c r="X72" i="5"/>
  <c r="AX117" i="5"/>
  <c r="V102" i="5"/>
  <c r="BB72" i="5"/>
  <c r="AH92" i="5"/>
  <c r="Y122" i="5"/>
  <c r="BI87" i="5"/>
  <c r="AD97" i="5"/>
  <c r="BI67" i="5"/>
  <c r="AI77" i="5"/>
  <c r="G117" i="5"/>
  <c r="Z57" i="5"/>
  <c r="D112" i="5"/>
  <c r="AS57" i="5"/>
  <c r="AJ87" i="5"/>
  <c r="AJ92" i="5"/>
  <c r="K72" i="5"/>
  <c r="P87" i="5"/>
  <c r="U62" i="5"/>
  <c r="BF72" i="5"/>
  <c r="G57" i="5"/>
  <c r="F82" i="5"/>
  <c r="N117" i="5"/>
  <c r="AB72" i="5"/>
  <c r="R122" i="5"/>
  <c r="D97" i="5"/>
  <c r="C14" i="2"/>
  <c r="D72" i="5"/>
  <c r="G62" i="5"/>
  <c r="I102" i="5"/>
  <c r="AD57" i="5"/>
  <c r="I57" i="5"/>
  <c r="T87" i="5"/>
  <c r="N107" i="5"/>
  <c r="Z77" i="5"/>
  <c r="O117" i="5"/>
  <c r="J57" i="5"/>
  <c r="AF77" i="5"/>
  <c r="P92" i="5"/>
  <c r="S97" i="5"/>
  <c r="AI67" i="5"/>
  <c r="Z117" i="5"/>
  <c r="AA122" i="5"/>
  <c r="AF117" i="5"/>
  <c r="H77" i="5"/>
  <c r="D117" i="5"/>
  <c r="V62" i="5"/>
  <c r="AG87" i="5"/>
  <c r="N112" i="5"/>
  <c r="F17" i="2"/>
  <c r="BA57" i="5"/>
  <c r="AU92" i="5"/>
  <c r="V77" i="5"/>
  <c r="J10" i="2"/>
  <c r="V67" i="5"/>
  <c r="J8" i="2"/>
  <c r="AG122" i="5"/>
  <c r="Q107" i="5"/>
  <c r="BB107" i="5"/>
  <c r="S117" i="5"/>
  <c r="AW92" i="5"/>
  <c r="F62" i="5"/>
  <c r="AB122" i="5"/>
  <c r="I77" i="5"/>
  <c r="F92" i="5"/>
  <c r="AO117" i="5"/>
  <c r="AO107" i="5"/>
  <c r="BF57" i="5"/>
  <c r="G87" i="5"/>
  <c r="Y112" i="5"/>
  <c r="Q117" i="5"/>
  <c r="V87" i="5"/>
  <c r="M107" i="5"/>
  <c r="AF102" i="5"/>
  <c r="BA77" i="5"/>
  <c r="AS67" i="5"/>
  <c r="AV112" i="5"/>
  <c r="L57" i="5"/>
  <c r="AG107" i="5"/>
  <c r="AF62" i="5"/>
  <c r="AF127" i="5"/>
  <c r="AF128" i="5"/>
  <c r="AF129" i="5"/>
  <c r="AB67" i="5"/>
  <c r="G97" i="5"/>
  <c r="D122" i="5"/>
  <c r="L107" i="5"/>
  <c r="E16" i="2"/>
  <c r="W92" i="5"/>
  <c r="AW112" i="5"/>
  <c r="AB92" i="5"/>
  <c r="BK82" i="5"/>
  <c r="AS97" i="5"/>
  <c r="AY112" i="5"/>
  <c r="AN107" i="5"/>
  <c r="AD82" i="5"/>
  <c r="H92" i="5"/>
  <c r="BF112" i="5"/>
  <c r="AV92" i="5"/>
  <c r="AY67" i="5"/>
  <c r="BD67" i="5"/>
  <c r="D92" i="5"/>
  <c r="C13" i="2"/>
  <c r="H97" i="5"/>
  <c r="L67" i="5"/>
  <c r="I87" i="5"/>
  <c r="BI122" i="5"/>
  <c r="I62" i="5"/>
  <c r="BE62" i="5"/>
  <c r="BH87" i="5"/>
  <c r="AQ62" i="5"/>
  <c r="T117" i="5"/>
  <c r="S67" i="5"/>
  <c r="S57" i="5"/>
  <c r="AA107" i="5"/>
  <c r="S72" i="5"/>
  <c r="AU97" i="5"/>
  <c r="AY87" i="5"/>
  <c r="AH77" i="5"/>
  <c r="AG72" i="5"/>
  <c r="J62" i="5"/>
  <c r="E7" i="2"/>
  <c r="Z87" i="5"/>
  <c r="U82" i="5"/>
  <c r="AW107" i="5"/>
  <c r="BB87" i="5"/>
  <c r="AR57" i="5"/>
  <c r="AQ122" i="5"/>
  <c r="AP112" i="5"/>
  <c r="BF92" i="5"/>
  <c r="AX57" i="5"/>
  <c r="AG67" i="5"/>
  <c r="AC57" i="5"/>
  <c r="AC62" i="5"/>
  <c r="I122" i="5"/>
  <c r="I107" i="5"/>
  <c r="D16" i="2"/>
  <c r="E82" i="5"/>
  <c r="AY57" i="5"/>
  <c r="J112" i="5"/>
  <c r="E17" i="2"/>
  <c r="J92" i="5"/>
  <c r="E13" i="2"/>
  <c r="AQ77" i="5"/>
  <c r="T107" i="5"/>
  <c r="AR77" i="5"/>
  <c r="AQ117" i="5"/>
  <c r="J102" i="5"/>
  <c r="AX87" i="5"/>
  <c r="X122" i="5"/>
  <c r="N67" i="5"/>
  <c r="AV117" i="5"/>
  <c r="AZ77" i="5"/>
  <c r="AU82" i="5"/>
  <c r="AZ107" i="5"/>
  <c r="BB77" i="5"/>
  <c r="BB62" i="5"/>
  <c r="AC92" i="5"/>
  <c r="AO77" i="5"/>
  <c r="BA102" i="5"/>
  <c r="BA107" i="5"/>
  <c r="AU77" i="5"/>
  <c r="BE117" i="5"/>
  <c r="AV97" i="5"/>
  <c r="K67" i="5"/>
  <c r="K122" i="5"/>
  <c r="K127" i="5"/>
  <c r="K128" i="5"/>
  <c r="K129" i="5"/>
  <c r="R92" i="5"/>
  <c r="W107" i="5"/>
  <c r="AS112" i="5"/>
  <c r="AZ122" i="5"/>
  <c r="AO87" i="5"/>
  <c r="BF67" i="5"/>
  <c r="AV77" i="5"/>
  <c r="AV62" i="5"/>
  <c r="AV67" i="5"/>
  <c r="BD82" i="5"/>
  <c r="AO112" i="5"/>
  <c r="AR97" i="5"/>
  <c r="AA87" i="5"/>
  <c r="K12" i="2"/>
  <c r="AE67" i="5"/>
  <c r="AR122" i="5"/>
  <c r="F57" i="5"/>
  <c r="T102" i="5"/>
  <c r="BD102" i="5"/>
  <c r="AN67" i="5"/>
  <c r="AW87" i="5"/>
  <c r="BI112" i="5"/>
  <c r="BF102" i="5"/>
  <c r="BA92" i="5"/>
  <c r="U67" i="5"/>
  <c r="AA112" i="5"/>
  <c r="L117" i="5"/>
  <c r="H112" i="5"/>
  <c r="Y77" i="5"/>
  <c r="D107" i="5"/>
  <c r="C16" i="2"/>
  <c r="AA67" i="5"/>
  <c r="AA57" i="5"/>
  <c r="M122" i="5"/>
  <c r="Y117" i="5"/>
  <c r="L102" i="5"/>
  <c r="X97" i="5"/>
  <c r="BF62" i="5"/>
  <c r="AY122" i="5"/>
  <c r="BH82" i="5"/>
  <c r="BH77" i="5"/>
  <c r="W97" i="5"/>
  <c r="AB102" i="5"/>
  <c r="D77" i="5"/>
  <c r="AN112" i="5"/>
  <c r="AG92" i="5"/>
  <c r="BI72" i="5"/>
  <c r="AY62" i="5"/>
  <c r="AH112" i="5"/>
  <c r="AH127" i="5"/>
  <c r="AH128" i="5"/>
  <c r="AH129" i="5"/>
  <c r="J117" i="5"/>
  <c r="Q87" i="5"/>
  <c r="H12" i="2"/>
  <c r="AV87" i="5"/>
  <c r="F72" i="5"/>
  <c r="AR62" i="5"/>
  <c r="BB102" i="5"/>
  <c r="AP57" i="5"/>
  <c r="BE107" i="5"/>
  <c r="AS77" i="5"/>
  <c r="AQ92" i="5"/>
  <c r="S112" i="5"/>
  <c r="F87" i="5"/>
  <c r="Q102" i="5"/>
  <c r="V97" i="5"/>
  <c r="AA92" i="5"/>
  <c r="AV102" i="5"/>
  <c r="BE102" i="5"/>
  <c r="AV82" i="5"/>
  <c r="AN102" i="5"/>
  <c r="AZ97" i="5"/>
  <c r="AY77" i="5"/>
  <c r="BB57" i="5"/>
  <c r="BD77" i="5"/>
  <c r="BK72" i="5"/>
  <c r="BI107" i="5"/>
  <c r="BK97" i="5"/>
  <c r="BI102" i="5"/>
  <c r="AP72" i="5"/>
  <c r="AP97" i="5"/>
  <c r="AN92" i="5"/>
  <c r="BK112" i="5"/>
  <c r="AW62" i="5"/>
  <c r="AW72" i="5"/>
  <c r="AN62" i="5"/>
  <c r="BB67" i="5"/>
  <c r="BB97" i="5"/>
  <c r="BD122" i="5"/>
  <c r="AW77" i="5"/>
  <c r="AS87" i="5"/>
  <c r="AR67" i="5"/>
  <c r="BA97" i="5"/>
  <c r="AW67" i="5"/>
  <c r="BA82" i="5"/>
  <c r="BA87" i="5"/>
  <c r="AW102" i="5"/>
  <c r="AC87" i="5"/>
  <c r="AC117" i="5"/>
  <c r="P67" i="5"/>
  <c r="H8" i="2"/>
  <c r="Y107" i="5"/>
  <c r="AQ87" i="5"/>
  <c r="BA72" i="5"/>
  <c r="BE92" i="5"/>
  <c r="AO72" i="5"/>
  <c r="BD107" i="5"/>
  <c r="AQ112" i="5"/>
  <c r="BH72" i="5"/>
  <c r="AX67" i="5"/>
  <c r="AN57" i="5"/>
  <c r="AX107" i="5"/>
  <c r="AU57" i="5"/>
  <c r="AU67" i="5"/>
  <c r="AU127" i="5"/>
  <c r="AU128" i="5"/>
  <c r="AU129" i="5"/>
  <c r="BB112" i="5"/>
  <c r="BE82" i="5"/>
  <c r="AR112" i="5"/>
  <c r="AZ82" i="5"/>
  <c r="AQ57" i="5"/>
  <c r="BF97" i="5"/>
  <c r="BH122" i="5"/>
  <c r="BE72" i="5"/>
  <c r="Z122" i="5"/>
  <c r="V122" i="5"/>
  <c r="J19" i="2"/>
  <c r="U87" i="5"/>
  <c r="U72" i="5"/>
  <c r="R62" i="5"/>
  <c r="N92" i="5"/>
  <c r="F13" i="2"/>
  <c r="V57" i="5"/>
  <c r="S92" i="5"/>
  <c r="W62" i="5"/>
  <c r="AE117" i="5"/>
  <c r="M77" i="5"/>
  <c r="AC122" i="5"/>
  <c r="T122" i="5"/>
  <c r="BD57" i="5"/>
  <c r="BD127" i="5"/>
  <c r="BD128" i="5"/>
  <c r="BD129" i="5"/>
  <c r="AW57" i="5"/>
  <c r="AO122" i="5"/>
  <c r="AV72" i="5"/>
  <c r="BK117" i="5"/>
  <c r="BA117" i="5"/>
  <c r="U102" i="5"/>
  <c r="U92" i="5"/>
  <c r="AN82" i="5"/>
  <c r="AP62" i="5"/>
  <c r="AN87" i="5"/>
  <c r="AP77" i="5"/>
  <c r="AP67" i="5"/>
  <c r="AE97" i="5"/>
  <c r="W117" i="5"/>
  <c r="W82" i="5"/>
  <c r="R72" i="5"/>
  <c r="H9" i="2"/>
  <c r="AW82" i="5"/>
  <c r="P107" i="5"/>
  <c r="E127" i="5"/>
  <c r="E128" i="5"/>
  <c r="E129" i="5"/>
  <c r="I7" i="2"/>
  <c r="J17" i="2"/>
  <c r="D18" i="2"/>
  <c r="E12" i="2"/>
  <c r="O127" i="5"/>
  <c r="O128" i="5"/>
  <c r="O129" i="5"/>
  <c r="H18" i="2"/>
  <c r="H19" i="2"/>
  <c r="C15" i="2"/>
  <c r="J13" i="2"/>
  <c r="J6" i="2"/>
  <c r="I6" i="2"/>
  <c r="D14" i="2"/>
  <c r="C7" i="2"/>
  <c r="F12" i="2"/>
  <c r="I19" i="2"/>
  <c r="E15" i="2"/>
  <c r="D12" i="2"/>
  <c r="D19" i="2"/>
  <c r="C6" i="2"/>
  <c r="D9" i="2"/>
  <c r="F7" i="2"/>
  <c r="M3" i="2"/>
  <c r="AL62" i="5"/>
  <c r="AL72" i="5"/>
  <c r="AL77" i="5"/>
  <c r="AL57" i="5"/>
  <c r="AL82" i="5"/>
  <c r="AL87" i="5"/>
  <c r="AL92" i="5"/>
  <c r="AL67" i="5"/>
  <c r="AL97" i="5"/>
  <c r="AL117" i="5"/>
  <c r="AL102" i="5"/>
  <c r="AL112" i="5"/>
  <c r="AL107" i="5"/>
  <c r="AL122" i="5"/>
  <c r="AM57" i="5"/>
  <c r="AM62" i="5"/>
  <c r="AM67" i="5"/>
  <c r="AM72" i="5"/>
  <c r="AM77" i="5"/>
  <c r="AM82" i="5"/>
  <c r="AM87" i="5"/>
  <c r="AM92" i="5"/>
  <c r="AM97" i="5"/>
  <c r="AM102" i="5"/>
  <c r="AM107" i="5"/>
  <c r="AM112" i="5"/>
  <c r="AM117" i="5"/>
  <c r="AM122" i="5"/>
  <c r="AK127" i="5"/>
  <c r="AK128" i="5"/>
  <c r="AK129" i="5"/>
  <c r="BB127" i="5"/>
  <c r="BB128" i="5"/>
  <c r="BB129" i="5"/>
  <c r="Z127" i="5"/>
  <c r="Z128" i="5"/>
  <c r="Z129" i="5"/>
  <c r="AV127" i="5"/>
  <c r="AV128" i="5"/>
  <c r="AV129" i="5"/>
  <c r="J9" i="2"/>
  <c r="F14" i="2"/>
  <c r="I13" i="2"/>
  <c r="P127" i="5"/>
  <c r="P128" i="5"/>
  <c r="P129" i="5"/>
  <c r="K17" i="2"/>
  <c r="AD127" i="5"/>
  <c r="AD128" i="5"/>
  <c r="AD129" i="5"/>
  <c r="AG127" i="5"/>
  <c r="AG128" i="5"/>
  <c r="AG129" i="5"/>
  <c r="H127" i="5"/>
  <c r="H128" i="5"/>
  <c r="H129" i="5"/>
  <c r="AE127" i="5"/>
  <c r="AE128" i="5"/>
  <c r="AE129" i="5"/>
  <c r="N127" i="5"/>
  <c r="N128" i="5"/>
  <c r="N129" i="5"/>
  <c r="I17" i="2"/>
  <c r="X127" i="5"/>
  <c r="X128" i="5"/>
  <c r="X129" i="5"/>
  <c r="AI127" i="5"/>
  <c r="AI128" i="5"/>
  <c r="AI129" i="5"/>
  <c r="D127" i="5"/>
  <c r="D128" i="5"/>
  <c r="D129" i="5"/>
  <c r="D130" i="5"/>
  <c r="E130" i="5"/>
  <c r="D15" i="2"/>
  <c r="Q127" i="5"/>
  <c r="Q128" i="5"/>
  <c r="Q129" i="5"/>
  <c r="H16" i="2"/>
  <c r="J18" i="2"/>
  <c r="F10" i="2"/>
  <c r="J7" i="2"/>
  <c r="V127" i="5"/>
  <c r="V128" i="5"/>
  <c r="V129" i="5"/>
  <c r="K19" i="2"/>
  <c r="AQ127" i="5"/>
  <c r="AQ128" i="5"/>
  <c r="AQ129" i="5"/>
  <c r="K16" i="2"/>
  <c r="BK127" i="5"/>
  <c r="BK128" i="5"/>
  <c r="BK129" i="5"/>
  <c r="BI127" i="5"/>
  <c r="BI128" i="5"/>
  <c r="BI129" i="5"/>
  <c r="BE127" i="5"/>
  <c r="BE128" i="5"/>
  <c r="BE129" i="5"/>
  <c r="S127" i="5"/>
  <c r="S128" i="5"/>
  <c r="S129" i="5"/>
  <c r="E18" i="2"/>
  <c r="C10" i="2"/>
  <c r="BF127" i="5"/>
  <c r="BF128" i="5"/>
  <c r="BF129" i="5"/>
  <c r="L127" i="5"/>
  <c r="L128" i="5"/>
  <c r="L129" i="5"/>
  <c r="F19" i="2"/>
  <c r="K10" i="2"/>
  <c r="H13" i="2"/>
  <c r="I127" i="5"/>
  <c r="I128" i="5"/>
  <c r="I129" i="5"/>
  <c r="I18" i="2"/>
  <c r="C19" i="2"/>
  <c r="F16" i="2"/>
  <c r="C18" i="2"/>
  <c r="I14" i="2"/>
  <c r="C17" i="2"/>
  <c r="J15" i="2"/>
  <c r="F15" i="2"/>
  <c r="G15" i="2"/>
  <c r="AN127" i="5"/>
  <c r="AS127" i="5"/>
  <c r="AS128" i="5"/>
  <c r="AS129" i="5"/>
  <c r="AP127" i="5"/>
  <c r="AP128" i="5"/>
  <c r="AP129" i="5"/>
  <c r="BH127" i="5"/>
  <c r="BH128" i="5"/>
  <c r="BH129" i="5"/>
  <c r="AA127" i="5"/>
  <c r="AA128" i="5"/>
  <c r="AA129" i="5"/>
  <c r="AC127" i="5"/>
  <c r="AC128" i="5"/>
  <c r="AC129" i="5"/>
  <c r="AX127" i="5"/>
  <c r="AX128" i="5"/>
  <c r="AX129" i="5"/>
  <c r="BA127" i="5"/>
  <c r="BA128" i="5"/>
  <c r="BA129" i="5"/>
  <c r="J127" i="5"/>
  <c r="J128" i="5"/>
  <c r="J129" i="5"/>
  <c r="W127" i="5"/>
  <c r="W128" i="5"/>
  <c r="W129" i="5"/>
  <c r="K18" i="2"/>
  <c r="J12" i="2"/>
  <c r="AW127" i="5"/>
  <c r="AW128" i="5"/>
  <c r="AW129" i="5"/>
  <c r="R127" i="5"/>
  <c r="R128" i="5"/>
  <c r="R129" i="5"/>
  <c r="AO127" i="5"/>
  <c r="AO128" i="5"/>
  <c r="AO129" i="5"/>
  <c r="AR127" i="5"/>
  <c r="AR128" i="5"/>
  <c r="AR129" i="5"/>
  <c r="F127" i="5"/>
  <c r="F128" i="5"/>
  <c r="F129" i="5"/>
  <c r="F130" i="5"/>
  <c r="H11" i="2"/>
  <c r="C8" i="2"/>
  <c r="I9" i="2"/>
  <c r="L9" i="2"/>
  <c r="C9" i="2"/>
  <c r="G127" i="5"/>
  <c r="G128" i="5"/>
  <c r="G129" i="5"/>
  <c r="D6" i="2"/>
  <c r="E8" i="2"/>
  <c r="E19" i="2"/>
  <c r="E14" i="2"/>
  <c r="G14" i="2"/>
  <c r="F9" i="2"/>
  <c r="D13" i="2"/>
  <c r="G13" i="2"/>
  <c r="I11" i="2"/>
  <c r="K13" i="2"/>
  <c r="L13" i="2"/>
  <c r="E9" i="2"/>
  <c r="K15" i="2"/>
  <c r="K7" i="2"/>
  <c r="AY127" i="5"/>
  <c r="AY128" i="5"/>
  <c r="AY129" i="5"/>
  <c r="H10" i="2"/>
  <c r="L10" i="2"/>
  <c r="G73" i="2"/>
  <c r="D11" i="2"/>
  <c r="F18" i="2"/>
  <c r="C12" i="2"/>
  <c r="G12" i="2"/>
  <c r="J16" i="2"/>
  <c r="H14" i="2"/>
  <c r="AB127" i="5"/>
  <c r="AB128" i="5"/>
  <c r="AB129" i="5"/>
  <c r="D17" i="2"/>
  <c r="G17" i="2"/>
  <c r="K8" i="2"/>
  <c r="Y127" i="5"/>
  <c r="Y128" i="5"/>
  <c r="Y129" i="5"/>
  <c r="K6" i="2"/>
  <c r="L6" i="2"/>
  <c r="G69" i="2"/>
  <c r="I12" i="2"/>
  <c r="L12" i="2"/>
  <c r="G9" i="2"/>
  <c r="U127" i="5"/>
  <c r="U128" i="5"/>
  <c r="U129" i="5"/>
  <c r="J14" i="2"/>
  <c r="I8" i="2"/>
  <c r="E6" i="2"/>
  <c r="D7" i="2"/>
  <c r="G7" i="2"/>
  <c r="T127" i="5"/>
  <c r="T128" i="5"/>
  <c r="T129" i="5"/>
  <c r="D10" i="2"/>
  <c r="J11" i="2"/>
  <c r="E10" i="2"/>
  <c r="AJ127" i="5"/>
  <c r="AJ128" i="5"/>
  <c r="AJ129" i="5"/>
  <c r="H15" i="2"/>
  <c r="F8" i="2"/>
  <c r="M127" i="5"/>
  <c r="M128" i="5"/>
  <c r="M129" i="5"/>
  <c r="F6" i="2"/>
  <c r="I16" i="2"/>
  <c r="L16" i="2"/>
  <c r="H7" i="2"/>
  <c r="AZ127" i="5"/>
  <c r="AZ128" i="5"/>
  <c r="AZ129" i="5"/>
  <c r="C11" i="2"/>
  <c r="K14" i="2"/>
  <c r="I15" i="2"/>
  <c r="L17" i="2"/>
  <c r="L18" i="2"/>
  <c r="L19" i="2"/>
  <c r="G16" i="2"/>
  <c r="AN128" i="5"/>
  <c r="AN129" i="5"/>
  <c r="I31" i="2"/>
  <c r="AL127" i="5"/>
  <c r="AL128" i="5"/>
  <c r="AL129" i="5"/>
  <c r="AM127" i="5"/>
  <c r="AM128" i="5"/>
  <c r="D20" i="2"/>
  <c r="D5" i="2"/>
  <c r="G18" i="2"/>
  <c r="G19" i="2"/>
  <c r="H20" i="2"/>
  <c r="H5" i="2"/>
  <c r="L7" i="2"/>
  <c r="F20" i="2"/>
  <c r="F5" i="2"/>
  <c r="F21" i="2"/>
  <c r="O5" i="2"/>
  <c r="O21" i="2"/>
  <c r="K20" i="2"/>
  <c r="K5" i="2"/>
  <c r="K21" i="2"/>
  <c r="G11" i="2"/>
  <c r="J20" i="2"/>
  <c r="J5" i="2"/>
  <c r="J21" i="2"/>
  <c r="G6" i="2"/>
  <c r="L8" i="2"/>
  <c r="E20" i="2"/>
  <c r="E5" i="2"/>
  <c r="E21" i="2"/>
  <c r="G130" i="5"/>
  <c r="H130" i="5"/>
  <c r="I130" i="5"/>
  <c r="J130" i="5"/>
  <c r="K130" i="5"/>
  <c r="L130" i="5"/>
  <c r="M130" i="5"/>
  <c r="N130" i="5"/>
  <c r="O130" i="5"/>
  <c r="P130" i="5"/>
  <c r="Q130" i="5"/>
  <c r="R130" i="5"/>
  <c r="S130" i="5"/>
  <c r="T130" i="5"/>
  <c r="U130" i="5"/>
  <c r="V130" i="5"/>
  <c r="W130" i="5"/>
  <c r="X130" i="5"/>
  <c r="Y130" i="5"/>
  <c r="Z130" i="5"/>
  <c r="AA130" i="5"/>
  <c r="AB130" i="5"/>
  <c r="AC130" i="5"/>
  <c r="AD130" i="5"/>
  <c r="AE130" i="5"/>
  <c r="AF130" i="5"/>
  <c r="AG130" i="5"/>
  <c r="AH130" i="5"/>
  <c r="AI130" i="5"/>
  <c r="AJ130" i="5"/>
  <c r="AK130" i="5"/>
  <c r="AL130" i="5"/>
  <c r="L14" i="2"/>
  <c r="G8" i="2"/>
  <c r="I20" i="2"/>
  <c r="I5" i="2"/>
  <c r="I21" i="2"/>
  <c r="C20" i="2"/>
  <c r="C5" i="2"/>
  <c r="C21" i="2"/>
  <c r="C24" i="2"/>
  <c r="L15" i="2"/>
  <c r="G10" i="2"/>
  <c r="L11" i="2"/>
  <c r="N5" i="2"/>
  <c r="J33" i="2"/>
  <c r="K33" i="2"/>
  <c r="D21" i="2"/>
  <c r="D31" i="2"/>
  <c r="N31" i="2"/>
  <c r="G66" i="2"/>
  <c r="AM129" i="5"/>
  <c r="M5" i="2"/>
  <c r="I33" i="2"/>
  <c r="N33" i="2"/>
  <c r="N34" i="2"/>
  <c r="L20" i="2"/>
  <c r="G5" i="2"/>
  <c r="G20" i="2"/>
  <c r="D24" i="2"/>
  <c r="E24" i="2"/>
  <c r="F24" i="2"/>
  <c r="N21" i="2"/>
  <c r="N25" i="2"/>
  <c r="AM130" i="5"/>
  <c r="AN130" i="5"/>
  <c r="AO130" i="5"/>
  <c r="AP130" i="5"/>
  <c r="AQ130" i="5"/>
  <c r="AR130" i="5"/>
  <c r="AS130" i="5"/>
  <c r="AT130" i="5"/>
  <c r="AU130" i="5"/>
  <c r="AV130" i="5"/>
  <c r="AW130" i="5"/>
  <c r="AX130" i="5"/>
  <c r="AY130" i="5"/>
  <c r="AZ130" i="5"/>
  <c r="BA130" i="5"/>
  <c r="BB130" i="5"/>
  <c r="BC130" i="5"/>
  <c r="BD130" i="5"/>
  <c r="BE130" i="5"/>
  <c r="BF130" i="5"/>
  <c r="BG130" i="5"/>
  <c r="BH130" i="5"/>
  <c r="BI130" i="5"/>
  <c r="BJ130" i="5"/>
  <c r="BK130" i="5"/>
  <c r="O25" i="2"/>
  <c r="O22" i="2"/>
  <c r="O23" i="2"/>
  <c r="P33" i="2"/>
  <c r="P34" i="2"/>
  <c r="K34" i="2"/>
  <c r="F33" i="2"/>
  <c r="F34" i="2"/>
  <c r="G21" i="2"/>
  <c r="G33" i="2"/>
  <c r="J34" i="2"/>
  <c r="O33" i="2"/>
  <c r="O34" i="2"/>
  <c r="E33" i="2"/>
  <c r="E34" i="2"/>
  <c r="H21" i="2"/>
  <c r="L5" i="2"/>
  <c r="N38" i="2"/>
  <c r="N35" i="2"/>
  <c r="N36" i="2"/>
  <c r="N39" i="2"/>
  <c r="D33" i="2"/>
  <c r="D34" i="2"/>
  <c r="D35" i="2"/>
  <c r="D36" i="2"/>
  <c r="I34" i="2"/>
  <c r="I38" i="2"/>
  <c r="M21" i="2"/>
  <c r="N22" i="2"/>
  <c r="N23" i="2"/>
  <c r="N26" i="2"/>
  <c r="O35" i="2"/>
  <c r="O36" i="2"/>
  <c r="O39" i="2"/>
  <c r="O38" i="2"/>
  <c r="P35" i="2"/>
  <c r="P36" i="2"/>
  <c r="P39" i="2"/>
  <c r="P38" i="2"/>
  <c r="H33" i="2"/>
  <c r="G68" i="2"/>
  <c r="L21" i="2"/>
  <c r="J35" i="2"/>
  <c r="J36" i="2"/>
  <c r="J39" i="2"/>
  <c r="J38" i="2"/>
  <c r="O26" i="2"/>
  <c r="B3" i="3"/>
  <c r="F35" i="2"/>
  <c r="F36" i="2"/>
  <c r="F39" i="2"/>
  <c r="F38" i="2"/>
  <c r="G34" i="2"/>
  <c r="L33" i="2"/>
  <c r="L34" i="2"/>
  <c r="B33" i="2"/>
  <c r="B34" i="2"/>
  <c r="E38" i="2"/>
  <c r="E35" i="2"/>
  <c r="E36" i="2"/>
  <c r="E39" i="2"/>
  <c r="G22" i="2"/>
  <c r="G24" i="2"/>
  <c r="H24" i="2"/>
  <c r="I24" i="2"/>
  <c r="J24" i="2"/>
  <c r="K24" i="2"/>
  <c r="G25" i="2"/>
  <c r="K38" i="2"/>
  <c r="K35" i="2"/>
  <c r="K36" i="2"/>
  <c r="K39" i="2"/>
  <c r="D39" i="2"/>
  <c r="D38" i="2"/>
  <c r="I35" i="2"/>
  <c r="I36" i="2"/>
  <c r="M22" i="2"/>
  <c r="M25" i="2"/>
  <c r="G23" i="2"/>
  <c r="G26" i="2"/>
  <c r="B38" i="2"/>
  <c r="B35" i="2"/>
  <c r="B36" i="2"/>
  <c r="L35" i="2"/>
  <c r="L36" i="2"/>
  <c r="L38" i="2"/>
  <c r="L22" i="2"/>
  <c r="L25" i="2"/>
  <c r="G35" i="2"/>
  <c r="G36" i="2"/>
  <c r="G38" i="2"/>
  <c r="C33" i="2"/>
  <c r="C34" i="2"/>
  <c r="H34" i="2"/>
  <c r="M33" i="2"/>
  <c r="M34" i="2"/>
  <c r="I39" i="2"/>
  <c r="M23" i="2"/>
  <c r="M35" i="2"/>
  <c r="M36" i="2"/>
  <c r="M38" i="2"/>
  <c r="G39" i="2"/>
  <c r="G37" i="2"/>
  <c r="L39" i="2"/>
  <c r="L37" i="2"/>
  <c r="C38" i="2"/>
  <c r="C35" i="2"/>
  <c r="C36" i="2"/>
  <c r="C39" i="2"/>
  <c r="H38" i="2"/>
  <c r="H35" i="2"/>
  <c r="H36" i="2"/>
  <c r="B37" i="2"/>
  <c r="B39" i="2"/>
  <c r="L23" i="2"/>
  <c r="L26" i="2"/>
  <c r="L24" i="2"/>
  <c r="M24" i="2"/>
  <c r="N24" i="2"/>
  <c r="O24" i="2"/>
  <c r="M26" i="2"/>
  <c r="C37" i="2"/>
  <c r="D37" i="2"/>
  <c r="E37" i="2"/>
  <c r="F37" i="2"/>
  <c r="H37" i="2"/>
  <c r="I37" i="2"/>
  <c r="J37" i="2"/>
  <c r="K37" i="2"/>
  <c r="H39" i="2"/>
  <c r="M39" i="2"/>
  <c r="M37" i="2"/>
  <c r="N37" i="2"/>
  <c r="O37" i="2"/>
  <c r="P37" i="2"/>
  <c r="B4" i="3"/>
  <c r="E5" i="3"/>
  <c r="C5" i="3"/>
  <c r="C10" i="3"/>
  <c r="D5" i="3"/>
  <c r="D9" i="3"/>
  <c r="D10" i="3"/>
  <c r="E9" i="3"/>
  <c r="E10" i="3"/>
  <c r="C8" i="3"/>
  <c r="C9" i="3"/>
  <c r="D7" i="3"/>
  <c r="D8" i="3"/>
  <c r="E7" i="3"/>
  <c r="E8" i="3"/>
  <c r="C7" i="3"/>
</calcChain>
</file>

<file path=xl/comments1.xml><?xml version="1.0" encoding="utf-8"?>
<comments xmlns="http://schemas.openxmlformats.org/spreadsheetml/2006/main">
  <authors>
    <author>Author</author>
  </authors>
  <commentList>
    <comment ref="G3" authorId="0">
      <text>
        <r>
          <rPr>
            <b/>
            <sz val="9"/>
            <color indexed="81"/>
            <rFont val="Tahoma"/>
            <family val="2"/>
          </rPr>
          <t>Author:</t>
        </r>
        <r>
          <rPr>
            <sz val="9"/>
            <color indexed="81"/>
            <rFont val="Tahoma"/>
            <family val="2"/>
          </rPr>
          <t xml:space="preserve">
Price Trend is simply the price change/trend (%) year after year (+ or -)</t>
        </r>
      </text>
    </comment>
    <comment ref="G4" authorId="0">
      <text>
        <r>
          <rPr>
            <b/>
            <sz val="9"/>
            <color indexed="81"/>
            <rFont val="Tahoma"/>
            <family val="2"/>
          </rPr>
          <t>Author:</t>
        </r>
        <r>
          <rPr>
            <sz val="9"/>
            <color indexed="81"/>
            <rFont val="Tahoma"/>
            <family val="2"/>
          </rPr>
          <t xml:space="preserve">
Price Trend is simply the price change/trend (%) year after year (+ or -)</t>
        </r>
      </text>
    </comment>
    <comment ref="G5" authorId="0">
      <text>
        <r>
          <rPr>
            <b/>
            <sz val="9"/>
            <color indexed="81"/>
            <rFont val="Tahoma"/>
            <family val="2"/>
          </rPr>
          <t>Author:</t>
        </r>
        <r>
          <rPr>
            <sz val="9"/>
            <color indexed="81"/>
            <rFont val="Tahoma"/>
            <family val="2"/>
          </rPr>
          <t xml:space="preserve">
Price Trend is simply the price change/trend (%) year after year (+ or -)</t>
        </r>
      </text>
    </comment>
    <comment ref="H5" authorId="0">
      <text>
        <r>
          <rPr>
            <b/>
            <sz val="9"/>
            <color indexed="81"/>
            <rFont val="Tahoma"/>
            <family val="2"/>
          </rPr>
          <t>Author:</t>
        </r>
        <r>
          <rPr>
            <sz val="9"/>
            <color indexed="81"/>
            <rFont val="Tahoma"/>
            <family val="2"/>
          </rPr>
          <t xml:space="preserve">
So far, I did not allow the subsequent cells to account for repeat purchases. Implement if needed in the TEMPLATE</t>
        </r>
      </text>
    </comment>
  </commentList>
</comments>
</file>

<file path=xl/comments2.xml><?xml version="1.0" encoding="utf-8"?>
<comments xmlns="http://schemas.openxmlformats.org/spreadsheetml/2006/main">
  <authors>
    <author>Author</author>
  </authors>
  <commentList>
    <comment ref="A2" authorId="0">
      <text>
        <r>
          <rPr>
            <b/>
            <sz val="9"/>
            <color indexed="81"/>
            <rFont val="Tahoma"/>
            <family val="2"/>
          </rPr>
          <t>Author:</t>
        </r>
        <r>
          <rPr>
            <sz val="9"/>
            <color indexed="81"/>
            <rFont val="Tahoma"/>
            <family val="2"/>
          </rPr>
          <t xml:space="preserve">
By multiplying a row in this matrix by the row in a particular month (and summing the product) we are assentially adding all the repeat purchases. 0 means the customer who purchased in Month [column] is not repearching in that month. </t>
        </r>
      </text>
    </comment>
    <comment ref="B2" authorId="0">
      <text>
        <r>
          <rPr>
            <b/>
            <sz val="9"/>
            <color indexed="81"/>
            <rFont val="Tahoma"/>
            <family val="2"/>
          </rPr>
          <t>Shane Kercheval:
Each column represents the amount of purchases in the respective month</t>
        </r>
        <r>
          <rPr>
            <sz val="9"/>
            <color indexed="81"/>
            <rFont val="Tahoma"/>
            <family val="2"/>
          </rPr>
          <t xml:space="preserve">
</t>
        </r>
      </text>
    </comment>
    <comment ref="A3" authorId="0">
      <text>
        <r>
          <rPr>
            <b/>
            <sz val="9"/>
            <color indexed="81"/>
            <rFont val="Tahoma"/>
            <family val="2"/>
          </rPr>
          <t>Author:</t>
        </r>
        <r>
          <rPr>
            <sz val="9"/>
            <color indexed="81"/>
            <rFont val="Tahoma"/>
            <family val="2"/>
          </rPr>
          <t xml:space="preserve">
Each row represents "current" month. E.g. in month 5, the calculation should use row 6 "Month 5)</t>
        </r>
      </text>
    </comment>
  </commentList>
</comments>
</file>

<file path=xl/sharedStrings.xml><?xml version="1.0" encoding="utf-8"?>
<sst xmlns="http://schemas.openxmlformats.org/spreadsheetml/2006/main" count="283" uniqueCount="222">
  <si>
    <t>Target Markets</t>
  </si>
  <si>
    <t>Total Population of Target Market</t>
  </si>
  <si>
    <t>Target Percent of Population</t>
  </si>
  <si>
    <t>Average Number of Purchases</t>
  </si>
  <si>
    <t>Total Amount of Target Units Sold</t>
  </si>
  <si>
    <t>Population Assumptions</t>
  </si>
  <si>
    <t>N/A</t>
  </si>
  <si>
    <t>Demand Assumptions</t>
  </si>
  <si>
    <t>1st Six Months
Prior to Lunch</t>
  </si>
  <si>
    <t>Year 1
1st Six Months</t>
  </si>
  <si>
    <t>Year 1
2nd Six Months</t>
  </si>
  <si>
    <t>Year 2
1st Six Months</t>
  </si>
  <si>
    <t>Year 2
2nd Six Months</t>
  </si>
  <si>
    <t>Year 3
1st Six Months</t>
  </si>
  <si>
    <t>Year 3
2nd Six Months</t>
  </si>
  <si>
    <t>Counter</t>
  </si>
  <si>
    <t>Price</t>
  </si>
  <si>
    <t>Column1</t>
  </si>
  <si>
    <t>Percent of Competition</t>
  </si>
  <si>
    <t>Month</t>
  </si>
  <si>
    <t>Z-Score</t>
  </si>
  <si>
    <t>Number of Months</t>
  </si>
  <si>
    <t>Gaussian Start</t>
  </si>
  <si>
    <t>Gaussian End</t>
  </si>
  <si>
    <t>Gaussian Interval</t>
  </si>
  <si>
    <t>Gaussian Curve</t>
  </si>
  <si>
    <t>Gaussian Cumulation</t>
  </si>
  <si>
    <t>Monthly % Sold</t>
  </si>
  <si>
    <t>Pre-Release Costs</t>
  </si>
  <si>
    <t>Total</t>
  </si>
  <si>
    <t>Total Units Sold</t>
  </si>
  <si>
    <t>Total Revenue</t>
  </si>
  <si>
    <t>Price Trend (Per Year +-)</t>
  </si>
  <si>
    <t>Monthly Sold</t>
  </si>
  <si>
    <t>Repeat Purchases?</t>
  </si>
  <si>
    <t>No</t>
  </si>
  <si>
    <t>Monthly</t>
  </si>
  <si>
    <t>Yearly</t>
  </si>
  <si>
    <t>Unit Sales</t>
  </si>
  <si>
    <t>Revenues</t>
  </si>
  <si>
    <t>Retention Rate</t>
  </si>
  <si>
    <t>Monthly Repeat Units</t>
  </si>
  <si>
    <t>Yearly Repeat Units</t>
  </si>
  <si>
    <t>Expected Sold From Gaussian</t>
  </si>
  <si>
    <t>Expected Sold w/ Competition</t>
  </si>
  <si>
    <t>First Time Units Sold (Gaussian)</t>
  </si>
  <si>
    <t>First Time Units Sold (Considering Competition)</t>
  </si>
  <si>
    <t>Gaussian Start: Larger numbers means starting at a higher percent capture rate</t>
  </si>
  <si>
    <t>Gaussian End: Larger numbers condense the time to capture the majority of the market.</t>
  </si>
  <si>
    <t>Monthly Repeat Purchase Retention Rate - Columns Represent people who originally bought in that month, rows represent the month in question.</t>
  </si>
  <si>
    <t>Yearly Repeat Purchase Retention Rate - Columns Represent people who originally bought in that month, rows represent the month in question.</t>
  </si>
  <si>
    <t>Quartly Repeat Purchase Retention Rate - Columns Represent people who originally bought in that month, rows represent the month in question.</t>
  </si>
  <si>
    <t>Descrtipion</t>
  </si>
  <si>
    <t>Stage</t>
  </si>
  <si>
    <t>Category</t>
  </si>
  <si>
    <t>Quarterly (not implemented)</t>
  </si>
  <si>
    <t>Repeat Purchase List</t>
  </si>
  <si>
    <t>Category List</t>
  </si>
  <si>
    <t>Software</t>
  </si>
  <si>
    <t>Hardware</t>
  </si>
  <si>
    <t>Prototype</t>
  </si>
  <si>
    <t>Legal</t>
  </si>
  <si>
    <t>Marketing/Sales</t>
  </si>
  <si>
    <t>Manufacturing</t>
  </si>
  <si>
    <t>Technical Feasibility</t>
  </si>
  <si>
    <t>Misc.</t>
  </si>
  <si>
    <t>Pre-Release</t>
  </si>
  <si>
    <t>Post-Release</t>
  </si>
  <si>
    <t>Cost Type</t>
  </si>
  <si>
    <t>Total Estimated Costs</t>
  </si>
  <si>
    <t>Uncertain Level</t>
  </si>
  <si>
    <t>No Idea</t>
  </si>
  <si>
    <t>Highly Uncertain</t>
  </si>
  <si>
    <t>Guess</t>
  </si>
  <si>
    <t>Educated Guess</t>
  </si>
  <si>
    <t>Estimated backed by Knowledge</t>
  </si>
  <si>
    <t>Certain (&gt;95%)</t>
  </si>
  <si>
    <t>Notes</t>
  </si>
  <si>
    <t>Certainty</t>
  </si>
  <si>
    <t>Total Costs</t>
  </si>
  <si>
    <t>Weighted Average Pre-Release Uncertainty</t>
  </si>
  <si>
    <t>Weighted Average Post-Release Uncertainty</t>
  </si>
  <si>
    <t>Uncertainty Value</t>
  </si>
  <si>
    <t>Uncertainty Weight</t>
  </si>
  <si>
    <t>Uncertainty Level</t>
  </si>
  <si>
    <t>Translated Confidence Interval</t>
  </si>
  <si>
    <t>Best Case</t>
  </si>
  <si>
    <t>Worst Case</t>
  </si>
  <si>
    <t>Expected Costs</t>
  </si>
  <si>
    <t>Customer Service</t>
  </si>
  <si>
    <t>Overhead</t>
  </si>
  <si>
    <t>Post-Release Costs</t>
  </si>
  <si>
    <t>Monthly Costs</t>
  </si>
  <si>
    <t>Monthly Profit</t>
  </si>
  <si>
    <t>Prior</t>
  </si>
  <si>
    <t>Y1 - Q1</t>
  </si>
  <si>
    <t>Y1 - Q2</t>
  </si>
  <si>
    <t>Y1 - Q3</t>
  </si>
  <si>
    <t>Y1 - Q4</t>
  </si>
  <si>
    <t>Year 1  Total</t>
  </si>
  <si>
    <t>Y2 - Q1</t>
  </si>
  <si>
    <t>Y2 - Q2</t>
  </si>
  <si>
    <t>Y2 - Q3</t>
  </si>
  <si>
    <t>Y2 - Q4</t>
  </si>
  <si>
    <t>Year 2 Total</t>
  </si>
  <si>
    <t>Year 3 Total</t>
  </si>
  <si>
    <t>Year 4</t>
  </si>
  <si>
    <t>Year 5</t>
  </si>
  <si>
    <t>Cost</t>
  </si>
  <si>
    <t>Post-Cost Type</t>
  </si>
  <si>
    <t>% of Costs</t>
  </si>
  <si>
    <t>Custom</t>
  </si>
  <si>
    <t>Per Unit Sold</t>
  </si>
  <si>
    <t>WYSIATI (i.e. Expected Unknown)</t>
  </si>
  <si>
    <t>% of Revenue</t>
  </si>
  <si>
    <t>Fixed (Monthly)</t>
  </si>
  <si>
    <t>CEO / Founders Salary</t>
  </si>
  <si>
    <t>WYSIATI = "What you see is all there is" i.e. don't forget about the unknowns. Unknowns are expected.</t>
  </si>
  <si>
    <t>Check / Verify (From Detailed)</t>
  </si>
  <si>
    <t>Check / Verify (dif equation)</t>
  </si>
  <si>
    <t>WYSIATI (Expected Unknowns)</t>
  </si>
  <si>
    <t>Taxes</t>
  </si>
  <si>
    <t>Gross Income</t>
  </si>
  <si>
    <t>Net Income</t>
  </si>
  <si>
    <t>Amount Captured 1st Year</t>
  </si>
  <si>
    <t>Amount Captured 2nd Year</t>
  </si>
  <si>
    <t>Amount Captured 3rd Year</t>
  </si>
  <si>
    <t>Amount Captured 4th Year</t>
  </si>
  <si>
    <t>Amount Captured  5th Year</t>
  </si>
  <si>
    <t>Amount Captured  6th Year</t>
  </si>
  <si>
    <t>Amount Captured  7th Year</t>
  </si>
  <si>
    <t>Amount Captured  8th Year</t>
  </si>
  <si>
    <t>Amount Captured  9th Year</t>
  </si>
  <si>
    <t>Amount Captured  10th Year</t>
  </si>
  <si>
    <t>Gross Profit Margin</t>
  </si>
  <si>
    <t>Net Profit Margin</t>
  </si>
  <si>
    <t>Expected 5 Year Summary</t>
  </si>
  <si>
    <t>Confidence Interval</t>
  </si>
  <si>
    <t>Better-Than-Expected 5 Year Summary</t>
  </si>
  <si>
    <t>Worse-Than-Expected 5 Year Summary</t>
  </si>
  <si>
    <t>Scorecard Valuation Methodology</t>
  </si>
  <si>
    <t>Strength of Entreprenuer and Team</t>
  </si>
  <si>
    <t>Size of the Opportunity</t>
  </si>
  <si>
    <t>Product/Technology</t>
  </si>
  <si>
    <t>Competitive Enivironment</t>
  </si>
  <si>
    <t>Marketing/Sales/Partnerships</t>
  </si>
  <si>
    <t>Need for Additional Investment</t>
  </si>
  <si>
    <t>Other (e.g. great customer feedback)</t>
  </si>
  <si>
    <t>Factor</t>
  </si>
  <si>
    <t>Weight</t>
  </si>
  <si>
    <t>Description</t>
  </si>
  <si>
    <t>Value</t>
  </si>
  <si>
    <t>Valuation</t>
  </si>
  <si>
    <t>Comparison</t>
  </si>
  <si>
    <t>Excellent Opportunity</t>
  </si>
  <si>
    <t>Above Average</t>
  </si>
  <si>
    <t>Average Opportunity</t>
  </si>
  <si>
    <t>Extremely Risky</t>
  </si>
  <si>
    <t>Option</t>
  </si>
  <si>
    <t>Below Average</t>
  </si>
  <si>
    <t>Venture Capital (VC) Method</t>
  </si>
  <si>
    <t>Industry-Specific  Price-to-earnings (PE) ratio</t>
  </si>
  <si>
    <t>After-Tax Earnings of Year 5</t>
  </si>
  <si>
    <t>Year 5 Terminal Value</t>
  </si>
  <si>
    <t>10x ROI</t>
  </si>
  <si>
    <t>20x ROI</t>
  </si>
  <si>
    <t>30xROI</t>
  </si>
  <si>
    <t>Post-Money Valuation</t>
  </si>
  <si>
    <t>Pre-Money Valuation</t>
  </si>
  <si>
    <t>ROI (Assuming 5 Year - Buy-out)</t>
  </si>
  <si>
    <t>The Risk-Factor Summation Method</t>
  </si>
  <si>
    <t>Management Risk</t>
  </si>
  <si>
    <t>Stage-of-the-business Risk</t>
  </si>
  <si>
    <t>Legislation/political Risk</t>
  </si>
  <si>
    <t>Manufacturing Risk</t>
  </si>
  <si>
    <t>Sales-and-marketing Risk</t>
  </si>
  <si>
    <t>Funding/capital-raising Risk</t>
  </si>
  <si>
    <t>Competition Risk</t>
  </si>
  <si>
    <t>Technology Risk</t>
  </si>
  <si>
    <t>Litigation Risk</t>
  </si>
  <si>
    <t>Reputation Risk</t>
  </si>
  <si>
    <t>Potential Lucrative Exit</t>
  </si>
  <si>
    <t>Very Positive</t>
  </si>
  <si>
    <t>Positive</t>
  </si>
  <si>
    <t>Neutral</t>
  </si>
  <si>
    <t>Negative</t>
  </si>
  <si>
    <t>Very Negative</t>
  </si>
  <si>
    <t>PositiveLikert</t>
  </si>
  <si>
    <t>Outside Investment Required</t>
  </si>
  <si>
    <t>Percent Ownership of Outside Investment</t>
  </si>
  <si>
    <t>Dave Berkus Method</t>
  </si>
  <si>
    <t>Quality Management Team</t>
  </si>
  <si>
    <t>Sound Idea</t>
  </si>
  <si>
    <t>Working Prototype</t>
  </si>
  <si>
    <t>Quality Board of Directors</t>
  </si>
  <si>
    <t>Product Rollout or Sales</t>
  </si>
  <si>
    <t>International Risk</t>
  </si>
  <si>
    <t>Equity Investment or Debt Influx</t>
  </si>
  <si>
    <t>Total (Cumulative) Cash Flow</t>
  </si>
  <si>
    <t>Year 3</t>
  </si>
  <si>
    <t>Cumulative Cash Flow</t>
  </si>
  <si>
    <t>ROI (Assuming 10 Year (@ same price) - Buy-out)</t>
  </si>
  <si>
    <t>Early Adopters</t>
  </si>
  <si>
    <t>Innovators</t>
  </si>
  <si>
    <t>0+</t>
  </si>
  <si>
    <t>Early Majority</t>
  </si>
  <si>
    <t>Late Majority</t>
  </si>
  <si>
    <t>Laggards</t>
  </si>
  <si>
    <t>Group</t>
  </si>
  <si>
    <t>Starting Point</t>
  </si>
  <si>
    <t>Percent Captured</t>
  </si>
  <si>
    <t xml:space="preserve">The author has put his best effort into providing an accurate and error free representation of the business model. He has meticulously and repeatedly checked the formulas and assumptions. However, with this size of project, perfection is impossible and errors will be made and found. The formulas are made available so that any user of this forecast model can check the validity of the model and/or the formulas before any business decisions are made based on the forecast provided. By using this spreadsheet, the user/reader is acknowledging that the author cannot and will not be held responsible for any direct or indirect decisions made or related consequences as a result of information provided in this document. </t>
  </si>
  <si>
    <t>Widget cost</t>
  </si>
  <si>
    <t>Cost per widget</t>
  </si>
  <si>
    <t>Total cost to create a protoype</t>
  </si>
  <si>
    <t xml:space="preserve">Software Dev </t>
  </si>
  <si>
    <t>Software Dev (Pre-sales)</t>
  </si>
  <si>
    <t>Cost of Software Developers (website, etc.)</t>
  </si>
  <si>
    <t>Ongoing</t>
  </si>
  <si>
    <t>Target Segment 1</t>
  </si>
  <si>
    <t>Target Segment 2</t>
  </si>
  <si>
    <t>Target Segment 3</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</si>
</sst>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5" formatCode="&quot;$&quot;#,##0_);\(&quot;$&quot;#,##0\)"/>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0.000%"/>
    <numFmt numFmtId="166" formatCode="_(* #,##0.000000_);_(* \(#,##0.000000\);_(* &quot;-&quot;??_);_(@_)"/>
    <numFmt numFmtId="167" formatCode="&quot;Pre-Release Costs&quot;"/>
    <numFmt numFmtId="168" formatCode="&quot;Month&quot;\ General"/>
    <numFmt numFmtId="169" formatCode="0.000000"/>
    <numFmt numFmtId="170" formatCode="0.0%"/>
    <numFmt numFmtId="171" formatCode="_(&quot;$&quot;* #,##0_);_(&quot;$&quot;* \(#,##0\);_(&quot;$&quot;* &quot;-&quot;??_);_(@_)"/>
    <numFmt numFmtId="172" formatCode="0.00000%"/>
    <numFmt numFmtId="173" formatCode="&quot;M&quot;\ General"/>
    <numFmt numFmtId="174" formatCode="0.000000%"/>
    <numFmt numFmtId="175" formatCode="_(* #,##0.0_);_(* \(#,##0.0\);_(* &quot;-&quot;??_);_(@_)"/>
  </numFmts>
  <fonts count="21" x14ac:knownFonts="1">
    <font>
      <sz val="11"/>
      <color theme="1"/>
      <name val="Calibri"/>
      <family val="2"/>
      <scheme val="minor"/>
    </font>
    <font>
      <sz val="11"/>
      <color theme="1"/>
      <name val="Calibri"/>
      <family val="2"/>
      <scheme val="minor"/>
    </font>
    <font>
      <sz val="11"/>
      <color rgb="FF9C6500"/>
      <name val="Calibri"/>
      <family val="2"/>
      <scheme val="minor"/>
    </font>
    <font>
      <sz val="11"/>
      <color rgb="FF3F3F76"/>
      <name val="Calibri"/>
      <family val="2"/>
      <scheme val="minor"/>
    </font>
    <font>
      <i/>
      <sz val="11"/>
      <color rgb="FF7F7F7F"/>
      <name val="Calibri"/>
      <family val="2"/>
      <scheme val="minor"/>
    </font>
    <font>
      <b/>
      <sz val="11"/>
      <name val="Calibri"/>
      <family val="2"/>
      <scheme val="minor"/>
    </font>
    <font>
      <sz val="10"/>
      <color indexed="8"/>
      <name val="Verdana"/>
      <family val="2"/>
    </font>
    <font>
      <sz val="11"/>
      <color rgb="FF006100"/>
      <name val="Calibri"/>
      <family val="2"/>
      <scheme val="minor"/>
    </font>
    <font>
      <sz val="11"/>
      <color rgb="FF9C0006"/>
      <name val="Calibri"/>
      <family val="2"/>
      <scheme val="minor"/>
    </font>
    <font>
      <b/>
      <sz val="11"/>
      <color theme="1"/>
      <name val="Calibri"/>
      <family val="2"/>
      <scheme val="minor"/>
    </font>
    <font>
      <i/>
      <sz val="11"/>
      <color theme="1"/>
      <name val="Calibri"/>
      <family val="2"/>
      <scheme val="minor"/>
    </font>
    <font>
      <b/>
      <u/>
      <sz val="11"/>
      <color theme="1"/>
      <name val="Calibri"/>
      <family val="2"/>
      <scheme val="minor"/>
    </font>
    <font>
      <sz val="11"/>
      <color rgb="FF7F7F7F"/>
      <name val="Calibri"/>
      <family val="2"/>
      <scheme val="minor"/>
    </font>
    <font>
      <sz val="9"/>
      <color indexed="81"/>
      <name val="Tahoma"/>
      <family val="2"/>
    </font>
    <font>
      <b/>
      <sz val="9"/>
      <color indexed="81"/>
      <name val="Tahoma"/>
      <family val="2"/>
    </font>
    <font>
      <b/>
      <sz val="11"/>
      <color rgb="FF7F7F7F"/>
      <name val="Calibri"/>
      <family val="2"/>
      <scheme val="minor"/>
    </font>
    <font>
      <b/>
      <sz val="11"/>
      <color rgb="FF9C0006"/>
      <name val="Calibri"/>
      <family val="2"/>
      <scheme val="minor"/>
    </font>
    <font>
      <b/>
      <sz val="11"/>
      <color rgb="FF9C6500"/>
      <name val="Calibri"/>
      <family val="2"/>
      <scheme val="minor"/>
    </font>
    <font>
      <b/>
      <sz val="11"/>
      <color rgb="FF006100"/>
      <name val="Calibri"/>
      <family val="2"/>
      <scheme val="minor"/>
    </font>
    <font>
      <sz val="11"/>
      <name val="Calibri"/>
      <family val="2"/>
      <scheme val="minor"/>
    </font>
    <font>
      <b/>
      <u val="singleAccounting"/>
      <sz val="11"/>
      <color theme="1"/>
      <name val="Calibri"/>
      <family val="2"/>
      <scheme val="minor"/>
    </font>
  </fonts>
  <fills count="12">
    <fill>
      <patternFill patternType="none"/>
    </fill>
    <fill>
      <patternFill patternType="gray125"/>
    </fill>
    <fill>
      <patternFill patternType="solid">
        <fgColor rgb="FFFFEB9C"/>
      </patternFill>
    </fill>
    <fill>
      <patternFill patternType="solid">
        <fgColor rgb="FFFFCC99"/>
      </patternFill>
    </fill>
    <fill>
      <patternFill patternType="solid">
        <fgColor theme="4" tint="0.79998168889431442"/>
        <bgColor indexed="65"/>
      </patternFill>
    </fill>
    <fill>
      <patternFill patternType="solid">
        <fgColor theme="0" tint="-0.499984740745262"/>
        <bgColor indexed="64"/>
      </patternFill>
    </fill>
    <fill>
      <patternFill patternType="solid">
        <fgColor rgb="FFC6EFCE"/>
      </patternFill>
    </fill>
    <fill>
      <patternFill patternType="solid">
        <fgColor rgb="FFFFC7CE"/>
      </patternFill>
    </fill>
    <fill>
      <patternFill patternType="solid">
        <fgColor theme="6" tint="0.59999389629810485"/>
        <bgColor indexed="65"/>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ck">
        <color auto="1"/>
      </left>
      <right/>
      <top/>
      <bottom/>
      <diagonal/>
    </border>
    <border>
      <left style="thin">
        <color theme="1"/>
      </left>
      <right style="thin">
        <color theme="1"/>
      </right>
      <top style="thin">
        <color theme="1"/>
      </top>
      <bottom style="thin">
        <color theme="1"/>
      </bottom>
      <diagonal/>
    </border>
  </borders>
  <cellStyleXfs count="11">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3" fillId="3" borderId="1" applyNumberFormat="0" applyAlignment="0" applyProtection="0"/>
    <xf numFmtId="0" fontId="4" fillId="0" borderId="0" applyNumberFormat="0" applyFill="0" applyBorder="0" applyAlignment="0" applyProtection="0"/>
    <xf numFmtId="0" fontId="1" fillId="4" borderId="0" applyNumberFormat="0" applyBorder="0" applyAlignment="0" applyProtection="0"/>
    <xf numFmtId="0" fontId="7" fillId="6" borderId="0" applyNumberFormat="0" applyBorder="0" applyAlignment="0" applyProtection="0"/>
    <xf numFmtId="0" fontId="8" fillId="7" borderId="0" applyNumberFormat="0" applyBorder="0" applyAlignment="0" applyProtection="0"/>
    <xf numFmtId="0" fontId="1" fillId="8" borderId="0" applyNumberFormat="0" applyBorder="0" applyAlignment="0" applyProtection="0"/>
  </cellStyleXfs>
  <cellXfs count="150">
    <xf numFmtId="0" fontId="0" fillId="0" borderId="0" xfId="0"/>
    <xf numFmtId="0" fontId="0" fillId="0" borderId="0" xfId="0" applyAlignment="1">
      <alignment wrapText="1"/>
    </xf>
    <xf numFmtId="0" fontId="0" fillId="0" borderId="0" xfId="0" applyBorder="1"/>
    <xf numFmtId="0" fontId="5" fillId="2" borderId="0" xfId="4" applyFont="1" applyBorder="1" applyAlignment="1">
      <alignment vertical="center" wrapText="1"/>
    </xf>
    <xf numFmtId="43" fontId="0" fillId="0" borderId="0" xfId="1" applyFont="1"/>
    <xf numFmtId="164" fontId="0" fillId="0" borderId="0" xfId="1" applyNumberFormat="1" applyFont="1"/>
    <xf numFmtId="9" fontId="0" fillId="0" borderId="0" xfId="3" applyFont="1"/>
    <xf numFmtId="0" fontId="4" fillId="0" borderId="0" xfId="6"/>
    <xf numFmtId="0" fontId="1" fillId="4" borderId="0" xfId="7" applyAlignment="1">
      <alignment horizontal="centerContinuous"/>
    </xf>
    <xf numFmtId="0" fontId="0" fillId="5" borderId="0" xfId="0" applyFill="1"/>
    <xf numFmtId="0" fontId="4" fillId="0" borderId="0" xfId="6" applyAlignment="1">
      <alignment wrapText="1"/>
    </xf>
    <xf numFmtId="0" fontId="6" fillId="0" borderId="0" xfId="0" applyFont="1" applyAlignment="1">
      <alignment vertical="top" wrapText="1"/>
    </xf>
    <xf numFmtId="0" fontId="0" fillId="0" borderId="0" xfId="1" applyNumberFormat="1" applyFont="1"/>
    <xf numFmtId="166" fontId="0" fillId="0" borderId="0" xfId="1" applyNumberFormat="1" applyFont="1"/>
    <xf numFmtId="166" fontId="0" fillId="0" borderId="0" xfId="0" applyNumberFormat="1"/>
    <xf numFmtId="167" fontId="0" fillId="0" borderId="0" xfId="0" applyNumberFormat="1"/>
    <xf numFmtId="0" fontId="0" fillId="0" borderId="2" xfId="0" applyBorder="1"/>
    <xf numFmtId="168" fontId="0" fillId="0" borderId="0" xfId="0" applyNumberFormat="1"/>
    <xf numFmtId="0" fontId="10" fillId="0" borderId="0" xfId="0" applyFont="1"/>
    <xf numFmtId="0" fontId="9" fillId="0" borderId="0" xfId="0" applyFont="1"/>
    <xf numFmtId="0" fontId="11" fillId="0" borderId="0" xfId="0" applyFont="1"/>
    <xf numFmtId="0" fontId="0" fillId="0" borderId="0" xfId="0" applyProtection="1">
      <protection locked="0"/>
    </xf>
    <xf numFmtId="164" fontId="0" fillId="0" borderId="0" xfId="1" applyNumberFormat="1" applyFont="1" applyProtection="1">
      <protection locked="0"/>
    </xf>
    <xf numFmtId="165" fontId="0" fillId="0" borderId="0" xfId="3" applyNumberFormat="1" applyFont="1" applyProtection="1">
      <protection locked="0"/>
    </xf>
    <xf numFmtId="0" fontId="0" fillId="5" borderId="0" xfId="0" applyFill="1" applyProtection="1">
      <protection locked="0"/>
    </xf>
    <xf numFmtId="44" fontId="0" fillId="0" borderId="0" xfId="2" applyFont="1" applyProtection="1">
      <protection locked="0"/>
    </xf>
    <xf numFmtId="9" fontId="0" fillId="0" borderId="0" xfId="3" applyNumberFormat="1" applyFont="1" applyProtection="1">
      <protection locked="0"/>
    </xf>
    <xf numFmtId="9" fontId="0" fillId="0" borderId="0" xfId="3" applyFont="1" applyProtection="1">
      <protection locked="0"/>
    </xf>
    <xf numFmtId="164" fontId="9" fillId="0" borderId="0" xfId="1" applyNumberFormat="1" applyFont="1"/>
    <xf numFmtId="164" fontId="11" fillId="0" borderId="0" xfId="1" applyNumberFormat="1" applyFont="1"/>
    <xf numFmtId="9" fontId="11" fillId="0" borderId="0" xfId="3" applyFont="1"/>
    <xf numFmtId="2" fontId="0" fillId="0" borderId="0" xfId="0" applyNumberFormat="1"/>
    <xf numFmtId="170" fontId="0" fillId="0" borderId="0" xfId="3" applyNumberFormat="1" applyFont="1"/>
    <xf numFmtId="0" fontId="0" fillId="0" borderId="0" xfId="0" applyFont="1"/>
    <xf numFmtId="164" fontId="4" fillId="0" borderId="0" xfId="6" applyNumberFormat="1"/>
    <xf numFmtId="169" fontId="4" fillId="0" borderId="0" xfId="6" applyNumberFormat="1"/>
    <xf numFmtId="172" fontId="0" fillId="0" borderId="0" xfId="3" applyNumberFormat="1" applyFont="1"/>
    <xf numFmtId="164" fontId="0" fillId="0" borderId="0" xfId="0" applyNumberFormat="1"/>
    <xf numFmtId="171" fontId="4" fillId="0" borderId="0" xfId="2" applyNumberFormat="1" applyFont="1"/>
    <xf numFmtId="171" fontId="11" fillId="0" borderId="0" xfId="2" applyNumberFormat="1" applyFont="1"/>
    <xf numFmtId="0" fontId="11" fillId="0" borderId="0" xfId="0" applyFont="1" applyAlignment="1">
      <alignment wrapText="1"/>
    </xf>
    <xf numFmtId="1" fontId="0" fillId="0" borderId="0" xfId="0" applyNumberFormat="1"/>
    <xf numFmtId="173" fontId="9" fillId="0" borderId="0" xfId="0" applyNumberFormat="1" applyFont="1"/>
    <xf numFmtId="168" fontId="9" fillId="0" borderId="0" xfId="0" applyNumberFormat="1" applyFont="1"/>
    <xf numFmtId="170" fontId="0" fillId="0" borderId="0" xfId="3" applyNumberFormat="1" applyFont="1" applyProtection="1">
      <protection locked="0"/>
    </xf>
    <xf numFmtId="171" fontId="11" fillId="0" borderId="0" xfId="0" applyNumberFormat="1" applyFont="1"/>
    <xf numFmtId="164" fontId="0" fillId="0" borderId="0" xfId="1" applyNumberFormat="1" applyFont="1" applyProtection="1"/>
    <xf numFmtId="0" fontId="4" fillId="0" borderId="0" xfId="6" applyProtection="1"/>
    <xf numFmtId="164" fontId="4" fillId="0" borderId="0" xfId="6" applyNumberFormat="1" applyProtection="1"/>
    <xf numFmtId="0" fontId="9" fillId="0" borderId="0" xfId="0" applyFont="1" applyProtection="1"/>
    <xf numFmtId="164" fontId="11" fillId="0" borderId="0" xfId="1" applyNumberFormat="1" applyFont="1" applyProtection="1"/>
    <xf numFmtId="0" fontId="4" fillId="5" borderId="0" xfId="6" applyFill="1"/>
    <xf numFmtId="0" fontId="4" fillId="5" borderId="0" xfId="6" applyFill="1" applyProtection="1"/>
    <xf numFmtId="0" fontId="11" fillId="5" borderId="0" xfId="0" applyFont="1" applyFill="1"/>
    <xf numFmtId="0" fontId="6" fillId="0" borderId="0" xfId="0" applyFont="1" applyFill="1" applyBorder="1" applyAlignment="1">
      <alignment horizontal="centerContinuous" vertical="top" wrapText="1"/>
    </xf>
    <xf numFmtId="0" fontId="0" fillId="0" borderId="0" xfId="0" applyAlignment="1">
      <alignment horizontal="centerContinuous"/>
    </xf>
    <xf numFmtId="0" fontId="0" fillId="4" borderId="0" xfId="7" applyFont="1" applyAlignment="1">
      <alignment horizontal="centerContinuous"/>
    </xf>
    <xf numFmtId="0" fontId="9" fillId="0" borderId="0" xfId="0" applyFont="1" applyAlignment="1">
      <alignment horizontal="center"/>
    </xf>
    <xf numFmtId="0" fontId="11" fillId="0" borderId="0" xfId="0" applyFont="1" applyAlignment="1">
      <alignment horizontal="right"/>
    </xf>
    <xf numFmtId="6" fontId="0" fillId="0" borderId="0" xfId="2" applyNumberFormat="1" applyFont="1"/>
    <xf numFmtId="6" fontId="0" fillId="0" borderId="0" xfId="0" applyNumberFormat="1"/>
    <xf numFmtId="0" fontId="0" fillId="0" borderId="0" xfId="0" applyAlignment="1">
      <alignment horizontal="right"/>
    </xf>
    <xf numFmtId="6" fontId="9" fillId="0" borderId="0" xfId="0" applyNumberFormat="1" applyFont="1"/>
    <xf numFmtId="6" fontId="11" fillId="0" borderId="0" xfId="0" applyNumberFormat="1" applyFont="1"/>
    <xf numFmtId="0" fontId="9" fillId="0" borderId="0" xfId="0" applyFont="1" applyAlignment="1">
      <alignment wrapText="1"/>
    </xf>
    <xf numFmtId="0" fontId="9" fillId="0" borderId="0" xfId="0" applyFont="1" applyAlignment="1">
      <alignment horizontal="left" wrapText="1"/>
    </xf>
    <xf numFmtId="9" fontId="0" fillId="0" borderId="0" xfId="3" applyFont="1" applyAlignment="1">
      <alignment horizontal="center" wrapText="1"/>
    </xf>
    <xf numFmtId="6" fontId="9" fillId="0" borderId="0" xfId="2" applyNumberFormat="1" applyFont="1"/>
    <xf numFmtId="6" fontId="17" fillId="2" borderId="0" xfId="4" applyNumberFormat="1" applyFont="1"/>
    <xf numFmtId="0" fontId="4" fillId="0" borderId="0" xfId="6" applyAlignment="1">
      <alignment horizontal="right"/>
    </xf>
    <xf numFmtId="9" fontId="4" fillId="0" borderId="0" xfId="6" applyNumberFormat="1"/>
    <xf numFmtId="6" fontId="18" fillId="6" borderId="0" xfId="8" applyNumberFormat="1" applyFont="1"/>
    <xf numFmtId="6" fontId="16" fillId="7" borderId="0" xfId="9" applyNumberFormat="1" applyFont="1"/>
    <xf numFmtId="6" fontId="9" fillId="8" borderId="0" xfId="10" applyNumberFormat="1" applyFont="1"/>
    <xf numFmtId="6" fontId="11" fillId="8" borderId="0" xfId="10" applyNumberFormat="1" applyFont="1"/>
    <xf numFmtId="0" fontId="0" fillId="0" borderId="0" xfId="0" applyNumberFormat="1"/>
    <xf numFmtId="5" fontId="4" fillId="0" borderId="0" xfId="6" applyNumberFormat="1"/>
    <xf numFmtId="0" fontId="4" fillId="0" borderId="0" xfId="6" applyNumberFormat="1"/>
    <xf numFmtId="0" fontId="3" fillId="3" borderId="1" xfId="5" applyAlignment="1" applyProtection="1">
      <alignment vertical="top" wrapText="1"/>
      <protection locked="0"/>
    </xf>
    <xf numFmtId="6" fontId="0" fillId="0" borderId="0" xfId="1" applyNumberFormat="1" applyFont="1" applyProtection="1">
      <protection locked="0"/>
    </xf>
    <xf numFmtId="0" fontId="0" fillId="0" borderId="0" xfId="0" applyProtection="1"/>
    <xf numFmtId="0" fontId="0" fillId="5" borderId="0" xfId="0" applyFill="1" applyProtection="1"/>
    <xf numFmtId="9" fontId="0" fillId="5" borderId="0" xfId="3" applyFont="1" applyFill="1" applyAlignment="1" applyProtection="1">
      <alignment horizontal="center" wrapText="1"/>
    </xf>
    <xf numFmtId="0" fontId="9" fillId="0" borderId="0" xfId="1" applyNumberFormat="1" applyFont="1" applyAlignment="1" applyProtection="1">
      <alignment wrapText="1"/>
      <protection locked="0"/>
    </xf>
    <xf numFmtId="0" fontId="0" fillId="0" borderId="0" xfId="1" applyNumberFormat="1" applyFont="1" applyAlignment="1" applyProtection="1">
      <alignment wrapText="1"/>
      <protection locked="0"/>
    </xf>
    <xf numFmtId="0" fontId="11" fillId="0" borderId="0" xfId="0" applyFont="1" applyAlignment="1">
      <alignment horizontal="right" wrapText="1"/>
    </xf>
    <xf numFmtId="0" fontId="9" fillId="0" borderId="0" xfId="1" applyNumberFormat="1" applyFont="1" applyAlignment="1" applyProtection="1">
      <alignment wrapText="1"/>
    </xf>
    <xf numFmtId="0" fontId="0" fillId="0" borderId="0" xfId="1" applyNumberFormat="1" applyFont="1" applyAlignment="1" applyProtection="1">
      <alignment wrapText="1"/>
    </xf>
    <xf numFmtId="0" fontId="0" fillId="0" borderId="0" xfId="0" applyFont="1" applyAlignment="1">
      <alignment horizontal="center"/>
    </xf>
    <xf numFmtId="0" fontId="5" fillId="0" borderId="0" xfId="0" applyFont="1"/>
    <xf numFmtId="0" fontId="19" fillId="0" borderId="0" xfId="0" applyFont="1"/>
    <xf numFmtId="0" fontId="9" fillId="5" borderId="0" xfId="0" applyFont="1" applyFill="1" applyAlignment="1">
      <alignment horizontal="center"/>
    </xf>
    <xf numFmtId="38" fontId="5" fillId="5" borderId="0" xfId="0" applyNumberFormat="1" applyFont="1" applyFill="1" applyAlignment="1">
      <alignment horizontal="center"/>
    </xf>
    <xf numFmtId="38" fontId="5" fillId="5" borderId="0" xfId="6" applyNumberFormat="1" applyFont="1" applyFill="1" applyAlignment="1">
      <alignment horizontal="center"/>
    </xf>
    <xf numFmtId="0" fontId="12" fillId="0" borderId="0" xfId="6" applyFont="1" applyAlignment="1">
      <alignment horizontal="center"/>
    </xf>
    <xf numFmtId="0" fontId="2" fillId="2" borderId="0" xfId="4" applyFont="1"/>
    <xf numFmtId="9" fontId="2" fillId="2" borderId="0" xfId="4" applyNumberFormat="1" applyFont="1" applyProtection="1">
      <protection locked="0"/>
    </xf>
    <xf numFmtId="0" fontId="12" fillId="0" borderId="0" xfId="6" applyFont="1"/>
    <xf numFmtId="0" fontId="12" fillId="0" borderId="0" xfId="6" applyFont="1" applyAlignment="1" applyProtection="1">
      <alignment horizontal="center"/>
      <protection hidden="1"/>
    </xf>
    <xf numFmtId="37" fontId="12" fillId="0" borderId="0" xfId="6" applyNumberFormat="1" applyFont="1" applyAlignment="1" applyProtection="1">
      <alignment horizontal="center"/>
      <protection hidden="1"/>
    </xf>
    <xf numFmtId="42" fontId="9" fillId="5" borderId="0" xfId="0" applyNumberFormat="1" applyFont="1" applyFill="1" applyAlignment="1">
      <alignment horizontal="center"/>
    </xf>
    <xf numFmtId="42" fontId="15" fillId="0" borderId="0" xfId="6" applyNumberFormat="1" applyFont="1" applyAlignment="1">
      <alignment horizontal="center"/>
    </xf>
    <xf numFmtId="42" fontId="12" fillId="0" borderId="0" xfId="6" applyNumberFormat="1" applyFont="1" applyAlignment="1">
      <alignment horizontal="center"/>
    </xf>
    <xf numFmtId="42" fontId="12" fillId="0" borderId="0" xfId="2" applyNumberFormat="1" applyFont="1" applyAlignment="1">
      <alignment horizontal="center"/>
    </xf>
    <xf numFmtId="42" fontId="9" fillId="0" borderId="0" xfId="0" applyNumberFormat="1" applyFont="1"/>
    <xf numFmtId="164" fontId="12" fillId="0" borderId="0" xfId="1" applyNumberFormat="1" applyFont="1" applyAlignment="1">
      <alignment horizontal="center"/>
    </xf>
    <xf numFmtId="164" fontId="9" fillId="0" borderId="0" xfId="1" applyNumberFormat="1" applyFont="1" applyAlignment="1">
      <alignment horizontal="center"/>
    </xf>
    <xf numFmtId="174" fontId="11" fillId="0" borderId="0" xfId="0" applyNumberFormat="1" applyFont="1"/>
    <xf numFmtId="10" fontId="0" fillId="0" borderId="0" xfId="3" applyNumberFormat="1" applyFont="1" applyAlignment="1">
      <alignment horizontal="center"/>
    </xf>
    <xf numFmtId="0" fontId="9" fillId="9" borderId="0" xfId="0" applyFont="1" applyFill="1" applyAlignment="1">
      <alignment horizontal="center" vertical="center"/>
    </xf>
    <xf numFmtId="0" fontId="12" fillId="9" borderId="0" xfId="6" applyFont="1" applyFill="1" applyAlignment="1">
      <alignment horizontal="center" vertical="center"/>
    </xf>
    <xf numFmtId="38" fontId="19" fillId="5" borderId="0" xfId="0" applyNumberFormat="1" applyFont="1" applyFill="1" applyAlignment="1">
      <alignment horizontal="center"/>
    </xf>
    <xf numFmtId="38" fontId="19" fillId="5" borderId="0" xfId="6" applyNumberFormat="1" applyFont="1" applyFill="1" applyAlignment="1">
      <alignment horizontal="center"/>
    </xf>
    <xf numFmtId="10" fontId="9" fillId="8" borderId="0" xfId="10" applyNumberFormat="1" applyFont="1" applyAlignment="1">
      <alignment horizontal="center"/>
    </xf>
    <xf numFmtId="42" fontId="19" fillId="0" borderId="0" xfId="6" applyNumberFormat="1" applyFont="1" applyAlignment="1">
      <alignment horizontal="center"/>
    </xf>
    <xf numFmtId="6" fontId="19" fillId="0" borderId="0" xfId="6" applyNumberFormat="1" applyFont="1" applyAlignment="1">
      <alignment horizontal="right"/>
    </xf>
    <xf numFmtId="6" fontId="19" fillId="0" borderId="0" xfId="0" applyNumberFormat="1" applyFont="1" applyAlignment="1">
      <alignment horizontal="right"/>
    </xf>
    <xf numFmtId="164" fontId="5" fillId="0" borderId="0" xfId="0" applyNumberFormat="1" applyFont="1" applyAlignment="1">
      <alignment horizontal="center"/>
    </xf>
    <xf numFmtId="164" fontId="5" fillId="0" borderId="0" xfId="6" applyNumberFormat="1" applyFont="1" applyAlignment="1">
      <alignment horizontal="center"/>
    </xf>
    <xf numFmtId="0" fontId="17" fillId="2" borderId="0" xfId="4" applyFont="1" applyAlignment="1">
      <alignment horizontal="centerContinuous"/>
    </xf>
    <xf numFmtId="0" fontId="2" fillId="2" borderId="0" xfId="4" applyAlignment="1">
      <alignment horizontal="centerContinuous"/>
    </xf>
    <xf numFmtId="6" fontId="9" fillId="8" borderId="0" xfId="10" applyNumberFormat="1" applyFont="1" applyAlignment="1">
      <alignment horizontal="right"/>
    </xf>
    <xf numFmtId="164" fontId="19" fillId="0" borderId="0" xfId="1" applyNumberFormat="1" applyFont="1" applyAlignment="1">
      <alignment horizontal="right"/>
    </xf>
    <xf numFmtId="0" fontId="18" fillId="6" borderId="0" xfId="8" applyFont="1" applyAlignment="1">
      <alignment horizontal="centerContinuous"/>
    </xf>
    <xf numFmtId="0" fontId="16" fillId="7" borderId="0" xfId="9" applyFont="1" applyAlignment="1">
      <alignment horizontal="centerContinuous"/>
    </xf>
    <xf numFmtId="9" fontId="2" fillId="2" borderId="0" xfId="3" applyFont="1" applyFill="1" applyAlignment="1" applyProtection="1">
      <alignment horizontal="center"/>
      <protection locked="0"/>
    </xf>
    <xf numFmtId="6" fontId="19" fillId="0" borderId="0" xfId="1" applyNumberFormat="1" applyFont="1" applyAlignment="1">
      <alignment horizontal="right"/>
    </xf>
    <xf numFmtId="164" fontId="0" fillId="0" borderId="0" xfId="1" applyNumberFormat="1" applyFont="1" applyAlignment="1">
      <alignment horizontal="center"/>
    </xf>
    <xf numFmtId="6" fontId="0" fillId="0" borderId="0" xfId="1" applyNumberFormat="1" applyFont="1" applyAlignment="1">
      <alignment horizontal="center"/>
    </xf>
    <xf numFmtId="10" fontId="0" fillId="0" borderId="0" xfId="0" applyNumberFormat="1"/>
    <xf numFmtId="43" fontId="0" fillId="0" borderId="3" xfId="1" applyNumberFormat="1" applyFont="1" applyBorder="1" applyProtection="1">
      <protection locked="0"/>
    </xf>
    <xf numFmtId="0" fontId="9" fillId="4" borderId="0" xfId="7" applyFont="1"/>
    <xf numFmtId="171" fontId="0" fillId="0" borderId="0" xfId="2" applyNumberFormat="1" applyFont="1"/>
    <xf numFmtId="175" fontId="0" fillId="0" borderId="3" xfId="1" applyNumberFormat="1" applyFont="1" applyBorder="1" applyProtection="1">
      <protection locked="0"/>
    </xf>
    <xf numFmtId="6" fontId="0" fillId="0" borderId="3" xfId="2" applyNumberFormat="1" applyFont="1" applyBorder="1" applyProtection="1">
      <protection locked="0"/>
    </xf>
    <xf numFmtId="171" fontId="20" fillId="0" borderId="0" xfId="0" applyNumberFormat="1" applyFont="1"/>
    <xf numFmtId="10" fontId="0" fillId="0" borderId="0" xfId="3" applyNumberFormat="1" applyFont="1"/>
    <xf numFmtId="9" fontId="0" fillId="0" borderId="0" xfId="0" applyNumberFormat="1"/>
    <xf numFmtId="0" fontId="0" fillId="10" borderId="0" xfId="0" applyFill="1"/>
    <xf numFmtId="171" fontId="20" fillId="0" borderId="0" xfId="2" applyNumberFormat="1" applyFont="1"/>
    <xf numFmtId="171" fontId="0" fillId="0" borderId="3" xfId="2" applyNumberFormat="1" applyFont="1" applyBorder="1" applyProtection="1">
      <protection locked="0"/>
    </xf>
    <xf numFmtId="171" fontId="9" fillId="0" borderId="0" xfId="2" applyNumberFormat="1" applyFont="1"/>
    <xf numFmtId="0" fontId="11" fillId="11" borderId="0" xfId="0" applyFont="1" applyFill="1"/>
    <xf numFmtId="0" fontId="0" fillId="11" borderId="0" xfId="0" applyFill="1"/>
    <xf numFmtId="0" fontId="0" fillId="11" borderId="0" xfId="0" applyFill="1" applyAlignment="1">
      <alignment horizontal="right"/>
    </xf>
    <xf numFmtId="164" fontId="0" fillId="11" borderId="0" xfId="1" applyNumberFormat="1" applyFont="1" applyFill="1"/>
    <xf numFmtId="9" fontId="0" fillId="11" borderId="0" xfId="3" applyFont="1" applyFill="1"/>
    <xf numFmtId="0" fontId="4" fillId="0" borderId="0" xfId="6" applyAlignment="1">
      <alignment horizontal="center" vertical="center" wrapText="1"/>
    </xf>
    <xf numFmtId="0" fontId="4" fillId="0" borderId="0" xfId="6" applyAlignment="1">
      <alignment horizontal="center" vertical="center"/>
    </xf>
    <xf numFmtId="6" fontId="0" fillId="0" borderId="0" xfId="2" applyNumberFormat="1" applyFont="1" applyProtection="1">
      <protection locked="0"/>
    </xf>
  </cellXfs>
  <cellStyles count="11">
    <cellStyle name="20% - Accent1" xfId="7" builtinId="30"/>
    <cellStyle name="40% - Accent3" xfId="10" builtinId="39"/>
    <cellStyle name="Bad" xfId="9" builtinId="27"/>
    <cellStyle name="Comma" xfId="1" builtinId="3"/>
    <cellStyle name="Currency" xfId="2" builtinId="4"/>
    <cellStyle name="Explanatory Text" xfId="6" builtinId="53"/>
    <cellStyle name="Good" xfId="8" builtinId="26"/>
    <cellStyle name="Input" xfId="5" builtinId="20"/>
    <cellStyle name="Neutral" xfId="4" builtinId="28"/>
    <cellStyle name="Normal" xfId="0" builtinId="0"/>
    <cellStyle name="Percent" xfId="3" builtinId="5"/>
  </cellStyles>
  <dxfs count="124">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0" tint="-0.499984740745262"/>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fgColor rgb="FFFFC000"/>
          <bgColor rgb="FFFFDD71"/>
        </patternFill>
      </fill>
    </dxf>
    <dxf>
      <fill>
        <patternFill>
          <bgColor rgb="FFFFE697"/>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EBAB"/>
        </patternFill>
      </fill>
    </dxf>
    <dxf>
      <fill>
        <patternFill>
          <bgColor rgb="FFFFEBAB"/>
        </patternFill>
      </fill>
    </dxf>
    <dxf>
      <fill>
        <patternFill>
          <bgColor rgb="FFFFEBAB"/>
        </patternFill>
      </fill>
    </dxf>
    <dxf>
      <fill>
        <patternFill>
          <bgColor rgb="FFFFEBAB"/>
        </patternFill>
      </fill>
    </dxf>
    <dxf>
      <fill>
        <patternFill>
          <bgColor rgb="FFFFEBAB"/>
        </patternFill>
      </fill>
    </dxf>
    <dxf>
      <fill>
        <patternFill>
          <bgColor rgb="FFFFEBAB"/>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FF0000"/>
        </patternFill>
      </fill>
    </dxf>
    <dxf>
      <alignment horizontal="center" vertical="bottom" textRotation="0" wrapText="1" indent="0" justifyLastLine="0" shrinkToFit="0" readingOrder="0"/>
    </dxf>
    <dxf>
      <alignment horizontal="center" vertical="bottom" textRotation="0" wrapText="1" indent="0" justifyLastLine="0" shrinkToFit="0" readingOrder="0"/>
    </dxf>
    <dxf>
      <protection locked="0" hidden="0"/>
    </dxf>
    <dxf>
      <numFmt numFmtId="10" formatCode="&quot;$&quot;#,##0_);[Red]\(&quot;$&quot;#,##0\)"/>
      <protection locked="0" hidden="0"/>
    </dxf>
    <dxf>
      <numFmt numFmtId="10" formatCode="&quot;$&quot;#,##0_);[Red]\(&quot;$&quot;#,##0\)"/>
      <protection locked="0" hidden="0"/>
    </dxf>
    <dxf>
      <alignment horizontal="left" vertical="bottom" textRotation="0" wrapText="1" indent="0" justifyLastLine="0" shrinkToFit="0" readingOrder="0"/>
      <protection locked="0" hidden="0"/>
    </dxf>
    <dxf>
      <alignment vertical="bottom" textRotation="0" wrapText="1" indent="0" justifyLastLine="0" shrinkToFit="0" readingOrder="0"/>
      <protection locked="0" hidden="0"/>
    </dxf>
    <dxf>
      <alignment vertical="bottom" textRotation="0" wrapText="1" indent="0" justifyLastLine="0" shrinkToFit="0" readingOrder="0"/>
      <protection locked="0" hidden="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left"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protection locked="0" hidden="0"/>
    </dxf>
    <dxf>
      <protection locked="0" hidden="0"/>
    </dxf>
    <dxf>
      <numFmt numFmtId="170" formatCode="0.0%"/>
      <protection locked="0" hidden="0"/>
    </dxf>
    <dxf>
      <protection locked="0" hidden="0"/>
    </dxf>
    <dxf>
      <numFmt numFmtId="164" formatCode="_(* #,##0_);_(* \(#,##0\);_(* &quot;-&quot;??_);_(@_)"/>
      <protection locked="1" hidden="0"/>
    </dxf>
    <dxf>
      <numFmt numFmtId="164" formatCode="_(* #,##0_);_(* \(#,##0\);_(* &quot;-&quot;??_);_(@_)"/>
      <protection locked="0" hidden="0"/>
    </dxf>
    <dxf>
      <numFmt numFmtId="165" formatCode="0.000%"/>
      <protection locked="0" hidden="0"/>
    </dxf>
    <dxf>
      <numFmt numFmtId="164" formatCode="_(* #,##0_);_(* \(#,##0\);_(* &quot;-&quot;??_);_(@_)"/>
      <protection locked="0" hidden="0"/>
    </dxf>
    <dxf>
      <protection locked="0" hidden="0"/>
    </dxf>
    <dxf>
      <alignment horizontal="general" vertical="bottom" textRotation="0" wrapText="1" indent="0" justifyLastLine="0" shrinkToFit="0" readingOrder="0"/>
    </dxf>
    <dxf>
      <numFmt numFmtId="10" formatCode="&quot;$&quot;#,##0_);[Red]\(&quot;$&quot;#,##0\)"/>
    </dxf>
    <dxf>
      <numFmt numFmtId="0" formatCode="General"/>
    </dxf>
  </dxfs>
  <tableStyles count="0" defaultTableStyle="TableStyleMedium2" defaultPivotStyle="PivotStyleMedium9"/>
  <colors>
    <mruColors>
      <color rgb="FFFFEBAB"/>
      <color rgb="FFFFF4D1"/>
      <color rgb="FFFFE697"/>
      <color rgb="FFFFDD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Competition</a:t>
            </a:r>
            <a:r>
              <a:rPr lang="en-US" baseline="0"/>
              <a:t> Effects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Gaussian (No Competition)</c:v>
          </c:tx>
          <c:spPr>
            <a:ln w="28575" cap="rnd">
              <a:solidFill>
                <a:schemeClr val="accent1"/>
              </a:solidFill>
              <a:round/>
            </a:ln>
            <a:effectLst/>
          </c:spPr>
          <c:marker>
            <c:symbol val="none"/>
          </c:marker>
          <c:val>
            <c:numRef>
              <c:f>DetailedForecast!$D$12:$AM$12</c:f>
              <c:numCache>
                <c:formatCode>_(* #,##0_);_(* \(#,##0\);_(* "-"??_);_(@_)</c:formatCode>
                <c:ptCount val="36"/>
                <c:pt idx="0">
                  <c:v>98.82514539802935</c:v>
                </c:pt>
                <c:pt idx="1">
                  <c:v>117.3194637320345</c:v>
                </c:pt>
                <c:pt idx="2">
                  <c:v>138.8018603954534</c:v>
                </c:pt>
                <c:pt idx="3">
                  <c:v>163.6602144420347</c:v>
                </c:pt>
                <c:pt idx="4">
                  <c:v>192.3151754749309</c:v>
                </c:pt>
                <c:pt idx="5">
                  <c:v>225.2198194523911</c:v>
                </c:pt>
                <c:pt idx="6">
                  <c:v>262.8586465162686</c:v>
                </c:pt>
                <c:pt idx="7">
                  <c:v>305.7458279645482</c:v>
                </c:pt>
                <c:pt idx="8">
                  <c:v>354.4226127477209</c:v>
                </c:pt>
                <c:pt idx="9">
                  <c:v>409.4538103131341</c:v>
                </c:pt>
                <c:pt idx="10">
                  <c:v>471.4232765752067</c:v>
                </c:pt>
                <c:pt idx="11">
                  <c:v>540.9283435042487</c:v>
                </c:pt>
                <c:pt idx="12">
                  <c:v>618.5731504556513</c:v>
                </c:pt>
                <c:pt idx="13">
                  <c:v>704.960856941374</c:v>
                </c:pt>
                <c:pt idx="14">
                  <c:v>800.6847419735206</c:v>
                </c:pt>
                <c:pt idx="15">
                  <c:v>906.3182241294326</c:v>
                </c:pt>
                <c:pt idx="16">
                  <c:v>1022.403868672709</c:v>
                </c:pt>
                <c:pt idx="17">
                  <c:v>1149.441482814291</c:v>
                </c:pt>
                <c:pt idx="18">
                  <c:v>1287.875436735818</c:v>
                </c:pt>
                <c:pt idx="19">
                  <c:v>1438.081385376706</c:v>
                </c:pt>
                <c:pt idx="20">
                  <c:v>1600.352603105156</c:v>
                </c:pt>
                <c:pt idx="21">
                  <c:v>1774.886179018856</c:v>
                </c:pt>
                <c:pt idx="22">
                  <c:v>1961.769353422379</c:v>
                </c:pt>
                <c:pt idx="23">
                  <c:v>2160.96630461286</c:v>
                </c:pt>
                <c:pt idx="24">
                  <c:v>2372.305718072993</c:v>
                </c:pt>
                <c:pt idx="25">
                  <c:v>2595.469486161295</c:v>
                </c:pt>
                <c:pt idx="26">
                  <c:v>2829.982894145578</c:v>
                </c:pt>
                <c:pt idx="27">
                  <c:v>3075.206646849392</c:v>
                </c:pt>
                <c:pt idx="28">
                  <c:v>3330.331078394933</c:v>
                </c:pt>
                <c:pt idx="29">
                  <c:v>3594.372864929858</c:v>
                </c:pt>
                <c:pt idx="30">
                  <c:v>3866.174526543631</c:v>
                </c:pt>
                <c:pt idx="31">
                  <c:v>4144.406959902261</c:v>
                </c:pt>
                <c:pt idx="32">
                  <c:v>4427.5751879499</c:v>
                </c:pt>
                <c:pt idx="33">
                  <c:v>4714.027448233358</c:v>
                </c:pt>
                <c:pt idx="34">
                  <c:v>5001.967668313272</c:v>
                </c:pt>
                <c:pt idx="35">
                  <c:v>5289.471297024063</c:v>
                </c:pt>
              </c:numCache>
            </c:numRef>
          </c:val>
          <c:smooth val="0"/>
        </c:ser>
        <c:ser>
          <c:idx val="1"/>
          <c:order val="1"/>
          <c:tx>
            <c:v>Competition</c:v>
          </c:tx>
          <c:spPr>
            <a:ln w="28575" cap="rnd">
              <a:solidFill>
                <a:schemeClr val="accent2"/>
              </a:solidFill>
              <a:round/>
            </a:ln>
            <a:effectLst/>
          </c:spPr>
          <c:marker>
            <c:symbol val="none"/>
          </c:marker>
          <c:val>
            <c:numRef>
              <c:f>DetailedForecast!$D$22:$AM$22</c:f>
              <c:numCache>
                <c:formatCode>_(* #,##0_);_(* \(#,##0\);_(* "-"??_);_(@_)</c:formatCode>
                <c:ptCount val="36"/>
                <c:pt idx="0">
                  <c:v>98.82514539802935</c:v>
                </c:pt>
                <c:pt idx="1">
                  <c:v>117.3194637320345</c:v>
                </c:pt>
                <c:pt idx="2">
                  <c:v>138.8018603954534</c:v>
                </c:pt>
                <c:pt idx="3">
                  <c:v>163.6602144420347</c:v>
                </c:pt>
                <c:pt idx="4">
                  <c:v>192.3151754749309</c:v>
                </c:pt>
                <c:pt idx="5">
                  <c:v>225.2198194523911</c:v>
                </c:pt>
                <c:pt idx="6">
                  <c:v>262.8586465162686</c:v>
                </c:pt>
                <c:pt idx="7">
                  <c:v>305.7458279645482</c:v>
                </c:pt>
                <c:pt idx="8">
                  <c:v>354.4226127477209</c:v>
                </c:pt>
                <c:pt idx="9">
                  <c:v>409.4538103131341</c:v>
                </c:pt>
                <c:pt idx="10">
                  <c:v>471.4232765752067</c:v>
                </c:pt>
                <c:pt idx="11">
                  <c:v>540.9283435042487</c:v>
                </c:pt>
                <c:pt idx="12">
                  <c:v>618.5731504556513</c:v>
                </c:pt>
                <c:pt idx="13">
                  <c:v>704.960856941374</c:v>
                </c:pt>
                <c:pt idx="14">
                  <c:v>800.6847419735206</c:v>
                </c:pt>
                <c:pt idx="15">
                  <c:v>906.3182241294326</c:v>
                </c:pt>
                <c:pt idx="16">
                  <c:v>1022.403868672709</c:v>
                </c:pt>
                <c:pt idx="17">
                  <c:v>1149.441482814291</c:v>
                </c:pt>
                <c:pt idx="18">
                  <c:v>1287.875436735818</c:v>
                </c:pt>
                <c:pt idx="19">
                  <c:v>1438.081385376706</c:v>
                </c:pt>
                <c:pt idx="20">
                  <c:v>1600.352603105156</c:v>
                </c:pt>
                <c:pt idx="21">
                  <c:v>1774.886179018856</c:v>
                </c:pt>
                <c:pt idx="22">
                  <c:v>1961.769353422379</c:v>
                </c:pt>
                <c:pt idx="23">
                  <c:v>2160.96630461286</c:v>
                </c:pt>
                <c:pt idx="24">
                  <c:v>2372.305718072993</c:v>
                </c:pt>
                <c:pt idx="25">
                  <c:v>2595.469486161295</c:v>
                </c:pt>
                <c:pt idx="26">
                  <c:v>2829.982894145578</c:v>
                </c:pt>
                <c:pt idx="27">
                  <c:v>3075.206646849392</c:v>
                </c:pt>
                <c:pt idx="28">
                  <c:v>3330.331078394933</c:v>
                </c:pt>
                <c:pt idx="29">
                  <c:v>3594.372864929858</c:v>
                </c:pt>
                <c:pt idx="30">
                  <c:v>3866.174526543631</c:v>
                </c:pt>
                <c:pt idx="31">
                  <c:v>4144.406959902261</c:v>
                </c:pt>
                <c:pt idx="32">
                  <c:v>4427.5751879499</c:v>
                </c:pt>
                <c:pt idx="33">
                  <c:v>4714.027448233358</c:v>
                </c:pt>
                <c:pt idx="34">
                  <c:v>5001.967668313272</c:v>
                </c:pt>
                <c:pt idx="35">
                  <c:v>5289.471297024063</c:v>
                </c:pt>
              </c:numCache>
            </c:numRef>
          </c:val>
          <c:smooth val="0"/>
        </c:ser>
        <c:dLbls>
          <c:showLegendKey val="0"/>
          <c:showVal val="0"/>
          <c:showCatName val="0"/>
          <c:showSerName val="0"/>
          <c:showPercent val="0"/>
          <c:showBubbleSize val="0"/>
        </c:dLbls>
        <c:smooth val="0"/>
        <c:axId val="2138993152"/>
        <c:axId val="2138996608"/>
      </c:lineChart>
      <c:catAx>
        <c:axId val="21389931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996608"/>
        <c:crosses val="autoZero"/>
        <c:auto val="1"/>
        <c:lblAlgn val="ctr"/>
        <c:lblOffset val="100"/>
        <c:noMultiLvlLbl val="0"/>
      </c:catAx>
      <c:valAx>
        <c:axId val="213899660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9931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Market Capture (Months)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Gaussian Curve</c:v>
          </c:tx>
          <c:spPr>
            <a:ln w="28575" cap="rnd">
              <a:solidFill>
                <a:schemeClr val="accent1"/>
              </a:solidFill>
              <a:round/>
            </a:ln>
            <a:effectLst/>
          </c:spPr>
          <c:marker>
            <c:symbol val="none"/>
          </c:marker>
          <c:val>
            <c:numRef>
              <c:f>Gaussian!$D$3:$DS$3</c:f>
              <c:numCache>
                <c:formatCode>_(* #,##0.000000_);_(* \(#,##0.000000\);_(* "-"??_);_(@_)</c:formatCode>
                <c:ptCount val="120"/>
                <c:pt idx="0">
                  <c:v>0.00527044793918293</c:v>
                </c:pt>
                <c:pt idx="1">
                  <c:v>0.006246436806554</c:v>
                </c:pt>
                <c:pt idx="2">
                  <c:v>0.00737801214864679</c:v>
                </c:pt>
                <c:pt idx="3">
                  <c:v>0.0086849750207789</c:v>
                </c:pt>
                <c:pt idx="4">
                  <c:v>0.0101887281260886</c:v>
                </c:pt>
                <c:pt idx="5">
                  <c:v>0.0119122436076052</c:v>
                </c:pt>
                <c:pt idx="6">
                  <c:v>0.0138799963237888</c:v>
                </c:pt>
                <c:pt idx="7">
                  <c:v>0.016117858113649</c:v>
                </c:pt>
                <c:pt idx="8">
                  <c:v>0.0186529487922699</c:v>
                </c:pt>
                <c:pt idx="9">
                  <c:v>0.0215134400167737</c:v>
                </c:pt>
                <c:pt idx="10">
                  <c:v>0.0247283087407031</c:v>
                </c:pt>
                <c:pt idx="11">
                  <c:v>0.0283270377416012</c:v>
                </c:pt>
                <c:pt idx="12">
                  <c:v>0.0323392616670275</c:v>
                </c:pt>
                <c:pt idx="13">
                  <c:v>0.0367943581969134</c:v>
                </c:pt>
                <c:pt idx="14">
                  <c:v>0.0417209852563386</c:v>
                </c:pt>
                <c:pt idx="15">
                  <c:v>0.0471465667158716</c:v>
                </c:pt>
                <c:pt idx="16">
                  <c:v>0.0530967306614701</c:v>
                </c:pt>
                <c:pt idx="17">
                  <c:v>0.0595947060688161</c:v>
                </c:pt>
                <c:pt idx="18">
                  <c:v>0.0666606855355637</c:v>
                </c:pt>
                <c:pt idx="19">
                  <c:v>0.0743111635589931</c:v>
                </c:pt>
                <c:pt idx="20">
                  <c:v>0.0825582616385916</c:v>
                </c:pt>
                <c:pt idx="21">
                  <c:v>0.0914090531700242</c:v>
                </c:pt>
                <c:pt idx="22">
                  <c:v>0.100864902611755</c:v>
                </c:pt>
                <c:pt idx="23">
                  <c:v>0.110920834679456</c:v>
                </c:pt>
                <c:pt idx="24">
                  <c:v>0.121564950288181</c:v>
                </c:pt>
                <c:pt idx="25">
                  <c:v>0.132777906553587</c:v>
                </c:pt>
                <c:pt idx="26">
                  <c:v>0.144532478322933</c:v>
                </c:pt>
                <c:pt idx="27">
                  <c:v>0.156793218385509</c:v>
                </c:pt>
                <c:pt idx="28">
                  <c:v>0.169516232673774</c:v>
                </c:pt>
                <c:pt idx="29">
                  <c:v>0.182649085389022</c:v>
                </c:pt>
                <c:pt idx="30">
                  <c:v>0.196130847064121</c:v>
                </c:pt>
                <c:pt idx="31">
                  <c:v>0.209892296124724</c:v>
                </c:pt>
                <c:pt idx="32">
                  <c:v>0.223856281563239</c:v>
                </c:pt>
                <c:pt idx="33">
                  <c:v>0.237938250950778</c:v>
                </c:pt>
                <c:pt idx="34">
                  <c:v>0.252046944255045</c:v>
                </c:pt>
                <c:pt idx="35">
                  <c:v>0.266085249898755</c:v>
                </c:pt>
                <c:pt idx="36">
                  <c:v>0.279951215291812</c:v>
                </c:pt>
                <c:pt idx="37">
                  <c:v>0.293539199822456</c:v>
                </c:pt>
                <c:pt idx="38">
                  <c:v>0.30674115412824</c:v>
                </c:pt>
                <c:pt idx="39">
                  <c:v>0.319448005522352</c:v>
                </c:pt>
                <c:pt idx="40">
                  <c:v>0.33155112585963</c:v>
                </c:pt>
                <c:pt idx="41">
                  <c:v>0.342943855019384</c:v>
                </c:pt>
                <c:pt idx="42">
                  <c:v>0.353523050678447</c:v>
                </c:pt>
                <c:pt idx="43">
                  <c:v>0.363190633251418</c:v>
                </c:pt>
                <c:pt idx="44">
                  <c:v>0.371855093869769</c:v>
                </c:pt>
                <c:pt idx="45">
                  <c:v>0.379432933116945</c:v>
                </c:pt>
                <c:pt idx="46">
                  <c:v>0.385849998965265</c:v>
                </c:pt>
                <c:pt idx="47">
                  <c:v>0.391042693975456</c:v>
                </c:pt>
                <c:pt idx="48">
                  <c:v>0.394959024293852</c:v>
                </c:pt>
                <c:pt idx="49">
                  <c:v>0.397559466258342</c:v>
                </c:pt>
                <c:pt idx="50">
                  <c:v>0.398817630416382</c:v>
                </c:pt>
                <c:pt idx="51">
                  <c:v>0.398720707354977</c:v>
                </c:pt>
                <c:pt idx="52">
                  <c:v>0.397269684809854</c:v>
                </c:pt>
                <c:pt idx="53">
                  <c:v>0.394479330907889</c:v>
                </c:pt>
                <c:pt idx="54">
                  <c:v>0.390377943940362</c:v>
                </c:pt>
                <c:pt idx="55">
                  <c:v>0.385006874596014</c:v>
                </c:pt>
                <c:pt idx="56">
                  <c:v>0.378419831933819</c:v>
                </c:pt>
                <c:pt idx="57">
                  <c:v>0.370681989384385</c:v>
                </c:pt>
                <c:pt idx="58">
                  <c:v>0.361868911586844</c:v>
                </c:pt>
                <c:pt idx="59">
                  <c:v>0.352065326764299</c:v>
                </c:pt>
                <c:pt idx="60">
                  <c:v>0.341363772507007</c:v>
                </c:pt>
                <c:pt idx="61">
                  <c:v>0.329863145186741</c:v>
                </c:pt>
                <c:pt idx="62">
                  <c:v>0.317667184715148</c:v>
                </c:pt>
                <c:pt idx="63">
                  <c:v>0.304882926960517</c:v>
                </c:pt>
                <c:pt idx="64">
                  <c:v>0.291619155858656</c:v>
                </c:pt>
                <c:pt idx="65">
                  <c:v>0.277984886130996</c:v>
                </c:pt>
                <c:pt idx="66">
                  <c:v>0.264087905619932</c:v>
                </c:pt>
                <c:pt idx="67">
                  <c:v>0.250033403654658</c:v>
                </c:pt>
                <c:pt idx="68">
                  <c:v>0.235922708676872</c:v>
                </c:pt>
                <c:pt idx="69">
                  <c:v>0.221852154705736</c:v>
                </c:pt>
                <c:pt idx="70">
                  <c:v>0.207912092236567</c:v>
                </c:pt>
                <c:pt idx="71">
                  <c:v>0.194186054983213</c:v>
                </c:pt>
                <c:pt idx="72">
                  <c:v>0.180750089624856</c:v>
                </c:pt>
                <c:pt idx="73">
                  <c:v>0.167672251533516</c:v>
                </c:pt>
                <c:pt idx="74">
                  <c:v>0.155012265458293</c:v>
                </c:pt>
                <c:pt idx="75">
                  <c:v>0.14282134643251</c:v>
                </c:pt>
                <c:pt idx="76">
                  <c:v>0.131142172839911</c:v>
                </c:pt>
                <c:pt idx="77">
                  <c:v>0.120009000696986</c:v>
                </c:pt>
                <c:pt idx="78">
                  <c:v>0.10944790583143</c:v>
                </c:pt>
                <c:pt idx="79">
                  <c:v>0.0994771387927486</c:v>
                </c:pt>
                <c:pt idx="80">
                  <c:v>0.0901075760312981</c:v>
                </c:pt>
                <c:pt idx="81">
                  <c:v>0.0813432501192796</c:v>
                </c:pt>
                <c:pt idx="82">
                  <c:v>0.0731819415373204</c:v>
                </c:pt>
                <c:pt idx="83">
                  <c:v>0.0656158147746765</c:v>
                </c:pt>
                <c:pt idx="84">
                  <c:v>0.0586320821394846</c:v>
                </c:pt>
                <c:pt idx="85">
                  <c:v>0.0522136796885561</c:v>
                </c:pt>
                <c:pt idx="86">
                  <c:v>0.0463399409987092</c:v>
                </c:pt>
                <c:pt idx="87">
                  <c:v>0.0409872560452222</c:v>
                </c:pt>
                <c:pt idx="88">
                  <c:v>0.036129704158981</c:v>
                </c:pt>
                <c:pt idx="89">
                  <c:v>0.0317396518356674</c:v>
                </c:pt>
                <c:pt idx="90">
                  <c:v>0.027788308005509</c:v>
                </c:pt>
                <c:pt idx="91">
                  <c:v>0.0242462311842273</c:v>
                </c:pt>
                <c:pt idx="92">
                  <c:v>0.0210837846656641</c:v>
                </c:pt>
                <c:pt idx="93">
                  <c:v>0.0182715375430242</c:v>
                </c:pt>
                <c:pt idx="94">
                  <c:v>0.0157806108262319</c:v>
                </c:pt>
                <c:pt idx="95">
                  <c:v>0.0135829692336856</c:v>
                </c:pt>
                <c:pt idx="96">
                  <c:v>0.0116516603622553</c:v>
                </c:pt>
                <c:pt idx="97">
                  <c:v>0.00996100387209592</c:v>
                </c:pt>
                <c:pt idx="98">
                  <c:v>0.00848673406223871</c:v>
                </c:pt>
                <c:pt idx="99">
                  <c:v>0.00720609976460923</c:v>
                </c:pt>
                <c:pt idx="100">
                  <c:v>0.00609792585886807</c:v>
                </c:pt>
                <c:pt idx="101">
                  <c:v>0.00514264092305394</c:v>
                </c:pt>
                <c:pt idx="102">
                  <c:v>0.00432227560315059</c:v>
                </c:pt>
                <c:pt idx="103">
                  <c:v>0.00362043622801929</c:v>
                </c:pt>
                <c:pt idx="104">
                  <c:v>0.00302225803519876</c:v>
                </c:pt>
                <c:pt idx="105">
                  <c:v>0.00251434212853329</c:v>
                </c:pt>
                <c:pt idx="106">
                  <c:v>0.0020846799804767</c:v>
                </c:pt>
                <c:pt idx="107">
                  <c:v>0.00172256893905368</c:v>
                </c:pt>
                <c:pt idx="108">
                  <c:v>0.00141852181899834</c:v>
                </c:pt>
                <c:pt idx="109">
                  <c:v>0.00116417326371638</c:v>
                </c:pt>
                <c:pt idx="110">
                  <c:v>0.000952185172456268</c:v>
                </c:pt>
                <c:pt idx="111">
                  <c:v>0.000776153106208909</c:v>
                </c:pt>
                <c:pt idx="112">
                  <c:v>0.000630515224950799</c:v>
                </c:pt>
                <c:pt idx="113">
                  <c:v>0.000510464974344185</c:v>
                </c:pt>
                <c:pt idx="114">
                  <c:v>0.000411868436390583</c:v>
                </c:pt>
                <c:pt idx="115">
                  <c:v>0.000331186988520293</c:v>
                </c:pt>
                <c:pt idx="116">
                  <c:v>0.000265405680380228</c:v>
                </c:pt>
                <c:pt idx="117">
                  <c:v>0.000211967537059855</c:v>
                </c:pt>
                <c:pt idx="118">
                  <c:v>0.000168713830534217</c:v>
                </c:pt>
                <c:pt idx="119">
                  <c:v>0.000133830225764885</c:v>
                </c:pt>
              </c:numCache>
            </c:numRef>
          </c:val>
          <c:smooth val="0"/>
        </c:ser>
        <c:ser>
          <c:idx val="1"/>
          <c:order val="1"/>
          <c:tx>
            <c:v>Cumulative % Capture</c:v>
          </c:tx>
          <c:spPr>
            <a:ln w="28575" cap="rnd">
              <a:solidFill>
                <a:schemeClr val="accent2"/>
              </a:solidFill>
              <a:round/>
            </a:ln>
            <a:effectLst/>
          </c:spPr>
          <c:marker>
            <c:symbol val="none"/>
          </c:marker>
          <c:val>
            <c:numRef>
              <c:f>Gaussian!$D$4:$DS$4</c:f>
              <c:numCache>
                <c:formatCode>_(* #,##0.000000_);_(* \(#,##0.000000\);_(* "-"??_);_(@_)</c:formatCode>
                <c:ptCount val="120"/>
                <c:pt idx="0">
                  <c:v>0.00163225558991018</c:v>
                </c:pt>
                <c:pt idx="1">
                  <c:v>0.00196745405771599</c:v>
                </c:pt>
                <c:pt idx="2">
                  <c:v>0.002364030801703</c:v>
                </c:pt>
                <c:pt idx="3">
                  <c:v>0.00283163141439453</c:v>
                </c:pt>
                <c:pt idx="4">
                  <c:v>0.0033811033443229</c:v>
                </c:pt>
                <c:pt idx="5">
                  <c:v>0.0040245885427583</c:v>
                </c:pt>
                <c:pt idx="6">
                  <c:v>0.0047756132470905</c:v>
                </c:pt>
                <c:pt idx="7">
                  <c:v>0.00564917275556064</c:v>
                </c:pt>
                <c:pt idx="8">
                  <c:v>0.0066618087919827</c:v>
                </c:pt>
                <c:pt idx="9">
                  <c:v>0.00783167682144879</c:v>
                </c:pt>
                <c:pt idx="10">
                  <c:v>0.00917860046880653</c:v>
                </c:pt>
                <c:pt idx="11">
                  <c:v>0.0107241100216758</c:v>
                </c:pt>
                <c:pt idx="12">
                  <c:v>0.0124914618801205</c:v>
                </c:pt>
                <c:pt idx="13">
                  <c:v>0.0145056357570959</c:v>
                </c:pt>
                <c:pt idx="14">
                  <c:v>0.0167933064484488</c:v>
                </c:pt>
                <c:pt idx="15">
                  <c:v>0.0193827870888186</c:v>
                </c:pt>
                <c:pt idx="16">
                  <c:v>0.0223039409993121</c:v>
                </c:pt>
                <c:pt idx="17">
                  <c:v>0.0255880595216386</c:v>
                </c:pt>
                <c:pt idx="18">
                  <c:v>0.0292677036265981</c:v>
                </c:pt>
                <c:pt idx="19">
                  <c:v>0.0333765075848172</c:v>
                </c:pt>
                <c:pt idx="20">
                  <c:v>0.0379489435936891</c:v>
                </c:pt>
                <c:pt idx="21">
                  <c:v>0.0430200469623144</c:v>
                </c:pt>
                <c:pt idx="22">
                  <c:v>0.0486251022578069</c:v>
                </c:pt>
                <c:pt idx="23">
                  <c:v>0.054799291699558</c:v>
                </c:pt>
                <c:pt idx="24">
                  <c:v>0.0615773080369094</c:v>
                </c:pt>
                <c:pt idx="25">
                  <c:v>0.0689929351402273</c:v>
                </c:pt>
                <c:pt idx="26">
                  <c:v>0.0770786005520719</c:v>
                </c:pt>
                <c:pt idx="27">
                  <c:v>0.0858649052573558</c:v>
                </c:pt>
                <c:pt idx="28">
                  <c:v>0.0953801369099128</c:v>
                </c:pt>
                <c:pt idx="29">
                  <c:v>0.105649773666855</c:v>
                </c:pt>
                <c:pt idx="30">
                  <c:v>0.116695986599837</c:v>
                </c:pt>
                <c:pt idx="31">
                  <c:v>0.128537149342415</c:v>
                </c:pt>
                <c:pt idx="32">
                  <c:v>0.141187364165129</c:v>
                </c:pt>
                <c:pt idx="33">
                  <c:v>0.154656014017224</c:v>
                </c:pt>
                <c:pt idx="34">
                  <c:v>0.168947350212405</c:v>
                </c:pt>
                <c:pt idx="35">
                  <c:v>0.184060125346759</c:v>
                </c:pt>
                <c:pt idx="36">
                  <c:v>0.199987280707006</c:v>
                </c:pt>
                <c:pt idx="37">
                  <c:v>0.216715696850163</c:v>
                </c:pt>
                <c:pt idx="38">
                  <c:v>0.234226015212695</c:v>
                </c:pt>
                <c:pt idx="39">
                  <c:v>0.252492537546923</c:v>
                </c:pt>
                <c:pt idx="40">
                  <c:v>0.271483208701787</c:v>
                </c:pt>
                <c:pt idx="41">
                  <c:v>0.291159686788346</c:v>
                </c:pt>
                <c:pt idx="42">
                  <c:v>0.311477503129503</c:v>
                </c:pt>
                <c:pt idx="43">
                  <c:v>0.332386312626675</c:v>
                </c:pt>
                <c:pt idx="44">
                  <c:v>0.353830233327276</c:v>
                </c:pt>
                <c:pt idx="45">
                  <c:v>0.375748272093988</c:v>
                </c:pt>
                <c:pt idx="46">
                  <c:v>0.398074831410537</c:v>
                </c:pt>
                <c:pt idx="47">
                  <c:v>0.420740290560897</c:v>
                </c:pt>
                <c:pt idx="48">
                  <c:v>0.443671652740448</c:v>
                </c:pt>
                <c:pt idx="49">
                  <c:v>0.466793248147378</c:v>
                </c:pt>
                <c:pt idx="50">
                  <c:v>0.490027481804762</c:v>
                </c:pt>
                <c:pt idx="51">
                  <c:v>0.513295613817092</c:v>
                </c:pt>
                <c:pt idx="52">
                  <c:v>0.536518559000844</c:v>
                </c:pt>
                <c:pt idx="53">
                  <c:v>0.559617692370242</c:v>
                </c:pt>
                <c:pt idx="54">
                  <c:v>0.582515646820523</c:v>
                </c:pt>
                <c:pt idx="55">
                  <c:v>0.605137089535975</c:v>
                </c:pt>
                <c:pt idx="56">
                  <c:v>0.627409464153284</c:v>
                </c:pt>
                <c:pt idx="57">
                  <c:v>0.649263686516781</c:v>
                </c:pt>
                <c:pt idx="58">
                  <c:v>0.670634782946927</c:v>
                </c:pt>
                <c:pt idx="59">
                  <c:v>0.691462461274013</c:v>
                </c:pt>
                <c:pt idx="60">
                  <c:v>0.711691606426213</c:v>
                </c:pt>
                <c:pt idx="61">
                  <c:v>0.73127269405956</c:v>
                </c:pt>
                <c:pt idx="62">
                  <c:v>0.750162117528223</c:v>
                </c:pt>
                <c:pt idx="63">
                  <c:v>0.768322425365202</c:v>
                </c:pt>
                <c:pt idx="64">
                  <c:v>0.78572246832469</c:v>
                </c:pt>
                <c:pt idx="65">
                  <c:v>0.802337456877308</c:v>
                </c:pt>
                <c:pt idx="66">
                  <c:v>0.818148931800769</c:v>
                </c:pt>
                <c:pt idx="67">
                  <c:v>0.833144652128217</c:v>
                </c:pt>
                <c:pt idx="68">
                  <c:v>0.84731840616689</c:v>
                </c:pt>
                <c:pt idx="69">
                  <c:v>0.860669752550378</c:v>
                </c:pt>
                <c:pt idx="70">
                  <c:v>0.873203699314897</c:v>
                </c:pt>
                <c:pt idx="71">
                  <c:v>0.884930329778292</c:v>
                </c:pt>
                <c:pt idx="72">
                  <c:v>0.895864384542109</c:v>
                </c:pt>
                <c:pt idx="73">
                  <c:v>0.906024809232153</c:v>
                </c:pt>
                <c:pt idx="74">
                  <c:v>0.915434277648664</c:v>
                </c:pt>
                <c:pt idx="75">
                  <c:v>0.924118699827742</c:v>
                </c:pt>
                <c:pt idx="76">
                  <c:v>0.932106724140268</c:v>
                </c:pt>
                <c:pt idx="77">
                  <c:v>0.939429241997941</c:v>
                </c:pt>
                <c:pt idx="78">
                  <c:v>0.946118903025797</c:v>
                </c:pt>
                <c:pt idx="79">
                  <c:v>0.952209647727185</c:v>
                </c:pt>
                <c:pt idx="80">
                  <c:v>0.957736263742048</c:v>
                </c:pt>
                <c:pt idx="81">
                  <c:v>0.962733970814158</c:v>
                </c:pt>
                <c:pt idx="82">
                  <c:v>0.967238038568391</c:v>
                </c:pt>
                <c:pt idx="83">
                  <c:v>0.971283440183998</c:v>
                </c:pt>
                <c:pt idx="84">
                  <c:v>0.974904544060485</c:v>
                </c:pt>
                <c:pt idx="85">
                  <c:v>0.97813484463207</c:v>
                </c:pt>
                <c:pt idx="86">
                  <c:v>0.981006732614261</c:v>
                </c:pt>
                <c:pt idx="87">
                  <c:v>0.983551304177255</c:v>
                </c:pt>
                <c:pt idx="88">
                  <c:v>0.985798207847156</c:v>
                </c:pt>
                <c:pt idx="89">
                  <c:v>0.987775527344955</c:v>
                </c:pt>
                <c:pt idx="90">
                  <c:v>0.989509698088443</c:v>
                </c:pt>
                <c:pt idx="91">
                  <c:v>0.991025454704217</c:v>
                </c:pt>
                <c:pt idx="92">
                  <c:v>0.992345806622627</c:v>
                </c:pt>
                <c:pt idx="93">
                  <c:v>0.993492038652647</c:v>
                </c:pt>
                <c:pt idx="94">
                  <c:v>0.994483733348507</c:v>
                </c:pt>
                <c:pt idx="95">
                  <c:v>0.995338811976281</c:v>
                </c:pt>
                <c:pt idx="96">
                  <c:v>0.996073590956148</c:v>
                </c:pt>
                <c:pt idx="97">
                  <c:v>0.996702850783542</c:v>
                </c:pt>
                <c:pt idx="98">
                  <c:v>0.997239914608737</c:v>
                </c:pt>
                <c:pt idx="99">
                  <c:v>0.997696733868304</c:v>
                </c:pt>
                <c:pt idx="100">
                  <c:v>0.998083978602758</c:v>
                </c:pt>
                <c:pt idx="101">
                  <c:v>0.998411130352635</c:v>
                </c:pt>
                <c:pt idx="102">
                  <c:v>0.998686575791244</c:v>
                </c:pt>
                <c:pt idx="103">
                  <c:v>0.998917699518607</c:v>
                </c:pt>
                <c:pt idx="104">
                  <c:v>0.999110974700892</c:v>
                </c:pt>
                <c:pt idx="105">
                  <c:v>0.999272050487534</c:v>
                </c:pt>
                <c:pt idx="106">
                  <c:v>0.999405835369896</c:v>
                </c:pt>
                <c:pt idx="107">
                  <c:v>0.999516575857616</c:v>
                </c:pt>
                <c:pt idx="108">
                  <c:v>0.999607930039634</c:v>
                </c:pt>
                <c:pt idx="109">
                  <c:v>0.99968303576508</c:v>
                </c:pt>
                <c:pt idx="110">
                  <c:v>0.999744573324471</c:v>
                </c:pt>
                <c:pt idx="111">
                  <c:v>0.999794822634295</c:v>
                </c:pt>
                <c:pt idx="112">
                  <c:v>0.999835715029063</c:v>
                </c:pt>
                <c:pt idx="113">
                  <c:v>0.999868879845579</c:v>
                </c:pt>
                <c:pt idx="114">
                  <c:v>0.999895686046198</c:v>
                </c:pt>
                <c:pt idx="115">
                  <c:v>0.999917279173174</c:v>
                </c:pt>
                <c:pt idx="116">
                  <c:v>0.999934613956757</c:v>
                </c:pt>
                <c:pt idx="117">
                  <c:v>0.999948482917533</c:v>
                </c:pt>
                <c:pt idx="118">
                  <c:v>0.999959541310684</c:v>
                </c:pt>
                <c:pt idx="119">
                  <c:v>0.999968328758167</c:v>
                </c:pt>
              </c:numCache>
            </c:numRef>
          </c:val>
          <c:smooth val="0"/>
        </c:ser>
        <c:dLbls>
          <c:showLegendKey val="0"/>
          <c:showVal val="0"/>
          <c:showCatName val="0"/>
          <c:showSerName val="0"/>
          <c:showPercent val="0"/>
          <c:showBubbleSize val="0"/>
        </c:dLbls>
        <c:smooth val="0"/>
        <c:axId val="2095939376"/>
        <c:axId val="2095942704"/>
      </c:lineChart>
      <c:catAx>
        <c:axId val="209593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942704"/>
        <c:crosses val="autoZero"/>
        <c:auto val="1"/>
        <c:lblAlgn val="ctr"/>
        <c:lblOffset val="100"/>
        <c:noMultiLvlLbl val="0"/>
      </c:catAx>
      <c:valAx>
        <c:axId val="2095942704"/>
        <c:scaling>
          <c:orientation val="minMax"/>
        </c:scaling>
        <c:delete val="0"/>
        <c:axPos val="l"/>
        <c:majorGridlines>
          <c:spPr>
            <a:ln w="9525" cap="flat" cmpd="sng" algn="ctr">
              <a:solidFill>
                <a:schemeClr val="tx1">
                  <a:lumMod val="15000"/>
                  <a:lumOff val="85000"/>
                </a:schemeClr>
              </a:solidFill>
              <a:round/>
            </a:ln>
            <a:effectLst/>
          </c:spPr>
        </c:majorGridlines>
        <c:numFmt formatCode="_(* #,##0.000000_);_(* \(#,##0.000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9393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DetailedForecast!$D$32:$AM$32</c:f>
              <c:numCache>
                <c:formatCode>_(* #,##0_);_(* \(#,##0\);_(* "-"??_);_(@_)</c:formatCode>
                <c:ptCount val="36"/>
                <c:pt idx="0">
                  <c:v>98.82514539802935</c:v>
                </c:pt>
                <c:pt idx="1">
                  <c:v>130.0255538546383</c:v>
                </c:pt>
                <c:pt idx="2">
                  <c:v>165.3212725570583</c:v>
                </c:pt>
                <c:pt idx="3">
                  <c:v>205.3736388668946</c:v>
                </c:pt>
                <c:pt idx="4">
                  <c:v>250.8992850284236</c:v>
                </c:pt>
                <c:pt idx="5">
                  <c:v>302.6717548973114</c:v>
                </c:pt>
                <c:pt idx="6">
                  <c:v>361.5222223462901</c:v>
                </c:pt>
                <c:pt idx="7">
                  <c:v>428.3391579065163</c:v>
                </c:pt>
                <c:pt idx="8">
                  <c:v>504.0667875766484</c:v>
                </c:pt>
                <c:pt idx="9">
                  <c:v>589.7021892981614</c:v>
                </c:pt>
                <c:pt idx="10">
                  <c:v>686.2908789877056</c:v>
                </c:pt>
                <c:pt idx="11">
                  <c:v>794.920749806596</c:v>
                </c:pt>
                <c:pt idx="12">
                  <c:v>942.126426252089</c:v>
                </c:pt>
                <c:pt idx="13">
                  <c:v>1082.986538670017</c:v>
                </c:pt>
                <c:pt idx="14">
                  <c:v>1240.08651105975</c:v>
                </c:pt>
                <c:pt idx="15">
                  <c:v>1414.68633629721</c:v>
                </c:pt>
                <c:pt idx="16">
                  <c:v>1608.03862250589</c:v>
                </c:pt>
                <c:pt idx="17">
                  <c:v>1821.371128771347</c:v>
                </c:pt>
                <c:pt idx="18">
                  <c:v>2055.867373918493</c:v>
                </c:pt>
                <c:pt idx="19">
                  <c:v>2312.645468275695</c:v>
                </c:pt>
                <c:pt idx="20">
                  <c:v>2592.735378926012</c:v>
                </c:pt>
                <c:pt idx="21">
                  <c:v>2897.054901358624</c:v>
                </c:pt>
                <c:pt idx="22">
                  <c:v>3226.38467299175</c:v>
                </c:pt>
                <c:pt idx="23">
                  <c:v>3581.342624844716</c:v>
                </c:pt>
                <c:pt idx="24">
                  <c:v>3985.22928685876</c:v>
                </c:pt>
                <c:pt idx="25">
                  <c:v>4396.798791536711</c:v>
                </c:pt>
                <c:pt idx="26">
                  <c:v>4835.311514779425</c:v>
                </c:pt>
                <c:pt idx="27">
                  <c:v>5300.574485577915</c:v>
                </c:pt>
                <c:pt idx="28">
                  <c:v>5792.120906721824</c:v>
                </c:pt>
                <c:pt idx="29">
                  <c:v>6309.192132430031</c:v>
                </c:pt>
                <c:pt idx="30">
                  <c:v>6850.722820579067</c:v>
                </c:pt>
                <c:pt idx="31">
                  <c:v>7415.329809496606</c:v>
                </c:pt>
                <c:pt idx="32">
                  <c:v>8001.305226966246</c:v>
                </c:pt>
                <c:pt idx="33">
                  <c:v>8606.61428015944</c:v>
                </c:pt>
                <c:pt idx="34">
                  <c:v>9228.898100214608</c:v>
                </c:pt>
                <c:pt idx="35">
                  <c:v>9865.481925231135</c:v>
                </c:pt>
              </c:numCache>
            </c:numRef>
          </c:val>
          <c:smooth val="0"/>
        </c:ser>
        <c:dLbls>
          <c:showLegendKey val="0"/>
          <c:showVal val="0"/>
          <c:showCatName val="0"/>
          <c:showSerName val="0"/>
          <c:showPercent val="0"/>
          <c:showBubbleSize val="0"/>
        </c:dLbls>
        <c:smooth val="0"/>
        <c:axId val="2138952672"/>
        <c:axId val="2138970544"/>
      </c:lineChart>
      <c:catAx>
        <c:axId val="21389526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970544"/>
        <c:crosses val="autoZero"/>
        <c:auto val="1"/>
        <c:lblAlgn val="ctr"/>
        <c:lblOffset val="100"/>
        <c:noMultiLvlLbl val="0"/>
      </c:catAx>
      <c:valAx>
        <c:axId val="21389705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952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Monthly Profit</c:v>
          </c:tx>
          <c:spPr>
            <a:ln w="28575" cap="rnd">
              <a:solidFill>
                <a:schemeClr val="accent1"/>
              </a:solidFill>
              <a:round/>
            </a:ln>
            <a:effectLst/>
          </c:spPr>
          <c:marker>
            <c:symbol val="none"/>
          </c:marker>
          <c:val>
            <c:numRef>
              <c:f>DetailedForecast!$C$129:$AM$129</c:f>
              <c:numCache>
                <c:formatCode>"$"#,##0_);[Red]\("$"#,##0\)</c:formatCode>
                <c:ptCount val="37"/>
                <c:pt idx="0">
                  <c:v>-77000.0</c:v>
                </c:pt>
                <c:pt idx="1">
                  <c:v>-20458.32773179074</c:v>
                </c:pt>
                <c:pt idx="2">
                  <c:v>-19971.60135986765</c:v>
                </c:pt>
                <c:pt idx="3">
                  <c:v>-19420.98814810989</c:v>
                </c:pt>
                <c:pt idx="4">
                  <c:v>-18796.17123367645</c:v>
                </c:pt>
                <c:pt idx="5">
                  <c:v>-18085.9711535566</c:v>
                </c:pt>
                <c:pt idx="6">
                  <c:v>-17278.32062360195</c:v>
                </c:pt>
                <c:pt idx="7">
                  <c:v>-16360.25333139787</c:v>
                </c:pt>
                <c:pt idx="8">
                  <c:v>-15317.90913665835</c:v>
                </c:pt>
                <c:pt idx="9">
                  <c:v>-14136.55811380429</c:v>
                </c:pt>
                <c:pt idx="10">
                  <c:v>-12800.64584694868</c:v>
                </c:pt>
                <c:pt idx="11">
                  <c:v>-11293.86228779179</c:v>
                </c:pt>
                <c:pt idx="12">
                  <c:v>-9599.236303017103</c:v>
                </c:pt>
                <c:pt idx="13">
                  <c:v>-7302.827750467411</c:v>
                </c:pt>
                <c:pt idx="14">
                  <c:v>-5105.40999674774</c:v>
                </c:pt>
                <c:pt idx="15">
                  <c:v>-2654.650427467898</c:v>
                </c:pt>
                <c:pt idx="16">
                  <c:v>69.10684623647785</c:v>
                </c:pt>
                <c:pt idx="17">
                  <c:v>3085.402511091878</c:v>
                </c:pt>
                <c:pt idx="18">
                  <c:v>6413.389608833016</c:v>
                </c:pt>
                <c:pt idx="19">
                  <c:v>10071.5310331285</c:v>
                </c:pt>
                <c:pt idx="20">
                  <c:v>14077.26930510085</c:v>
                </c:pt>
                <c:pt idx="21">
                  <c:v>18446.6719112458</c:v>
                </c:pt>
                <c:pt idx="22">
                  <c:v>23194.05646119452</c:v>
                </c:pt>
                <c:pt idx="23">
                  <c:v>28331.60089867131</c:v>
                </c:pt>
                <c:pt idx="24">
                  <c:v>33868.94494757757</c:v>
                </c:pt>
                <c:pt idx="25">
                  <c:v>40169.57687499665</c:v>
                </c:pt>
                <c:pt idx="26">
                  <c:v>46590.06114797269</c:v>
                </c:pt>
                <c:pt idx="27">
                  <c:v>53430.85963055902</c:v>
                </c:pt>
                <c:pt idx="28">
                  <c:v>60688.96197501546</c:v>
                </c:pt>
                <c:pt idx="29">
                  <c:v>68357.08614486046</c:v>
                </c:pt>
                <c:pt idx="30">
                  <c:v>76423.3972659085</c:v>
                </c:pt>
                <c:pt idx="31">
                  <c:v>84871.27600103348</c:v>
                </c:pt>
                <c:pt idx="32">
                  <c:v>93679.14502814706</c:v>
                </c:pt>
                <c:pt idx="33">
                  <c:v>102820.3615406734</c:v>
                </c:pt>
                <c:pt idx="34">
                  <c:v>112263.1827704873</c:v>
                </c:pt>
                <c:pt idx="35">
                  <c:v>121970.8103633479</c:v>
                </c:pt>
                <c:pt idx="36">
                  <c:v>131901.5180336057</c:v>
                </c:pt>
              </c:numCache>
            </c:numRef>
          </c:val>
          <c:smooth val="0"/>
        </c:ser>
        <c:ser>
          <c:idx val="1"/>
          <c:order val="1"/>
          <c:tx>
            <c:v>Cumulative Profit</c:v>
          </c:tx>
          <c:spPr>
            <a:ln w="28575" cap="rnd">
              <a:solidFill>
                <a:schemeClr val="accent2"/>
              </a:solidFill>
              <a:round/>
            </a:ln>
            <a:effectLst/>
          </c:spPr>
          <c:marker>
            <c:symbol val="none"/>
          </c:marker>
          <c:val>
            <c:numRef>
              <c:f>DetailedForecast!$C$130:$AM$130</c:f>
              <c:numCache>
                <c:formatCode>"$"#,##0_);[Red]\("$"#,##0\)</c:formatCode>
                <c:ptCount val="37"/>
                <c:pt idx="0">
                  <c:v>-77000.0</c:v>
                </c:pt>
                <c:pt idx="1">
                  <c:v>-97458.32773179074</c:v>
                </c:pt>
                <c:pt idx="2">
                  <c:v>-117429.9290916584</c:v>
                </c:pt>
                <c:pt idx="3">
                  <c:v>-136850.9172397683</c:v>
                </c:pt>
                <c:pt idx="4">
                  <c:v>-155647.0884734447</c:v>
                </c:pt>
                <c:pt idx="5">
                  <c:v>-173733.0596270013</c:v>
                </c:pt>
                <c:pt idx="6">
                  <c:v>-191011.3802506033</c:v>
                </c:pt>
                <c:pt idx="7">
                  <c:v>-207371.6335820012</c:v>
                </c:pt>
                <c:pt idx="8">
                  <c:v>-222689.5427186595</c:v>
                </c:pt>
                <c:pt idx="9">
                  <c:v>-236826.1008324638</c:v>
                </c:pt>
                <c:pt idx="10">
                  <c:v>-249626.7466794125</c:v>
                </c:pt>
                <c:pt idx="11">
                  <c:v>-260920.6089672043</c:v>
                </c:pt>
                <c:pt idx="12">
                  <c:v>-270519.8452702214</c:v>
                </c:pt>
                <c:pt idx="13">
                  <c:v>-277822.6730206888</c:v>
                </c:pt>
                <c:pt idx="14">
                  <c:v>-282928.0830174365</c:v>
                </c:pt>
                <c:pt idx="15">
                  <c:v>-285582.7334449044</c:v>
                </c:pt>
                <c:pt idx="16">
                  <c:v>-285513.626598668</c:v>
                </c:pt>
                <c:pt idx="17">
                  <c:v>-282428.224087576</c:v>
                </c:pt>
                <c:pt idx="18">
                  <c:v>-276014.834478743</c:v>
                </c:pt>
                <c:pt idx="19">
                  <c:v>-265943.3034456145</c:v>
                </c:pt>
                <c:pt idx="20">
                  <c:v>-251866.0341405137</c:v>
                </c:pt>
                <c:pt idx="21">
                  <c:v>-233419.362229268</c:v>
                </c:pt>
                <c:pt idx="22">
                  <c:v>-210225.3057680734</c:v>
                </c:pt>
                <c:pt idx="23">
                  <c:v>-181893.7048694021</c:v>
                </c:pt>
                <c:pt idx="24">
                  <c:v>-148024.7599218245</c:v>
                </c:pt>
                <c:pt idx="25">
                  <c:v>-107855.1830468279</c:v>
                </c:pt>
                <c:pt idx="26">
                  <c:v>-61265.12189885518</c:v>
                </c:pt>
                <c:pt idx="27">
                  <c:v>-7834.26226829616</c:v>
                </c:pt>
                <c:pt idx="28">
                  <c:v>52854.6997067193</c:v>
                </c:pt>
                <c:pt idx="29">
                  <c:v>121211.7858515798</c:v>
                </c:pt>
                <c:pt idx="30">
                  <c:v>197635.1831174883</c:v>
                </c:pt>
                <c:pt idx="31">
                  <c:v>282506.4591185217</c:v>
                </c:pt>
                <c:pt idx="32">
                  <c:v>376185.6041466688</c:v>
                </c:pt>
                <c:pt idx="33">
                  <c:v>479005.9656873422</c:v>
                </c:pt>
                <c:pt idx="34">
                  <c:v>591269.1484578294</c:v>
                </c:pt>
                <c:pt idx="35">
                  <c:v>713239.9588211773</c:v>
                </c:pt>
                <c:pt idx="36">
                  <c:v>845141.476854783</c:v>
                </c:pt>
              </c:numCache>
            </c:numRef>
          </c:val>
          <c:smooth val="0"/>
        </c:ser>
        <c:dLbls>
          <c:showLegendKey val="0"/>
          <c:showVal val="0"/>
          <c:showCatName val="0"/>
          <c:showSerName val="0"/>
          <c:showPercent val="0"/>
          <c:showBubbleSize val="0"/>
        </c:dLbls>
        <c:smooth val="0"/>
        <c:axId val="2138107072"/>
        <c:axId val="2138103728"/>
      </c:lineChart>
      <c:catAx>
        <c:axId val="213810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103728"/>
        <c:crosses val="autoZero"/>
        <c:auto val="1"/>
        <c:lblAlgn val="ctr"/>
        <c:lblOffset val="100"/>
        <c:noMultiLvlLbl val="0"/>
      </c:catAx>
      <c:valAx>
        <c:axId val="21381037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1070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Year 1</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Monthly Profit</c:v>
          </c:tx>
          <c:spPr>
            <a:ln w="28575" cap="rnd">
              <a:solidFill>
                <a:schemeClr val="accent1"/>
              </a:solidFill>
              <a:round/>
            </a:ln>
            <a:effectLst/>
          </c:spPr>
          <c:marker>
            <c:symbol val="none"/>
          </c:marker>
          <c:val>
            <c:numRef>
              <c:f>DetailedForecast!$C$129:$O$129</c:f>
              <c:numCache>
                <c:formatCode>"$"#,##0_);[Red]\("$"#,##0\)</c:formatCode>
                <c:ptCount val="13"/>
                <c:pt idx="0">
                  <c:v>-77000.0</c:v>
                </c:pt>
                <c:pt idx="1">
                  <c:v>-20458.32773179074</c:v>
                </c:pt>
                <c:pt idx="2">
                  <c:v>-19971.60135986765</c:v>
                </c:pt>
                <c:pt idx="3">
                  <c:v>-19420.98814810989</c:v>
                </c:pt>
                <c:pt idx="4">
                  <c:v>-18796.17123367645</c:v>
                </c:pt>
                <c:pt idx="5">
                  <c:v>-18085.9711535566</c:v>
                </c:pt>
                <c:pt idx="6">
                  <c:v>-17278.32062360195</c:v>
                </c:pt>
                <c:pt idx="7">
                  <c:v>-16360.25333139787</c:v>
                </c:pt>
                <c:pt idx="8">
                  <c:v>-15317.90913665835</c:v>
                </c:pt>
                <c:pt idx="9">
                  <c:v>-14136.55811380429</c:v>
                </c:pt>
                <c:pt idx="10">
                  <c:v>-12800.64584694868</c:v>
                </c:pt>
                <c:pt idx="11">
                  <c:v>-11293.86228779179</c:v>
                </c:pt>
                <c:pt idx="12">
                  <c:v>-9599.236303017103</c:v>
                </c:pt>
              </c:numCache>
            </c:numRef>
          </c:val>
          <c:smooth val="0"/>
        </c:ser>
        <c:ser>
          <c:idx val="1"/>
          <c:order val="1"/>
          <c:tx>
            <c:v>Cumulative Profit</c:v>
          </c:tx>
          <c:spPr>
            <a:ln w="28575" cap="rnd">
              <a:solidFill>
                <a:schemeClr val="accent2"/>
              </a:solidFill>
              <a:round/>
            </a:ln>
            <a:effectLst/>
          </c:spPr>
          <c:marker>
            <c:symbol val="none"/>
          </c:marker>
          <c:val>
            <c:numRef>
              <c:f>DetailedForecast!$C$130:$O$130</c:f>
              <c:numCache>
                <c:formatCode>"$"#,##0_);[Red]\("$"#,##0\)</c:formatCode>
                <c:ptCount val="13"/>
                <c:pt idx="0">
                  <c:v>-77000.0</c:v>
                </c:pt>
                <c:pt idx="1">
                  <c:v>-97458.32773179074</c:v>
                </c:pt>
                <c:pt idx="2">
                  <c:v>-117429.9290916584</c:v>
                </c:pt>
                <c:pt idx="3">
                  <c:v>-136850.9172397683</c:v>
                </c:pt>
                <c:pt idx="4">
                  <c:v>-155647.0884734447</c:v>
                </c:pt>
                <c:pt idx="5">
                  <c:v>-173733.0596270013</c:v>
                </c:pt>
                <c:pt idx="6">
                  <c:v>-191011.3802506033</c:v>
                </c:pt>
                <c:pt idx="7">
                  <c:v>-207371.6335820012</c:v>
                </c:pt>
                <c:pt idx="8">
                  <c:v>-222689.5427186595</c:v>
                </c:pt>
                <c:pt idx="9">
                  <c:v>-236826.1008324638</c:v>
                </c:pt>
                <c:pt idx="10">
                  <c:v>-249626.7466794125</c:v>
                </c:pt>
                <c:pt idx="11">
                  <c:v>-260920.6089672043</c:v>
                </c:pt>
                <c:pt idx="12">
                  <c:v>-270519.8452702214</c:v>
                </c:pt>
              </c:numCache>
            </c:numRef>
          </c:val>
          <c:smooth val="0"/>
        </c:ser>
        <c:dLbls>
          <c:showLegendKey val="0"/>
          <c:showVal val="0"/>
          <c:showCatName val="0"/>
          <c:showSerName val="0"/>
          <c:showPercent val="0"/>
          <c:showBubbleSize val="0"/>
        </c:dLbls>
        <c:smooth val="0"/>
        <c:axId val="2135861280"/>
        <c:axId val="2135864544"/>
      </c:lineChart>
      <c:catAx>
        <c:axId val="21358612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864544"/>
        <c:crosses val="autoZero"/>
        <c:auto val="1"/>
        <c:lblAlgn val="ctr"/>
        <c:lblOffset val="100"/>
        <c:noMultiLvlLbl val="0"/>
      </c:catAx>
      <c:valAx>
        <c:axId val="21358645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8612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Gaussian!$D$5:$DS$5</c:f>
              <c:numCache>
                <c:formatCode>_(* #,##0.000000_);_(* \(#,##0.000000\);_(* "-"??_);_(@_)</c:formatCode>
                <c:ptCount val="120"/>
                <c:pt idx="0">
                  <c:v>0.000282357558280084</c:v>
                </c:pt>
                <c:pt idx="1">
                  <c:v>0.000335198467805813</c:v>
                </c:pt>
                <c:pt idx="2">
                  <c:v>0.00039657674398701</c:v>
                </c:pt>
                <c:pt idx="3">
                  <c:v>0.000467600612691527</c:v>
                </c:pt>
                <c:pt idx="4">
                  <c:v>0.000549471929928374</c:v>
                </c:pt>
                <c:pt idx="5">
                  <c:v>0.000643485198435403</c:v>
                </c:pt>
                <c:pt idx="6">
                  <c:v>0.000751024704332196</c:v>
                </c:pt>
                <c:pt idx="7">
                  <c:v>0.000873559508470138</c:v>
                </c:pt>
                <c:pt idx="8">
                  <c:v>0.00101263603642206</c:v>
                </c:pt>
                <c:pt idx="9">
                  <c:v>0.0011698680294661</c:v>
                </c:pt>
                <c:pt idx="10">
                  <c:v>0.00134692364735773</c:v>
                </c:pt>
                <c:pt idx="11">
                  <c:v>0.00154550955286928</c:v>
                </c:pt>
                <c:pt idx="12">
                  <c:v>0.00176735185844472</c:v>
                </c:pt>
                <c:pt idx="13">
                  <c:v>0.00201417387697535</c:v>
                </c:pt>
                <c:pt idx="14">
                  <c:v>0.00228767069135292</c:v>
                </c:pt>
                <c:pt idx="15">
                  <c:v>0.00258948064036981</c:v>
                </c:pt>
                <c:pt idx="16">
                  <c:v>0.00292115391049345</c:v>
                </c:pt>
                <c:pt idx="17">
                  <c:v>0.00328411852232654</c:v>
                </c:pt>
                <c:pt idx="18">
                  <c:v>0.00367964410495948</c:v>
                </c:pt>
                <c:pt idx="19">
                  <c:v>0.00410880395821916</c:v>
                </c:pt>
                <c:pt idx="20">
                  <c:v>0.00457243600887187</c:v>
                </c:pt>
                <c:pt idx="21">
                  <c:v>0.0050711033686253</c:v>
                </c:pt>
                <c:pt idx="22">
                  <c:v>0.00560505529549251</c:v>
                </c:pt>
                <c:pt idx="23">
                  <c:v>0.00617418944175103</c:v>
                </c:pt>
                <c:pt idx="24">
                  <c:v>0.00677801633735141</c:v>
                </c:pt>
                <c:pt idx="25">
                  <c:v>0.00741562710331799</c:v>
                </c:pt>
                <c:pt idx="26">
                  <c:v>0.00808566541184451</c:v>
                </c:pt>
                <c:pt idx="27">
                  <c:v>0.00878630470528398</c:v>
                </c:pt>
                <c:pt idx="28">
                  <c:v>0.00951523165255695</c:v>
                </c:pt>
                <c:pt idx="29">
                  <c:v>0.0102696367569424</c:v>
                </c:pt>
                <c:pt idx="30">
                  <c:v>0.0110462129329818</c:v>
                </c:pt>
                <c:pt idx="31">
                  <c:v>0.0118411627425779</c:v>
                </c:pt>
                <c:pt idx="32">
                  <c:v>0.012650214822714</c:v>
                </c:pt>
                <c:pt idx="33">
                  <c:v>0.0134686498520953</c:v>
                </c:pt>
                <c:pt idx="34">
                  <c:v>0.0142913361951808</c:v>
                </c:pt>
                <c:pt idx="35">
                  <c:v>0.0151127751343545</c:v>
                </c:pt>
                <c:pt idx="36">
                  <c:v>0.0159271553602461</c:v>
                </c:pt>
                <c:pt idx="37">
                  <c:v>0.0167284161431572</c:v>
                </c:pt>
                <c:pt idx="38">
                  <c:v>0.0175103183625321</c:v>
                </c:pt>
                <c:pt idx="39">
                  <c:v>0.018266522334228</c:v>
                </c:pt>
                <c:pt idx="40">
                  <c:v>0.0189906711548642</c:v>
                </c:pt>
                <c:pt idx="41">
                  <c:v>0.0196764780865593</c:v>
                </c:pt>
                <c:pt idx="42">
                  <c:v>0.0203178163411569</c:v>
                </c:pt>
                <c:pt idx="43">
                  <c:v>0.0209088094971718</c:v>
                </c:pt>
                <c:pt idx="44">
                  <c:v>0.021443920700601</c:v>
                </c:pt>
                <c:pt idx="45">
                  <c:v>0.0219180387667115</c:v>
                </c:pt>
                <c:pt idx="46">
                  <c:v>0.0223265593165493</c:v>
                </c:pt>
                <c:pt idx="47">
                  <c:v>0.0226654591503599</c:v>
                </c:pt>
                <c:pt idx="48">
                  <c:v>0.0229313621795515</c:v>
                </c:pt>
                <c:pt idx="49">
                  <c:v>0.0231215954069293</c:v>
                </c:pt>
                <c:pt idx="50">
                  <c:v>0.0232342336573843</c:v>
                </c:pt>
                <c:pt idx="51">
                  <c:v>0.0232681320123301</c:v>
                </c:pt>
                <c:pt idx="52">
                  <c:v>0.0232229451837518</c:v>
                </c:pt>
                <c:pt idx="53">
                  <c:v>0.0230991333693986</c:v>
                </c:pt>
                <c:pt idx="54">
                  <c:v>0.0228979544502801</c:v>
                </c:pt>
                <c:pt idx="55">
                  <c:v>0.0226214427154523</c:v>
                </c:pt>
                <c:pt idx="56">
                  <c:v>0.0222723746173092</c:v>
                </c:pt>
                <c:pt idx="57">
                  <c:v>0.0218542223634971</c:v>
                </c:pt>
                <c:pt idx="58">
                  <c:v>0.0213710964301454</c:v>
                </c:pt>
                <c:pt idx="59">
                  <c:v>0.0208276783270864</c:v>
                </c:pt>
                <c:pt idx="60">
                  <c:v>0.0202291451522</c:v>
                </c:pt>
                <c:pt idx="61">
                  <c:v>0.0195810876333473</c:v>
                </c:pt>
                <c:pt idx="62">
                  <c:v>0.0188894234686627</c:v>
                </c:pt>
                <c:pt idx="63">
                  <c:v>0.0181603078369786</c:v>
                </c:pt>
                <c:pt idx="64">
                  <c:v>0.0174000429594886</c:v>
                </c:pt>
                <c:pt idx="65">
                  <c:v>0.0166149885526172</c:v>
                </c:pt>
                <c:pt idx="66">
                  <c:v>0.0158114749234618</c:v>
                </c:pt>
                <c:pt idx="67">
                  <c:v>0.0149957203274477</c:v>
                </c:pt>
                <c:pt idx="68">
                  <c:v>0.0141737540386726</c:v>
                </c:pt>
                <c:pt idx="69">
                  <c:v>0.0133513463834882</c:v>
                </c:pt>
                <c:pt idx="70">
                  <c:v>0.0125339467645196</c:v>
                </c:pt>
                <c:pt idx="71">
                  <c:v>0.0117266304633943</c:v>
                </c:pt>
                <c:pt idx="72">
                  <c:v>0.0109340547638177</c:v>
                </c:pt>
                <c:pt idx="73">
                  <c:v>0.0101604246900432</c:v>
                </c:pt>
                <c:pt idx="74">
                  <c:v>0.00940946841651169</c:v>
                </c:pt>
                <c:pt idx="75">
                  <c:v>0.00868442217907761</c:v>
                </c:pt>
                <c:pt idx="76">
                  <c:v>0.00798802431252599</c:v>
                </c:pt>
                <c:pt idx="77">
                  <c:v>0.00732251785767301</c:v>
                </c:pt>
                <c:pt idx="78">
                  <c:v>0.00668966102785628</c:v>
                </c:pt>
                <c:pt idx="79">
                  <c:v>0.00609074470138804</c:v>
                </c:pt>
                <c:pt idx="80">
                  <c:v>0.00552661601486226</c:v>
                </c:pt>
                <c:pt idx="81">
                  <c:v>0.00499770707211011</c:v>
                </c:pt>
                <c:pt idx="82">
                  <c:v>0.00450406775423295</c:v>
                </c:pt>
                <c:pt idx="83">
                  <c:v>0.00404540161560762</c:v>
                </c:pt>
                <c:pt idx="84">
                  <c:v>0.00362110387648673</c:v>
                </c:pt>
                <c:pt idx="85">
                  <c:v>0.00323030057158502</c:v>
                </c:pt>
                <c:pt idx="86">
                  <c:v>0.0028718879821914</c:v>
                </c:pt>
                <c:pt idx="87">
                  <c:v>0.00254457156299326</c:v>
                </c:pt>
                <c:pt idx="88">
                  <c:v>0.00224690366990177</c:v>
                </c:pt>
                <c:pt idx="89">
                  <c:v>0.00197731949779889</c:v>
                </c:pt>
                <c:pt idx="90">
                  <c:v>0.00173417074348792</c:v>
                </c:pt>
                <c:pt idx="91">
                  <c:v>0.00151575661577374</c:v>
                </c:pt>
                <c:pt idx="92">
                  <c:v>0.00132035191840973</c:v>
                </c:pt>
                <c:pt idx="93">
                  <c:v>0.00114623203002062</c:v>
                </c:pt>
                <c:pt idx="94">
                  <c:v>0.000991694695859801</c:v>
                </c:pt>
                <c:pt idx="95">
                  <c:v>0.000855078627774119</c:v>
                </c:pt>
                <c:pt idx="96">
                  <c:v>0.000734778979866957</c:v>
                </c:pt>
                <c:pt idx="97">
                  <c:v>0.000629259827394257</c:v>
                </c:pt>
                <c:pt idx="98">
                  <c:v>0.000537063825195028</c:v>
                </c:pt>
                <c:pt idx="99">
                  <c:v>0.000456819259566643</c:v>
                </c:pt>
                <c:pt idx="100">
                  <c:v>0.000387244734453951</c:v>
                </c:pt>
                <c:pt idx="101">
                  <c:v>0.000327151749877075</c:v>
                </c:pt>
                <c:pt idx="102">
                  <c:v>0.000275445438609023</c:v>
                </c:pt>
                <c:pt idx="103">
                  <c:v>0.000231123727362559</c:v>
                </c:pt>
                <c:pt idx="104">
                  <c:v>0.000193275182284847</c:v>
                </c:pt>
                <c:pt idx="105">
                  <c:v>0.000161075786642595</c:v>
                </c:pt>
                <c:pt idx="106">
                  <c:v>0.000133784882362153</c:v>
                </c:pt>
                <c:pt idx="107">
                  <c:v>0.000110740487719863</c:v>
                </c:pt>
                <c:pt idx="108">
                  <c:v>9.13541820175556E-5</c:v>
                </c:pt>
                <c:pt idx="109">
                  <c:v>7.51057254464449E-5</c:v>
                </c:pt>
                <c:pt idx="110">
                  <c:v>6.15375593912004E-5</c:v>
                </c:pt>
                <c:pt idx="111">
                  <c:v>5.02493098234469E-5</c:v>
                </c:pt>
                <c:pt idx="112">
                  <c:v>4.08923947684547E-5</c:v>
                </c:pt>
                <c:pt idx="113">
                  <c:v>3.31648165161624E-5</c:v>
                </c:pt>
                <c:pt idx="114">
                  <c:v>2.68062006184566E-5</c:v>
                </c:pt>
                <c:pt idx="115">
                  <c:v>2.15931269763603E-5</c:v>
                </c:pt>
                <c:pt idx="116">
                  <c:v>1.73347835830118E-5</c:v>
                </c:pt>
                <c:pt idx="117">
                  <c:v>1.38689607755982E-5</c:v>
                </c:pt>
                <c:pt idx="118">
                  <c:v>1.10583931512975E-5</c:v>
                </c:pt>
                <c:pt idx="119">
                  <c:v>8.78744748267213E-6</c:v>
                </c:pt>
              </c:numCache>
            </c:numRef>
          </c:val>
          <c:smooth val="0"/>
        </c:ser>
        <c:dLbls>
          <c:showLegendKey val="0"/>
          <c:showVal val="0"/>
          <c:showCatName val="0"/>
          <c:showSerName val="0"/>
          <c:showPercent val="0"/>
          <c:showBubbleSize val="0"/>
        </c:dLbls>
        <c:smooth val="0"/>
        <c:axId val="-2147254848"/>
        <c:axId val="-2147251536"/>
      </c:lineChart>
      <c:catAx>
        <c:axId val="-214725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251536"/>
        <c:crosses val="autoZero"/>
        <c:auto val="1"/>
        <c:lblAlgn val="ctr"/>
        <c:lblOffset val="100"/>
        <c:noMultiLvlLbl val="0"/>
      </c:catAx>
      <c:valAx>
        <c:axId val="-2147251536"/>
        <c:scaling>
          <c:orientation val="minMax"/>
        </c:scaling>
        <c:delete val="0"/>
        <c:axPos val="l"/>
        <c:majorGridlines>
          <c:spPr>
            <a:ln w="9525" cap="flat" cmpd="sng" algn="ctr">
              <a:solidFill>
                <a:schemeClr val="tx1">
                  <a:lumMod val="15000"/>
                  <a:lumOff val="85000"/>
                </a:schemeClr>
              </a:solidFill>
              <a:round/>
            </a:ln>
            <a:effectLst/>
          </c:spPr>
        </c:majorGridlines>
        <c:numFmt formatCode="_(* #,##0.000000_);_(* \(#,##0.000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254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Market Capture (Months)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Gaussian Curve</c:v>
          </c:tx>
          <c:spPr>
            <a:ln w="28575" cap="rnd">
              <a:solidFill>
                <a:schemeClr val="accent1"/>
              </a:solidFill>
              <a:round/>
            </a:ln>
            <a:effectLst/>
          </c:spPr>
          <c:marker>
            <c:symbol val="none"/>
          </c:marker>
          <c:val>
            <c:numRef>
              <c:f>Gaussian!$D$3:$DS$3</c:f>
              <c:numCache>
                <c:formatCode>_(* #,##0.000000_);_(* \(#,##0.000000\);_(* "-"??_);_(@_)</c:formatCode>
                <c:ptCount val="120"/>
                <c:pt idx="0">
                  <c:v>0.00527044793918293</c:v>
                </c:pt>
                <c:pt idx="1">
                  <c:v>0.006246436806554</c:v>
                </c:pt>
                <c:pt idx="2">
                  <c:v>0.00737801214864679</c:v>
                </c:pt>
                <c:pt idx="3">
                  <c:v>0.0086849750207789</c:v>
                </c:pt>
                <c:pt idx="4">
                  <c:v>0.0101887281260886</c:v>
                </c:pt>
                <c:pt idx="5">
                  <c:v>0.0119122436076052</c:v>
                </c:pt>
                <c:pt idx="6">
                  <c:v>0.0138799963237888</c:v>
                </c:pt>
                <c:pt idx="7">
                  <c:v>0.016117858113649</c:v>
                </c:pt>
                <c:pt idx="8">
                  <c:v>0.0186529487922699</c:v>
                </c:pt>
                <c:pt idx="9">
                  <c:v>0.0215134400167737</c:v>
                </c:pt>
                <c:pt idx="10">
                  <c:v>0.0247283087407031</c:v>
                </c:pt>
                <c:pt idx="11">
                  <c:v>0.0283270377416012</c:v>
                </c:pt>
                <c:pt idx="12">
                  <c:v>0.0323392616670275</c:v>
                </c:pt>
                <c:pt idx="13">
                  <c:v>0.0367943581969134</c:v>
                </c:pt>
                <c:pt idx="14">
                  <c:v>0.0417209852563386</c:v>
                </c:pt>
                <c:pt idx="15">
                  <c:v>0.0471465667158716</c:v>
                </c:pt>
                <c:pt idx="16">
                  <c:v>0.0530967306614701</c:v>
                </c:pt>
                <c:pt idx="17">
                  <c:v>0.0595947060688161</c:v>
                </c:pt>
                <c:pt idx="18">
                  <c:v>0.0666606855355637</c:v>
                </c:pt>
                <c:pt idx="19">
                  <c:v>0.0743111635589931</c:v>
                </c:pt>
                <c:pt idx="20">
                  <c:v>0.0825582616385916</c:v>
                </c:pt>
                <c:pt idx="21">
                  <c:v>0.0914090531700242</c:v>
                </c:pt>
                <c:pt idx="22">
                  <c:v>0.100864902611755</c:v>
                </c:pt>
                <c:pt idx="23">
                  <c:v>0.110920834679456</c:v>
                </c:pt>
                <c:pt idx="24">
                  <c:v>0.121564950288181</c:v>
                </c:pt>
                <c:pt idx="25">
                  <c:v>0.132777906553587</c:v>
                </c:pt>
                <c:pt idx="26">
                  <c:v>0.144532478322933</c:v>
                </c:pt>
                <c:pt idx="27">
                  <c:v>0.156793218385509</c:v>
                </c:pt>
                <c:pt idx="28">
                  <c:v>0.169516232673774</c:v>
                </c:pt>
                <c:pt idx="29">
                  <c:v>0.182649085389022</c:v>
                </c:pt>
                <c:pt idx="30">
                  <c:v>0.196130847064121</c:v>
                </c:pt>
                <c:pt idx="31">
                  <c:v>0.209892296124724</c:v>
                </c:pt>
                <c:pt idx="32">
                  <c:v>0.223856281563239</c:v>
                </c:pt>
                <c:pt idx="33">
                  <c:v>0.237938250950778</c:v>
                </c:pt>
                <c:pt idx="34">
                  <c:v>0.252046944255045</c:v>
                </c:pt>
                <c:pt idx="35">
                  <c:v>0.266085249898755</c:v>
                </c:pt>
                <c:pt idx="36">
                  <c:v>0.279951215291812</c:v>
                </c:pt>
                <c:pt idx="37">
                  <c:v>0.293539199822456</c:v>
                </c:pt>
                <c:pt idx="38">
                  <c:v>0.30674115412824</c:v>
                </c:pt>
                <c:pt idx="39">
                  <c:v>0.319448005522352</c:v>
                </c:pt>
                <c:pt idx="40">
                  <c:v>0.33155112585963</c:v>
                </c:pt>
                <c:pt idx="41">
                  <c:v>0.342943855019384</c:v>
                </c:pt>
                <c:pt idx="42">
                  <c:v>0.353523050678447</c:v>
                </c:pt>
                <c:pt idx="43">
                  <c:v>0.363190633251418</c:v>
                </c:pt>
                <c:pt idx="44">
                  <c:v>0.371855093869769</c:v>
                </c:pt>
                <c:pt idx="45">
                  <c:v>0.379432933116945</c:v>
                </c:pt>
                <c:pt idx="46">
                  <c:v>0.385849998965265</c:v>
                </c:pt>
                <c:pt idx="47">
                  <c:v>0.391042693975456</c:v>
                </c:pt>
                <c:pt idx="48">
                  <c:v>0.394959024293852</c:v>
                </c:pt>
                <c:pt idx="49">
                  <c:v>0.397559466258342</c:v>
                </c:pt>
                <c:pt idx="50">
                  <c:v>0.398817630416382</c:v>
                </c:pt>
                <c:pt idx="51">
                  <c:v>0.398720707354977</c:v>
                </c:pt>
                <c:pt idx="52">
                  <c:v>0.397269684809854</c:v>
                </c:pt>
                <c:pt idx="53">
                  <c:v>0.394479330907889</c:v>
                </c:pt>
                <c:pt idx="54">
                  <c:v>0.390377943940362</c:v>
                </c:pt>
                <c:pt idx="55">
                  <c:v>0.385006874596014</c:v>
                </c:pt>
                <c:pt idx="56">
                  <c:v>0.378419831933819</c:v>
                </c:pt>
                <c:pt idx="57">
                  <c:v>0.370681989384385</c:v>
                </c:pt>
                <c:pt idx="58">
                  <c:v>0.361868911586844</c:v>
                </c:pt>
                <c:pt idx="59">
                  <c:v>0.352065326764299</c:v>
                </c:pt>
                <c:pt idx="60">
                  <c:v>0.341363772507007</c:v>
                </c:pt>
                <c:pt idx="61">
                  <c:v>0.329863145186741</c:v>
                </c:pt>
                <c:pt idx="62">
                  <c:v>0.317667184715148</c:v>
                </c:pt>
                <c:pt idx="63">
                  <c:v>0.304882926960517</c:v>
                </c:pt>
                <c:pt idx="64">
                  <c:v>0.291619155858656</c:v>
                </c:pt>
                <c:pt idx="65">
                  <c:v>0.277984886130996</c:v>
                </c:pt>
                <c:pt idx="66">
                  <c:v>0.264087905619932</c:v>
                </c:pt>
                <c:pt idx="67">
                  <c:v>0.250033403654658</c:v>
                </c:pt>
                <c:pt idx="68">
                  <c:v>0.235922708676872</c:v>
                </c:pt>
                <c:pt idx="69">
                  <c:v>0.221852154705736</c:v>
                </c:pt>
                <c:pt idx="70">
                  <c:v>0.207912092236567</c:v>
                </c:pt>
                <c:pt idx="71">
                  <c:v>0.194186054983213</c:v>
                </c:pt>
                <c:pt idx="72">
                  <c:v>0.180750089624856</c:v>
                </c:pt>
                <c:pt idx="73">
                  <c:v>0.167672251533516</c:v>
                </c:pt>
                <c:pt idx="74">
                  <c:v>0.155012265458293</c:v>
                </c:pt>
                <c:pt idx="75">
                  <c:v>0.14282134643251</c:v>
                </c:pt>
                <c:pt idx="76">
                  <c:v>0.131142172839911</c:v>
                </c:pt>
                <c:pt idx="77">
                  <c:v>0.120009000696986</c:v>
                </c:pt>
                <c:pt idx="78">
                  <c:v>0.10944790583143</c:v>
                </c:pt>
                <c:pt idx="79">
                  <c:v>0.0994771387927486</c:v>
                </c:pt>
                <c:pt idx="80">
                  <c:v>0.0901075760312981</c:v>
                </c:pt>
                <c:pt idx="81">
                  <c:v>0.0813432501192796</c:v>
                </c:pt>
                <c:pt idx="82">
                  <c:v>0.0731819415373204</c:v>
                </c:pt>
                <c:pt idx="83">
                  <c:v>0.0656158147746765</c:v>
                </c:pt>
                <c:pt idx="84">
                  <c:v>0.0586320821394846</c:v>
                </c:pt>
                <c:pt idx="85">
                  <c:v>0.0522136796885561</c:v>
                </c:pt>
                <c:pt idx="86">
                  <c:v>0.0463399409987092</c:v>
                </c:pt>
                <c:pt idx="87">
                  <c:v>0.0409872560452222</c:v>
                </c:pt>
                <c:pt idx="88">
                  <c:v>0.036129704158981</c:v>
                </c:pt>
                <c:pt idx="89">
                  <c:v>0.0317396518356674</c:v>
                </c:pt>
                <c:pt idx="90">
                  <c:v>0.027788308005509</c:v>
                </c:pt>
                <c:pt idx="91">
                  <c:v>0.0242462311842273</c:v>
                </c:pt>
                <c:pt idx="92">
                  <c:v>0.0210837846656641</c:v>
                </c:pt>
                <c:pt idx="93">
                  <c:v>0.0182715375430242</c:v>
                </c:pt>
                <c:pt idx="94">
                  <c:v>0.0157806108262319</c:v>
                </c:pt>
                <c:pt idx="95">
                  <c:v>0.0135829692336856</c:v>
                </c:pt>
                <c:pt idx="96">
                  <c:v>0.0116516603622553</c:v>
                </c:pt>
                <c:pt idx="97">
                  <c:v>0.00996100387209592</c:v>
                </c:pt>
                <c:pt idx="98">
                  <c:v>0.00848673406223871</c:v>
                </c:pt>
                <c:pt idx="99">
                  <c:v>0.00720609976460923</c:v>
                </c:pt>
                <c:pt idx="100">
                  <c:v>0.00609792585886807</c:v>
                </c:pt>
                <c:pt idx="101">
                  <c:v>0.00514264092305394</c:v>
                </c:pt>
                <c:pt idx="102">
                  <c:v>0.00432227560315059</c:v>
                </c:pt>
                <c:pt idx="103">
                  <c:v>0.00362043622801929</c:v>
                </c:pt>
                <c:pt idx="104">
                  <c:v>0.00302225803519876</c:v>
                </c:pt>
                <c:pt idx="105">
                  <c:v>0.00251434212853329</c:v>
                </c:pt>
                <c:pt idx="106">
                  <c:v>0.0020846799804767</c:v>
                </c:pt>
                <c:pt idx="107">
                  <c:v>0.00172256893905368</c:v>
                </c:pt>
                <c:pt idx="108">
                  <c:v>0.00141852181899834</c:v>
                </c:pt>
                <c:pt idx="109">
                  <c:v>0.00116417326371638</c:v>
                </c:pt>
                <c:pt idx="110">
                  <c:v>0.000952185172456268</c:v>
                </c:pt>
                <c:pt idx="111">
                  <c:v>0.000776153106208909</c:v>
                </c:pt>
                <c:pt idx="112">
                  <c:v>0.000630515224950799</c:v>
                </c:pt>
                <c:pt idx="113">
                  <c:v>0.000510464974344185</c:v>
                </c:pt>
                <c:pt idx="114">
                  <c:v>0.000411868436390583</c:v>
                </c:pt>
                <c:pt idx="115">
                  <c:v>0.000331186988520293</c:v>
                </c:pt>
                <c:pt idx="116">
                  <c:v>0.000265405680380228</c:v>
                </c:pt>
                <c:pt idx="117">
                  <c:v>0.000211967537059855</c:v>
                </c:pt>
                <c:pt idx="118">
                  <c:v>0.000168713830534217</c:v>
                </c:pt>
                <c:pt idx="119">
                  <c:v>0.000133830225764885</c:v>
                </c:pt>
              </c:numCache>
            </c:numRef>
          </c:val>
          <c:smooth val="0"/>
        </c:ser>
        <c:ser>
          <c:idx val="1"/>
          <c:order val="1"/>
          <c:tx>
            <c:v>Cumulative % Capture</c:v>
          </c:tx>
          <c:spPr>
            <a:ln w="28575" cap="rnd">
              <a:solidFill>
                <a:schemeClr val="accent2"/>
              </a:solidFill>
              <a:round/>
            </a:ln>
            <a:effectLst/>
          </c:spPr>
          <c:marker>
            <c:symbol val="none"/>
          </c:marker>
          <c:val>
            <c:numRef>
              <c:f>Gaussian!$D$4:$DS$4</c:f>
              <c:numCache>
                <c:formatCode>_(* #,##0.000000_);_(* \(#,##0.000000\);_(* "-"??_);_(@_)</c:formatCode>
                <c:ptCount val="120"/>
                <c:pt idx="0">
                  <c:v>0.00163225558991018</c:v>
                </c:pt>
                <c:pt idx="1">
                  <c:v>0.00196745405771599</c:v>
                </c:pt>
                <c:pt idx="2">
                  <c:v>0.002364030801703</c:v>
                </c:pt>
                <c:pt idx="3">
                  <c:v>0.00283163141439453</c:v>
                </c:pt>
                <c:pt idx="4">
                  <c:v>0.0033811033443229</c:v>
                </c:pt>
                <c:pt idx="5">
                  <c:v>0.0040245885427583</c:v>
                </c:pt>
                <c:pt idx="6">
                  <c:v>0.0047756132470905</c:v>
                </c:pt>
                <c:pt idx="7">
                  <c:v>0.00564917275556064</c:v>
                </c:pt>
                <c:pt idx="8">
                  <c:v>0.0066618087919827</c:v>
                </c:pt>
                <c:pt idx="9">
                  <c:v>0.00783167682144879</c:v>
                </c:pt>
                <c:pt idx="10">
                  <c:v>0.00917860046880653</c:v>
                </c:pt>
                <c:pt idx="11">
                  <c:v>0.0107241100216758</c:v>
                </c:pt>
                <c:pt idx="12">
                  <c:v>0.0124914618801205</c:v>
                </c:pt>
                <c:pt idx="13">
                  <c:v>0.0145056357570959</c:v>
                </c:pt>
                <c:pt idx="14">
                  <c:v>0.0167933064484488</c:v>
                </c:pt>
                <c:pt idx="15">
                  <c:v>0.0193827870888186</c:v>
                </c:pt>
                <c:pt idx="16">
                  <c:v>0.0223039409993121</c:v>
                </c:pt>
                <c:pt idx="17">
                  <c:v>0.0255880595216386</c:v>
                </c:pt>
                <c:pt idx="18">
                  <c:v>0.0292677036265981</c:v>
                </c:pt>
                <c:pt idx="19">
                  <c:v>0.0333765075848172</c:v>
                </c:pt>
                <c:pt idx="20">
                  <c:v>0.0379489435936891</c:v>
                </c:pt>
                <c:pt idx="21">
                  <c:v>0.0430200469623144</c:v>
                </c:pt>
                <c:pt idx="22">
                  <c:v>0.0486251022578069</c:v>
                </c:pt>
                <c:pt idx="23">
                  <c:v>0.054799291699558</c:v>
                </c:pt>
                <c:pt idx="24">
                  <c:v>0.0615773080369094</c:v>
                </c:pt>
                <c:pt idx="25">
                  <c:v>0.0689929351402273</c:v>
                </c:pt>
                <c:pt idx="26">
                  <c:v>0.0770786005520719</c:v>
                </c:pt>
                <c:pt idx="27">
                  <c:v>0.0858649052573558</c:v>
                </c:pt>
                <c:pt idx="28">
                  <c:v>0.0953801369099128</c:v>
                </c:pt>
                <c:pt idx="29">
                  <c:v>0.105649773666855</c:v>
                </c:pt>
                <c:pt idx="30">
                  <c:v>0.116695986599837</c:v>
                </c:pt>
                <c:pt idx="31">
                  <c:v>0.128537149342415</c:v>
                </c:pt>
                <c:pt idx="32">
                  <c:v>0.141187364165129</c:v>
                </c:pt>
                <c:pt idx="33">
                  <c:v>0.154656014017224</c:v>
                </c:pt>
                <c:pt idx="34">
                  <c:v>0.168947350212405</c:v>
                </c:pt>
                <c:pt idx="35">
                  <c:v>0.184060125346759</c:v>
                </c:pt>
                <c:pt idx="36">
                  <c:v>0.199987280707006</c:v>
                </c:pt>
                <c:pt idx="37">
                  <c:v>0.216715696850163</c:v>
                </c:pt>
                <c:pt idx="38">
                  <c:v>0.234226015212695</c:v>
                </c:pt>
                <c:pt idx="39">
                  <c:v>0.252492537546923</c:v>
                </c:pt>
                <c:pt idx="40">
                  <c:v>0.271483208701787</c:v>
                </c:pt>
                <c:pt idx="41">
                  <c:v>0.291159686788346</c:v>
                </c:pt>
                <c:pt idx="42">
                  <c:v>0.311477503129503</c:v>
                </c:pt>
                <c:pt idx="43">
                  <c:v>0.332386312626675</c:v>
                </c:pt>
                <c:pt idx="44">
                  <c:v>0.353830233327276</c:v>
                </c:pt>
                <c:pt idx="45">
                  <c:v>0.375748272093988</c:v>
                </c:pt>
                <c:pt idx="46">
                  <c:v>0.398074831410537</c:v>
                </c:pt>
                <c:pt idx="47">
                  <c:v>0.420740290560897</c:v>
                </c:pt>
                <c:pt idx="48">
                  <c:v>0.443671652740448</c:v>
                </c:pt>
                <c:pt idx="49">
                  <c:v>0.466793248147378</c:v>
                </c:pt>
                <c:pt idx="50">
                  <c:v>0.490027481804762</c:v>
                </c:pt>
                <c:pt idx="51">
                  <c:v>0.513295613817092</c:v>
                </c:pt>
                <c:pt idx="52">
                  <c:v>0.536518559000844</c:v>
                </c:pt>
                <c:pt idx="53">
                  <c:v>0.559617692370242</c:v>
                </c:pt>
                <c:pt idx="54">
                  <c:v>0.582515646820523</c:v>
                </c:pt>
                <c:pt idx="55">
                  <c:v>0.605137089535975</c:v>
                </c:pt>
                <c:pt idx="56">
                  <c:v>0.627409464153284</c:v>
                </c:pt>
                <c:pt idx="57">
                  <c:v>0.649263686516781</c:v>
                </c:pt>
                <c:pt idx="58">
                  <c:v>0.670634782946927</c:v>
                </c:pt>
                <c:pt idx="59">
                  <c:v>0.691462461274013</c:v>
                </c:pt>
                <c:pt idx="60">
                  <c:v>0.711691606426213</c:v>
                </c:pt>
                <c:pt idx="61">
                  <c:v>0.73127269405956</c:v>
                </c:pt>
                <c:pt idx="62">
                  <c:v>0.750162117528223</c:v>
                </c:pt>
                <c:pt idx="63">
                  <c:v>0.768322425365202</c:v>
                </c:pt>
                <c:pt idx="64">
                  <c:v>0.78572246832469</c:v>
                </c:pt>
                <c:pt idx="65">
                  <c:v>0.802337456877308</c:v>
                </c:pt>
                <c:pt idx="66">
                  <c:v>0.818148931800769</c:v>
                </c:pt>
                <c:pt idx="67">
                  <c:v>0.833144652128217</c:v>
                </c:pt>
                <c:pt idx="68">
                  <c:v>0.84731840616689</c:v>
                </c:pt>
                <c:pt idx="69">
                  <c:v>0.860669752550378</c:v>
                </c:pt>
                <c:pt idx="70">
                  <c:v>0.873203699314897</c:v>
                </c:pt>
                <c:pt idx="71">
                  <c:v>0.884930329778292</c:v>
                </c:pt>
                <c:pt idx="72">
                  <c:v>0.895864384542109</c:v>
                </c:pt>
                <c:pt idx="73">
                  <c:v>0.906024809232153</c:v>
                </c:pt>
                <c:pt idx="74">
                  <c:v>0.915434277648664</c:v>
                </c:pt>
                <c:pt idx="75">
                  <c:v>0.924118699827742</c:v>
                </c:pt>
                <c:pt idx="76">
                  <c:v>0.932106724140268</c:v>
                </c:pt>
                <c:pt idx="77">
                  <c:v>0.939429241997941</c:v>
                </c:pt>
                <c:pt idx="78">
                  <c:v>0.946118903025797</c:v>
                </c:pt>
                <c:pt idx="79">
                  <c:v>0.952209647727185</c:v>
                </c:pt>
                <c:pt idx="80">
                  <c:v>0.957736263742048</c:v>
                </c:pt>
                <c:pt idx="81">
                  <c:v>0.962733970814158</c:v>
                </c:pt>
                <c:pt idx="82">
                  <c:v>0.967238038568391</c:v>
                </c:pt>
                <c:pt idx="83">
                  <c:v>0.971283440183998</c:v>
                </c:pt>
                <c:pt idx="84">
                  <c:v>0.974904544060485</c:v>
                </c:pt>
                <c:pt idx="85">
                  <c:v>0.97813484463207</c:v>
                </c:pt>
                <c:pt idx="86">
                  <c:v>0.981006732614261</c:v>
                </c:pt>
                <c:pt idx="87">
                  <c:v>0.983551304177255</c:v>
                </c:pt>
                <c:pt idx="88">
                  <c:v>0.985798207847156</c:v>
                </c:pt>
                <c:pt idx="89">
                  <c:v>0.987775527344955</c:v>
                </c:pt>
                <c:pt idx="90">
                  <c:v>0.989509698088443</c:v>
                </c:pt>
                <c:pt idx="91">
                  <c:v>0.991025454704217</c:v>
                </c:pt>
                <c:pt idx="92">
                  <c:v>0.992345806622627</c:v>
                </c:pt>
                <c:pt idx="93">
                  <c:v>0.993492038652647</c:v>
                </c:pt>
                <c:pt idx="94">
                  <c:v>0.994483733348507</c:v>
                </c:pt>
                <c:pt idx="95">
                  <c:v>0.995338811976281</c:v>
                </c:pt>
                <c:pt idx="96">
                  <c:v>0.996073590956148</c:v>
                </c:pt>
                <c:pt idx="97">
                  <c:v>0.996702850783542</c:v>
                </c:pt>
                <c:pt idx="98">
                  <c:v>0.997239914608737</c:v>
                </c:pt>
                <c:pt idx="99">
                  <c:v>0.997696733868304</c:v>
                </c:pt>
                <c:pt idx="100">
                  <c:v>0.998083978602758</c:v>
                </c:pt>
                <c:pt idx="101">
                  <c:v>0.998411130352635</c:v>
                </c:pt>
                <c:pt idx="102">
                  <c:v>0.998686575791244</c:v>
                </c:pt>
                <c:pt idx="103">
                  <c:v>0.998917699518607</c:v>
                </c:pt>
                <c:pt idx="104">
                  <c:v>0.999110974700892</c:v>
                </c:pt>
                <c:pt idx="105">
                  <c:v>0.999272050487534</c:v>
                </c:pt>
                <c:pt idx="106">
                  <c:v>0.999405835369896</c:v>
                </c:pt>
                <c:pt idx="107">
                  <c:v>0.999516575857616</c:v>
                </c:pt>
                <c:pt idx="108">
                  <c:v>0.999607930039634</c:v>
                </c:pt>
                <c:pt idx="109">
                  <c:v>0.99968303576508</c:v>
                </c:pt>
                <c:pt idx="110">
                  <c:v>0.999744573324471</c:v>
                </c:pt>
                <c:pt idx="111">
                  <c:v>0.999794822634295</c:v>
                </c:pt>
                <c:pt idx="112">
                  <c:v>0.999835715029063</c:v>
                </c:pt>
                <c:pt idx="113">
                  <c:v>0.999868879845579</c:v>
                </c:pt>
                <c:pt idx="114">
                  <c:v>0.999895686046198</c:v>
                </c:pt>
                <c:pt idx="115">
                  <c:v>0.999917279173174</c:v>
                </c:pt>
                <c:pt idx="116">
                  <c:v>0.999934613956757</c:v>
                </c:pt>
                <c:pt idx="117">
                  <c:v>0.999948482917533</c:v>
                </c:pt>
                <c:pt idx="118">
                  <c:v>0.999959541310684</c:v>
                </c:pt>
                <c:pt idx="119">
                  <c:v>0.999968328758167</c:v>
                </c:pt>
              </c:numCache>
            </c:numRef>
          </c:val>
          <c:smooth val="0"/>
        </c:ser>
        <c:dLbls>
          <c:showLegendKey val="0"/>
          <c:showVal val="0"/>
          <c:showCatName val="0"/>
          <c:showSerName val="0"/>
          <c:showPercent val="0"/>
          <c:showBubbleSize val="0"/>
        </c:dLbls>
        <c:smooth val="0"/>
        <c:axId val="2134910736"/>
        <c:axId val="2134907392"/>
      </c:lineChart>
      <c:catAx>
        <c:axId val="213491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907392"/>
        <c:crosses val="autoZero"/>
        <c:auto val="1"/>
        <c:lblAlgn val="ctr"/>
        <c:lblOffset val="100"/>
        <c:noMultiLvlLbl val="0"/>
      </c:catAx>
      <c:valAx>
        <c:axId val="2134907392"/>
        <c:scaling>
          <c:orientation val="minMax"/>
        </c:scaling>
        <c:delete val="0"/>
        <c:axPos val="l"/>
        <c:majorGridlines>
          <c:spPr>
            <a:ln w="9525" cap="flat" cmpd="sng" algn="ctr">
              <a:solidFill>
                <a:schemeClr val="tx1">
                  <a:lumMod val="15000"/>
                  <a:lumOff val="85000"/>
                </a:schemeClr>
              </a:solidFill>
              <a:round/>
            </a:ln>
            <a:effectLst/>
          </c:spPr>
        </c:majorGridlines>
        <c:numFmt formatCode="_(* #,##0.000000_);_(* \(#,##0.000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910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390523</xdr:colOff>
      <xdr:row>15</xdr:row>
      <xdr:rowOff>47624</xdr:rowOff>
    </xdr:from>
    <xdr:to>
      <xdr:col>15</xdr:col>
      <xdr:colOff>276224</xdr:colOff>
      <xdr:row>30</xdr:row>
      <xdr:rowOff>47625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15</xdr:row>
      <xdr:rowOff>38100</xdr:rowOff>
    </xdr:from>
    <xdr:to>
      <xdr:col>7</xdr:col>
      <xdr:colOff>333375</xdr:colOff>
      <xdr:row>30</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161925</xdr:colOff>
      <xdr:row>0</xdr:row>
      <xdr:rowOff>104775</xdr:rowOff>
    </xdr:from>
    <xdr:to>
      <xdr:col>22</xdr:col>
      <xdr:colOff>466725</xdr:colOff>
      <xdr:row>14</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0</xdr:row>
      <xdr:rowOff>95250</xdr:rowOff>
    </xdr:from>
    <xdr:to>
      <xdr:col>7</xdr:col>
      <xdr:colOff>342900</xdr:colOff>
      <xdr:row>14</xdr:row>
      <xdr:rowOff>171450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400050</xdr:colOff>
      <xdr:row>0</xdr:row>
      <xdr:rowOff>95250</xdr:rowOff>
    </xdr:from>
    <xdr:to>
      <xdr:col>15</xdr:col>
      <xdr:colOff>95250</xdr:colOff>
      <xdr:row>14</xdr:row>
      <xdr:rowOff>171450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104775</xdr:colOff>
      <xdr:row>6</xdr:row>
      <xdr:rowOff>61912</xdr:rowOff>
    </xdr:from>
    <xdr:to>
      <xdr:col>20</xdr:col>
      <xdr:colOff>9525</xdr:colOff>
      <xdr:row>22</xdr:row>
      <xdr:rowOff>157162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142875</xdr:colOff>
      <xdr:row>6</xdr:row>
      <xdr:rowOff>57150</xdr:rowOff>
    </xdr:from>
    <xdr:to>
      <xdr:col>13</xdr:col>
      <xdr:colOff>47625</xdr:colOff>
      <xdr:row>22</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ane/Desktop/C:\Users\shane\Dropbox\Projects\DigiGlobe\Forecast%20-%20DigiGlobe.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ReleaseCost"/>
    </sheetNames>
    <sheetDataSet>
      <sheetData sheetId="0" refreshError="1"/>
    </sheetDataSet>
  </externalBook>
</externalLink>
</file>

<file path=xl/tables/table1.xml><?xml version="1.0" encoding="utf-8"?>
<table xmlns="http://schemas.openxmlformats.org/spreadsheetml/2006/main" id="5" name="Table5" displayName="Table5" ref="A1:B15" totalsRowShown="0">
  <autoFilter ref="A1:B15"/>
  <tableColumns count="2">
    <tableColumn id="1" name="Category" dataDxfId="123">
      <calculatedColumnFormula>Lists!A8</calculatedColumnFormula>
    </tableColumn>
    <tableColumn id="2" name="Total Estimated Costs" dataDxfId="122" dataCellStyle="Currency">
      <calculatedColumnFormula>SUMIFS(BusinessModelAssumptions[Cost],BusinessModelAssumptions[Category],Table5[[#This Row],[Category]],BusinessModelAssumptions[Stage],Prerelease)</calculatedColumnFormula>
    </tableColumn>
  </tableColumns>
  <tableStyleInfo name="TableStyleLight1" showFirstColumn="0" showLastColumn="0" showRowStripes="1" showColumnStripes="0"/>
</table>
</file>

<file path=xl/tables/table2.xml><?xml version="1.0" encoding="utf-8"?>
<table xmlns="http://schemas.openxmlformats.org/spreadsheetml/2006/main" id="2" name="PopulationAssumptions" displayName="PopulationAssumptions" ref="A2:I10" totalsRowShown="0" headerRowDxfId="121">
  <autoFilter ref="A2:I10"/>
  <tableColumns count="9">
    <tableColumn id="1" name="Target Markets" dataDxfId="120"/>
    <tableColumn id="2" name="Total Population of Target Market" dataDxfId="119" dataCellStyle="Comma"/>
    <tableColumn id="3" name="Target Percent of Population" dataDxfId="118" dataCellStyle="Percent"/>
    <tableColumn id="4" name="Average Number of Purchases" dataDxfId="117" dataCellStyle="Comma"/>
    <tableColumn id="5" name="Total Amount of Target Units Sold" dataDxfId="116" dataCellStyle="Comma">
      <calculatedColumnFormula>PopulationAssumptions[[#This Row],[Total Population of Target Market]]*PopulationAssumptions[[#This Row],[Target Percent of Population]]*PopulationAssumptions[[#This Row],[Average Number of Purchases]]</calculatedColumnFormula>
    </tableColumn>
    <tableColumn id="6" name="Price" dataDxfId="115" dataCellStyle="Currency"/>
    <tableColumn id="7" name="Price Trend (Per Year +-)" dataDxfId="114" dataCellStyle="Percent"/>
    <tableColumn id="8" name="Repeat Purchases?" dataDxfId="113"/>
    <tableColumn id="9" name="Retention Rate" dataDxfId="112"/>
  </tableColumns>
  <tableStyleInfo name="TableStyleLight15" showFirstColumn="0" showLastColumn="0" showRowStripes="1" showColumnStripes="0"/>
</table>
</file>

<file path=xl/tables/table3.xml><?xml version="1.0" encoding="utf-8"?>
<table xmlns="http://schemas.openxmlformats.org/spreadsheetml/2006/main" id="3" name="DemandAssumptions" displayName="DemandAssumptions" ref="A13:H15" totalsRowShown="0" headerRowDxfId="111">
  <autoFilter ref="A13:H15"/>
  <tableColumns count="8">
    <tableColumn id="1" name="Column1" dataDxfId="110"/>
    <tableColumn id="2" name="1st Six Months_x000a_Prior to Lunch"/>
    <tableColumn id="3" name="Year 1_x000a_1st Six Months"/>
    <tableColumn id="4" name="Year 1_x000a_2nd Six Months"/>
    <tableColumn id="5" name="Year 2_x000a_1st Six Months"/>
    <tableColumn id="6" name="Year 2_x000a_2nd Six Months"/>
    <tableColumn id="7" name="Year 3_x000a_1st Six Months"/>
    <tableColumn id="8" name="Year 3_x000a_2nd Six Months"/>
  </tableColumns>
  <tableStyleInfo name="TableStyleLight15" showFirstColumn="0" showLastColumn="0" showRowStripes="1" showColumnStripes="0"/>
</table>
</file>

<file path=xl/tables/table4.xml><?xml version="1.0" encoding="utf-8"?>
<table xmlns="http://schemas.openxmlformats.org/spreadsheetml/2006/main" id="4" name="BusinessModelAssumptions" displayName="BusinessModelAssumptions" ref="A1:I7" totalsRowShown="0" headerRowDxfId="109" dataDxfId="108">
  <autoFilter ref="A1:I7"/>
  <tableColumns count="9">
    <tableColumn id="1" name="Descrtipion" dataDxfId="107"/>
    <tableColumn id="2" name="Stage" dataDxfId="106"/>
    <tableColumn id="3" name="Category" dataDxfId="105"/>
    <tableColumn id="4" name="Notes" dataDxfId="104"/>
    <tableColumn id="8" name="Cost" dataDxfId="103"/>
    <tableColumn id="12" name="Post-Cost Type" dataDxfId="102"/>
    <tableColumn id="9" name="Certainty" dataDxfId="101"/>
    <tableColumn id="10" name="Uncertainty Value" dataDxfId="100" dataCellStyle="Percent">
      <calculatedColumnFormula>VLOOKUP(BusinessModelAssumptions[[#This Row],[Certainty]],UncertaintyLookupTable,2,FALSE)</calculatedColumnFormula>
    </tableColumn>
    <tableColumn id="11" name="Uncertainty Weight" dataDxfId="99" dataCellStyle="Percent">
      <calculatedColumnFormula>BusinessModelAssumptions[[#This Row],[Uncertainty Value]]*ABS(BusinessModelAssumptions[[#This Row],[Cost]])</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4" Type="http://schemas.openxmlformats.org/officeDocument/2006/relationships/table" Target="../tables/table3.xml"/><Relationship Id="rId5" Type="http://schemas.openxmlformats.org/officeDocument/2006/relationships/comments" Target="../comments1.xml"/><Relationship Id="rId1" Type="http://schemas.openxmlformats.org/officeDocument/2006/relationships/printerSettings" Target="../printerSettings/printerSettings3.bin"/><Relationship Id="rId2"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1" sqref="A21"/>
    </sheetView>
  </sheetViews>
  <sheetFormatPr baseColWidth="10" defaultColWidth="8.83203125" defaultRowHeight="15" x14ac:dyDescent="0.2"/>
  <cols>
    <col min="1" max="1" width="146.33203125" style="2" customWidth="1"/>
    <col min="2" max="16384" width="8.83203125" style="2"/>
  </cols>
  <sheetData>
    <row r="1" spans="1:1" ht="112.5" customHeight="1" x14ac:dyDescent="0.2">
      <c r="A1" s="3" t="s">
        <v>211</v>
      </c>
    </row>
  </sheetData>
  <sheetProtection sheet="1" objects="1" scenarios="1"/>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workbookViewId="0"/>
  </sheetViews>
  <sheetFormatPr baseColWidth="10" defaultColWidth="8.83203125" defaultRowHeight="15" x14ac:dyDescent="0.2"/>
  <cols>
    <col min="1" max="1" width="27.5" bestFit="1" customWidth="1"/>
  </cols>
  <sheetData>
    <row r="1" spans="1:1" x14ac:dyDescent="0.2">
      <c r="A1" s="131" t="s">
        <v>56</v>
      </c>
    </row>
    <row r="2" spans="1:1" x14ac:dyDescent="0.2">
      <c r="A2" t="s">
        <v>35</v>
      </c>
    </row>
    <row r="3" spans="1:1" x14ac:dyDescent="0.2">
      <c r="A3" t="s">
        <v>36</v>
      </c>
    </row>
    <row r="4" spans="1:1" x14ac:dyDescent="0.2">
      <c r="A4" t="s">
        <v>55</v>
      </c>
    </row>
    <row r="5" spans="1:1" x14ac:dyDescent="0.2">
      <c r="A5" t="s">
        <v>37</v>
      </c>
    </row>
    <row r="7" spans="1:1" x14ac:dyDescent="0.2">
      <c r="A7" s="131" t="s">
        <v>57</v>
      </c>
    </row>
    <row r="8" spans="1:1" x14ac:dyDescent="0.2">
      <c r="A8" t="s">
        <v>62</v>
      </c>
    </row>
    <row r="9" spans="1:1" x14ac:dyDescent="0.2">
      <c r="A9" t="s">
        <v>64</v>
      </c>
    </row>
    <row r="10" spans="1:1" x14ac:dyDescent="0.2">
      <c r="A10" t="s">
        <v>58</v>
      </c>
    </row>
    <row r="11" spans="1:1" x14ac:dyDescent="0.2">
      <c r="A11" t="s">
        <v>59</v>
      </c>
    </row>
    <row r="12" spans="1:1" x14ac:dyDescent="0.2">
      <c r="A12" t="s">
        <v>60</v>
      </c>
    </row>
    <row r="13" spans="1:1" x14ac:dyDescent="0.2">
      <c r="A13" t="s">
        <v>61</v>
      </c>
    </row>
    <row r="14" spans="1:1" x14ac:dyDescent="0.2">
      <c r="A14" t="s">
        <v>63</v>
      </c>
    </row>
    <row r="15" spans="1:1" x14ac:dyDescent="0.2">
      <c r="A15" t="s">
        <v>89</v>
      </c>
    </row>
    <row r="16" spans="1:1" x14ac:dyDescent="0.2">
      <c r="A16" t="s">
        <v>90</v>
      </c>
    </row>
    <row r="17" spans="1:1" x14ac:dyDescent="0.2">
      <c r="A17" t="s">
        <v>65</v>
      </c>
    </row>
    <row r="18" spans="1:1" x14ac:dyDescent="0.2">
      <c r="A18" t="s">
        <v>6</v>
      </c>
    </row>
    <row r="19" spans="1:1" x14ac:dyDescent="0.2">
      <c r="A19" t="s">
        <v>6</v>
      </c>
    </row>
    <row r="20" spans="1:1" x14ac:dyDescent="0.2">
      <c r="A20" t="s">
        <v>6</v>
      </c>
    </row>
    <row r="21" spans="1:1" x14ac:dyDescent="0.2">
      <c r="A21" t="s">
        <v>6</v>
      </c>
    </row>
    <row r="23" spans="1:1" x14ac:dyDescent="0.2">
      <c r="A23" s="131" t="s">
        <v>53</v>
      </c>
    </row>
    <row r="24" spans="1:1" x14ac:dyDescent="0.2">
      <c r="A24" t="s">
        <v>66</v>
      </c>
    </row>
    <row r="25" spans="1:1" x14ac:dyDescent="0.2">
      <c r="A25" t="s">
        <v>67</v>
      </c>
    </row>
    <row r="27" spans="1:1" x14ac:dyDescent="0.2">
      <c r="A27" s="131" t="s">
        <v>68</v>
      </c>
    </row>
    <row r="28" spans="1:1" x14ac:dyDescent="0.2">
      <c r="A28" t="s">
        <v>115</v>
      </c>
    </row>
    <row r="29" spans="1:1" x14ac:dyDescent="0.2">
      <c r="A29" t="s">
        <v>112</v>
      </c>
    </row>
    <row r="30" spans="1:1" x14ac:dyDescent="0.2">
      <c r="A30" t="s">
        <v>114</v>
      </c>
    </row>
    <row r="31" spans="1:1" x14ac:dyDescent="0.2">
      <c r="A31" t="s">
        <v>110</v>
      </c>
    </row>
    <row r="33" spans="1:5" x14ac:dyDescent="0.2">
      <c r="A33" s="131" t="s">
        <v>70</v>
      </c>
      <c r="E33" s="6">
        <v>0.95</v>
      </c>
    </row>
    <row r="34" spans="1:5" x14ac:dyDescent="0.2">
      <c r="A34" t="s">
        <v>71</v>
      </c>
      <c r="B34" s="6">
        <v>0.95</v>
      </c>
      <c r="C34" s="6">
        <v>0.2</v>
      </c>
      <c r="D34" s="4">
        <f>(B34-B39)/(C34-C39)</f>
        <v>5.9999999999999982</v>
      </c>
      <c r="E34" s="32">
        <f>((E33-MinimumUncertainty)/UncertaintyInterval)+MinimumUncertainty</f>
        <v>0.2</v>
      </c>
    </row>
    <row r="35" spans="1:5" x14ac:dyDescent="0.2">
      <c r="A35" t="s">
        <v>72</v>
      </c>
      <c r="B35" s="6">
        <v>0.75</v>
      </c>
      <c r="C35" s="6"/>
    </row>
    <row r="36" spans="1:5" x14ac:dyDescent="0.2">
      <c r="A36" t="s">
        <v>73</v>
      </c>
      <c r="B36" s="6">
        <v>0.5</v>
      </c>
      <c r="C36" s="6"/>
    </row>
    <row r="37" spans="1:5" x14ac:dyDescent="0.2">
      <c r="A37" t="s">
        <v>74</v>
      </c>
      <c r="B37" s="6">
        <v>0.3</v>
      </c>
      <c r="C37" s="6"/>
    </row>
    <row r="38" spans="1:5" x14ac:dyDescent="0.2">
      <c r="A38" t="s">
        <v>75</v>
      </c>
      <c r="B38" s="6">
        <v>0.15</v>
      </c>
      <c r="C38" s="6"/>
    </row>
    <row r="39" spans="1:5" x14ac:dyDescent="0.2">
      <c r="A39" t="s">
        <v>76</v>
      </c>
      <c r="B39" s="6">
        <v>0.05</v>
      </c>
      <c r="C39" s="6">
        <v>0.05</v>
      </c>
    </row>
    <row r="41" spans="1:5" x14ac:dyDescent="0.2">
      <c r="A41" s="131" t="s">
        <v>153</v>
      </c>
    </row>
    <row r="42" spans="1:5" x14ac:dyDescent="0.2">
      <c r="A42" t="s">
        <v>154</v>
      </c>
      <c r="B42" s="6">
        <v>1.5</v>
      </c>
    </row>
    <row r="43" spans="1:5" x14ac:dyDescent="0.2">
      <c r="A43" t="s">
        <v>155</v>
      </c>
      <c r="B43" s="6">
        <v>1.25</v>
      </c>
    </row>
    <row r="44" spans="1:5" x14ac:dyDescent="0.2">
      <c r="A44" t="s">
        <v>156</v>
      </c>
      <c r="B44" s="6">
        <v>1</v>
      </c>
    </row>
    <row r="45" spans="1:5" x14ac:dyDescent="0.2">
      <c r="A45" t="s">
        <v>159</v>
      </c>
      <c r="B45" s="6">
        <v>0.75</v>
      </c>
    </row>
    <row r="46" spans="1:5" x14ac:dyDescent="0.2">
      <c r="A46" t="s">
        <v>157</v>
      </c>
      <c r="B46" s="6">
        <v>0.5</v>
      </c>
    </row>
    <row r="48" spans="1:5" x14ac:dyDescent="0.2">
      <c r="A48" s="131" t="s">
        <v>187</v>
      </c>
    </row>
    <row r="49" spans="1:2" x14ac:dyDescent="0.2">
      <c r="A49" t="s">
        <v>182</v>
      </c>
      <c r="B49" s="5">
        <v>2</v>
      </c>
    </row>
    <row r="50" spans="1:2" x14ac:dyDescent="0.2">
      <c r="A50" t="s">
        <v>183</v>
      </c>
      <c r="B50" s="5">
        <v>1</v>
      </c>
    </row>
    <row r="51" spans="1:2" x14ac:dyDescent="0.2">
      <c r="A51" t="s">
        <v>184</v>
      </c>
      <c r="B51" s="5">
        <v>0</v>
      </c>
    </row>
    <row r="52" spans="1:2" x14ac:dyDescent="0.2">
      <c r="A52" t="s">
        <v>185</v>
      </c>
      <c r="B52" s="5">
        <v>-1</v>
      </c>
    </row>
    <row r="53" spans="1:2" x14ac:dyDescent="0.2">
      <c r="A53" t="s">
        <v>186</v>
      </c>
      <c r="B53" s="5">
        <v>-2</v>
      </c>
    </row>
  </sheetData>
  <sheetProtection sheet="1" objects="1" scenarios="1" formatCells="0" formatColumns="0" formatRows="0"/>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W147"/>
  <sheetViews>
    <sheetView workbookViewId="0"/>
  </sheetViews>
  <sheetFormatPr baseColWidth="10" defaultColWidth="8.83203125" defaultRowHeight="15" x14ac:dyDescent="0.2"/>
  <cols>
    <col min="1" max="1" width="9.33203125" style="19" bestFit="1" customWidth="1"/>
    <col min="2" max="10" width="4.5" bestFit="1" customWidth="1"/>
    <col min="11" max="37" width="5.1640625" bestFit="1" customWidth="1"/>
    <col min="39" max="39" width="9.5" bestFit="1" customWidth="1"/>
    <col min="40" max="48" width="4.5" bestFit="1" customWidth="1"/>
    <col min="49" max="75" width="5.33203125" bestFit="1" customWidth="1"/>
  </cols>
  <sheetData>
    <row r="1" spans="1:75" x14ac:dyDescent="0.2">
      <c r="A1" s="56" t="s">
        <v>49</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75" s="19" customFormat="1" x14ac:dyDescent="0.2">
      <c r="B2" s="42">
        <v>1</v>
      </c>
      <c r="C2" s="42">
        <v>2</v>
      </c>
      <c r="D2" s="42">
        <v>3</v>
      </c>
      <c r="E2" s="42">
        <v>4</v>
      </c>
      <c r="F2" s="42">
        <v>5</v>
      </c>
      <c r="G2" s="42">
        <v>6</v>
      </c>
      <c r="H2" s="42">
        <v>7</v>
      </c>
      <c r="I2" s="42">
        <v>8</v>
      </c>
      <c r="J2" s="42">
        <v>9</v>
      </c>
      <c r="K2" s="42">
        <v>10</v>
      </c>
      <c r="L2" s="42">
        <v>11</v>
      </c>
      <c r="M2" s="42">
        <v>12</v>
      </c>
      <c r="N2" s="42">
        <v>13</v>
      </c>
      <c r="O2" s="42">
        <v>14</v>
      </c>
      <c r="P2" s="42">
        <v>15</v>
      </c>
      <c r="Q2" s="42">
        <v>16</v>
      </c>
      <c r="R2" s="42">
        <v>17</v>
      </c>
      <c r="S2" s="42">
        <v>18</v>
      </c>
      <c r="T2" s="42">
        <v>19</v>
      </c>
      <c r="U2" s="42">
        <v>20</v>
      </c>
      <c r="V2" s="42">
        <v>21</v>
      </c>
      <c r="W2" s="42">
        <v>22</v>
      </c>
      <c r="X2" s="42">
        <v>23</v>
      </c>
      <c r="Y2" s="42">
        <v>24</v>
      </c>
      <c r="Z2" s="42">
        <v>25</v>
      </c>
      <c r="AA2" s="42">
        <v>26</v>
      </c>
      <c r="AB2" s="42">
        <v>27</v>
      </c>
      <c r="AC2" s="42">
        <v>28</v>
      </c>
      <c r="AD2" s="42">
        <v>29</v>
      </c>
      <c r="AE2" s="42">
        <v>30</v>
      </c>
      <c r="AF2" s="42">
        <v>31</v>
      </c>
      <c r="AG2" s="42">
        <v>32</v>
      </c>
      <c r="AH2" s="42">
        <v>33</v>
      </c>
      <c r="AI2" s="42">
        <v>34</v>
      </c>
      <c r="AJ2" s="42">
        <v>35</v>
      </c>
      <c r="AK2" s="42">
        <v>36</v>
      </c>
      <c r="AN2" s="42">
        <v>1</v>
      </c>
      <c r="AO2" s="42">
        <v>2</v>
      </c>
      <c r="AP2" s="42">
        <v>3</v>
      </c>
      <c r="AQ2" s="42">
        <v>4</v>
      </c>
      <c r="AR2" s="42">
        <v>5</v>
      </c>
      <c r="AS2" s="42">
        <v>6</v>
      </c>
      <c r="AT2" s="42">
        <v>7</v>
      </c>
      <c r="AU2" s="42">
        <v>8</v>
      </c>
      <c r="AV2" s="42">
        <v>9</v>
      </c>
      <c r="AW2" s="42">
        <v>10</v>
      </c>
      <c r="AX2" s="42">
        <v>11</v>
      </c>
      <c r="AY2" s="42">
        <v>12</v>
      </c>
      <c r="AZ2" s="42">
        <v>13</v>
      </c>
      <c r="BA2" s="42">
        <v>14</v>
      </c>
      <c r="BB2" s="42">
        <v>15</v>
      </c>
      <c r="BC2" s="42">
        <v>16</v>
      </c>
      <c r="BD2" s="42">
        <v>17</v>
      </c>
      <c r="BE2" s="42">
        <v>18</v>
      </c>
      <c r="BF2" s="42">
        <v>19</v>
      </c>
      <c r="BG2" s="42">
        <v>20</v>
      </c>
      <c r="BH2" s="42">
        <v>21</v>
      </c>
      <c r="BI2" s="42">
        <v>22</v>
      </c>
      <c r="BJ2" s="42">
        <v>23</v>
      </c>
      <c r="BK2" s="42">
        <v>24</v>
      </c>
      <c r="BL2" s="42">
        <v>25</v>
      </c>
      <c r="BM2" s="42">
        <v>26</v>
      </c>
      <c r="BN2" s="42">
        <v>27</v>
      </c>
      <c r="BO2" s="42">
        <v>28</v>
      </c>
      <c r="BP2" s="42">
        <v>29</v>
      </c>
      <c r="BQ2" s="42">
        <v>30</v>
      </c>
      <c r="BR2" s="42">
        <v>31</v>
      </c>
      <c r="BS2" s="42">
        <v>32</v>
      </c>
      <c r="BT2" s="42">
        <v>33</v>
      </c>
      <c r="BU2" s="42">
        <v>34</v>
      </c>
      <c r="BV2" s="42">
        <v>35</v>
      </c>
      <c r="BW2" s="42">
        <v>36</v>
      </c>
    </row>
    <row r="3" spans="1:75" x14ac:dyDescent="0.2">
      <c r="A3" s="43">
        <v>1</v>
      </c>
      <c r="B3" s="41">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M3" s="43">
        <v>1</v>
      </c>
      <c r="AN3" s="41">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row>
    <row r="4" spans="1:75" x14ac:dyDescent="0.2">
      <c r="A4" s="43">
        <v>2</v>
      </c>
      <c r="B4" s="31">
        <f t="shared" ref="B4:B38" si="0">POWER(Retention1,$A4-1)</f>
        <v>0.9</v>
      </c>
      <c r="C4" s="41">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M4" s="43">
        <v>2</v>
      </c>
      <c r="AN4" s="31">
        <f t="shared" ref="AN4:AN38" si="1">POWER(Retention2,$A4-1)</f>
        <v>0.9</v>
      </c>
      <c r="AO4" s="41">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row>
    <row r="5" spans="1:75" x14ac:dyDescent="0.2">
      <c r="A5" s="43">
        <v>3</v>
      </c>
      <c r="B5" s="31">
        <f t="shared" si="0"/>
        <v>0.81</v>
      </c>
      <c r="C5" s="31">
        <f t="shared" ref="C5:C38" si="2">POWER(Retention1,$A4-1)</f>
        <v>0.9</v>
      </c>
      <c r="D5" s="41">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M5" s="43">
        <v>3</v>
      </c>
      <c r="AN5" s="31">
        <f t="shared" si="1"/>
        <v>0.81</v>
      </c>
      <c r="AO5" s="31">
        <f t="shared" ref="AO5:AO38" si="3">POWER(Retention2,$A4-1)</f>
        <v>0.9</v>
      </c>
      <c r="AP5" s="41">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row>
    <row r="6" spans="1:75" x14ac:dyDescent="0.2">
      <c r="A6" s="43">
        <v>4</v>
      </c>
      <c r="B6" s="31">
        <f t="shared" si="0"/>
        <v>0.72900000000000009</v>
      </c>
      <c r="C6" s="31">
        <f t="shared" si="2"/>
        <v>0.81</v>
      </c>
      <c r="D6" s="31">
        <f t="shared" ref="D6:D38" si="4">POWER(Retention1,$A4-1)</f>
        <v>0.9</v>
      </c>
      <c r="E6" s="41">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M6" s="43">
        <v>4</v>
      </c>
      <c r="AN6" s="31">
        <f t="shared" si="1"/>
        <v>0.72900000000000009</v>
      </c>
      <c r="AO6" s="31">
        <f t="shared" si="3"/>
        <v>0.81</v>
      </c>
      <c r="AP6" s="31">
        <f t="shared" ref="AP6:AP38" si="5">POWER(Retention2,$A4-1)</f>
        <v>0.9</v>
      </c>
      <c r="AQ6" s="41">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row>
    <row r="7" spans="1:75" x14ac:dyDescent="0.2">
      <c r="A7" s="43">
        <v>5</v>
      </c>
      <c r="B7" s="31">
        <f t="shared" si="0"/>
        <v>0.65610000000000013</v>
      </c>
      <c r="C7" s="31">
        <f t="shared" si="2"/>
        <v>0.72900000000000009</v>
      </c>
      <c r="D7" s="31">
        <f t="shared" si="4"/>
        <v>0.81</v>
      </c>
      <c r="E7" s="31">
        <f t="shared" ref="E7:E38" si="6">POWER(Retention1,$A4-1)</f>
        <v>0.9</v>
      </c>
      <c r="F7" s="41">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M7" s="43">
        <v>5</v>
      </c>
      <c r="AN7" s="31">
        <f t="shared" si="1"/>
        <v>0.65610000000000013</v>
      </c>
      <c r="AO7" s="31">
        <f t="shared" si="3"/>
        <v>0.72900000000000009</v>
      </c>
      <c r="AP7" s="31">
        <f t="shared" si="5"/>
        <v>0.81</v>
      </c>
      <c r="AQ7" s="31">
        <f t="shared" ref="AQ7:AQ38" si="7">POWER(Retention2,$A4-1)</f>
        <v>0.9</v>
      </c>
      <c r="AR7" s="41">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row>
    <row r="8" spans="1:75" x14ac:dyDescent="0.2">
      <c r="A8" s="43">
        <v>6</v>
      </c>
      <c r="B8" s="31">
        <f t="shared" si="0"/>
        <v>0.59049000000000018</v>
      </c>
      <c r="C8" s="31">
        <f t="shared" si="2"/>
        <v>0.65610000000000013</v>
      </c>
      <c r="D8" s="31">
        <f t="shared" si="4"/>
        <v>0.72900000000000009</v>
      </c>
      <c r="E8" s="31">
        <f t="shared" si="6"/>
        <v>0.81</v>
      </c>
      <c r="F8" s="31">
        <f t="shared" ref="F8:F38" si="8">POWER(Retention1,$A4-1)</f>
        <v>0.9</v>
      </c>
      <c r="G8" s="41">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M8" s="43">
        <v>6</v>
      </c>
      <c r="AN8" s="31">
        <f t="shared" si="1"/>
        <v>0.59049000000000018</v>
      </c>
      <c r="AO8" s="31">
        <f t="shared" si="3"/>
        <v>0.65610000000000013</v>
      </c>
      <c r="AP8" s="31">
        <f t="shared" si="5"/>
        <v>0.72900000000000009</v>
      </c>
      <c r="AQ8" s="31">
        <f t="shared" si="7"/>
        <v>0.81</v>
      </c>
      <c r="AR8" s="31">
        <f t="shared" ref="AR8:AR38" si="9">POWER(Retention2,$A4-1)</f>
        <v>0.9</v>
      </c>
      <c r="AS8" s="41">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row>
    <row r="9" spans="1:75" x14ac:dyDescent="0.2">
      <c r="A9" s="43">
        <v>7</v>
      </c>
      <c r="B9" s="31">
        <f t="shared" si="0"/>
        <v>0.53144100000000016</v>
      </c>
      <c r="C9" s="31">
        <f t="shared" si="2"/>
        <v>0.59049000000000018</v>
      </c>
      <c r="D9" s="31">
        <f t="shared" si="4"/>
        <v>0.65610000000000013</v>
      </c>
      <c r="E9" s="31">
        <f t="shared" si="6"/>
        <v>0.72900000000000009</v>
      </c>
      <c r="F9" s="31">
        <f t="shared" si="8"/>
        <v>0.81</v>
      </c>
      <c r="G9" s="31">
        <f t="shared" ref="G9:G38" si="10">POWER(Retention1,$A4-1)</f>
        <v>0.9</v>
      </c>
      <c r="H9" s="41">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M9" s="43">
        <v>7</v>
      </c>
      <c r="AN9" s="31">
        <f t="shared" si="1"/>
        <v>0.53144100000000016</v>
      </c>
      <c r="AO9" s="31">
        <f t="shared" si="3"/>
        <v>0.59049000000000018</v>
      </c>
      <c r="AP9" s="31">
        <f t="shared" si="5"/>
        <v>0.65610000000000013</v>
      </c>
      <c r="AQ9" s="31">
        <f t="shared" si="7"/>
        <v>0.72900000000000009</v>
      </c>
      <c r="AR9" s="31">
        <f t="shared" si="9"/>
        <v>0.81</v>
      </c>
      <c r="AS9" s="31">
        <f t="shared" ref="AS9:AS38" si="11">POWER(Retention2,$A4-1)</f>
        <v>0.9</v>
      </c>
      <c r="AT9" s="41">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row>
    <row r="10" spans="1:75" x14ac:dyDescent="0.2">
      <c r="A10" s="43">
        <v>8</v>
      </c>
      <c r="B10" s="31">
        <f t="shared" si="0"/>
        <v>0.47829690000000014</v>
      </c>
      <c r="C10" s="31">
        <f t="shared" si="2"/>
        <v>0.53144100000000016</v>
      </c>
      <c r="D10" s="31">
        <f t="shared" si="4"/>
        <v>0.59049000000000018</v>
      </c>
      <c r="E10" s="31">
        <f t="shared" si="6"/>
        <v>0.65610000000000013</v>
      </c>
      <c r="F10" s="31">
        <f t="shared" si="8"/>
        <v>0.72900000000000009</v>
      </c>
      <c r="G10" s="31">
        <f t="shared" si="10"/>
        <v>0.81</v>
      </c>
      <c r="H10" s="31">
        <f t="shared" ref="H10:H38" si="12">POWER(Retention1,$A4-1)</f>
        <v>0.9</v>
      </c>
      <c r="I10" s="41">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M10" s="43">
        <v>8</v>
      </c>
      <c r="AN10" s="31">
        <f t="shared" si="1"/>
        <v>0.47829690000000014</v>
      </c>
      <c r="AO10" s="31">
        <f t="shared" si="3"/>
        <v>0.53144100000000016</v>
      </c>
      <c r="AP10" s="31">
        <f t="shared" si="5"/>
        <v>0.59049000000000018</v>
      </c>
      <c r="AQ10" s="31">
        <f t="shared" si="7"/>
        <v>0.65610000000000013</v>
      </c>
      <c r="AR10" s="31">
        <f t="shared" si="9"/>
        <v>0.72900000000000009</v>
      </c>
      <c r="AS10" s="31">
        <f t="shared" si="11"/>
        <v>0.81</v>
      </c>
      <c r="AT10" s="31">
        <f t="shared" ref="AT10:AT38" si="13">POWER(Retention2,$A4-1)</f>
        <v>0.9</v>
      </c>
      <c r="AU10" s="41">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row>
    <row r="11" spans="1:75" x14ac:dyDescent="0.2">
      <c r="A11" s="43">
        <v>9</v>
      </c>
      <c r="B11" s="31">
        <f t="shared" si="0"/>
        <v>0.43046721000000016</v>
      </c>
      <c r="C11" s="31">
        <f t="shared" si="2"/>
        <v>0.47829690000000014</v>
      </c>
      <c r="D11" s="31">
        <f t="shared" si="4"/>
        <v>0.53144100000000016</v>
      </c>
      <c r="E11" s="31">
        <f t="shared" si="6"/>
        <v>0.59049000000000018</v>
      </c>
      <c r="F11" s="31">
        <f t="shared" si="8"/>
        <v>0.65610000000000013</v>
      </c>
      <c r="G11" s="31">
        <f t="shared" si="10"/>
        <v>0.72900000000000009</v>
      </c>
      <c r="H11" s="31">
        <f t="shared" si="12"/>
        <v>0.81</v>
      </c>
      <c r="I11" s="31">
        <f t="shared" ref="I11:I38" si="14">POWER(Retention1,$A4-1)</f>
        <v>0.9</v>
      </c>
      <c r="J11" s="4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M11" s="43">
        <v>9</v>
      </c>
      <c r="AN11" s="31">
        <f t="shared" si="1"/>
        <v>0.43046721000000016</v>
      </c>
      <c r="AO11" s="31">
        <f t="shared" si="3"/>
        <v>0.47829690000000014</v>
      </c>
      <c r="AP11" s="31">
        <f t="shared" si="5"/>
        <v>0.53144100000000016</v>
      </c>
      <c r="AQ11" s="31">
        <f t="shared" si="7"/>
        <v>0.59049000000000018</v>
      </c>
      <c r="AR11" s="31">
        <f t="shared" si="9"/>
        <v>0.65610000000000013</v>
      </c>
      <c r="AS11" s="31">
        <f t="shared" si="11"/>
        <v>0.72900000000000009</v>
      </c>
      <c r="AT11" s="31">
        <f t="shared" si="13"/>
        <v>0.81</v>
      </c>
      <c r="AU11" s="31">
        <f t="shared" ref="AU11:AU38" si="15">POWER(Retention2,$A4-1)</f>
        <v>0.9</v>
      </c>
      <c r="AV11" s="4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row>
    <row r="12" spans="1:75" x14ac:dyDescent="0.2">
      <c r="A12" s="43">
        <v>10</v>
      </c>
      <c r="B12" s="31">
        <f t="shared" si="0"/>
        <v>0.38742048900000015</v>
      </c>
      <c r="C12" s="31">
        <f t="shared" si="2"/>
        <v>0.43046721000000016</v>
      </c>
      <c r="D12" s="31">
        <f t="shared" si="4"/>
        <v>0.47829690000000014</v>
      </c>
      <c r="E12" s="31">
        <f t="shared" si="6"/>
        <v>0.53144100000000016</v>
      </c>
      <c r="F12" s="31">
        <f t="shared" si="8"/>
        <v>0.59049000000000018</v>
      </c>
      <c r="G12" s="31">
        <f t="shared" si="10"/>
        <v>0.65610000000000013</v>
      </c>
      <c r="H12" s="31">
        <f t="shared" si="12"/>
        <v>0.72900000000000009</v>
      </c>
      <c r="I12" s="31">
        <f t="shared" si="14"/>
        <v>0.81</v>
      </c>
      <c r="J12" s="31">
        <f t="shared" ref="J12:J38" si="16">POWER(Retention1,$A4-1)</f>
        <v>0.9</v>
      </c>
      <c r="K12" s="41">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M12" s="43">
        <v>10</v>
      </c>
      <c r="AN12" s="31">
        <f t="shared" si="1"/>
        <v>0.38742048900000015</v>
      </c>
      <c r="AO12" s="31">
        <f t="shared" si="3"/>
        <v>0.43046721000000016</v>
      </c>
      <c r="AP12" s="31">
        <f t="shared" si="5"/>
        <v>0.47829690000000014</v>
      </c>
      <c r="AQ12" s="31">
        <f t="shared" si="7"/>
        <v>0.53144100000000016</v>
      </c>
      <c r="AR12" s="31">
        <f t="shared" si="9"/>
        <v>0.59049000000000018</v>
      </c>
      <c r="AS12" s="31">
        <f t="shared" si="11"/>
        <v>0.65610000000000013</v>
      </c>
      <c r="AT12" s="31">
        <f t="shared" si="13"/>
        <v>0.72900000000000009</v>
      </c>
      <c r="AU12" s="31">
        <f t="shared" si="15"/>
        <v>0.81</v>
      </c>
      <c r="AV12" s="31">
        <f t="shared" ref="AV12:AV38" si="17">POWER(Retention2,$A4-1)</f>
        <v>0.9</v>
      </c>
      <c r="AW12" s="41">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row>
    <row r="13" spans="1:75" x14ac:dyDescent="0.2">
      <c r="A13" s="43">
        <v>11</v>
      </c>
      <c r="B13" s="31">
        <f t="shared" si="0"/>
        <v>0.34867844010000015</v>
      </c>
      <c r="C13" s="31">
        <f t="shared" si="2"/>
        <v>0.38742048900000015</v>
      </c>
      <c r="D13" s="31">
        <f t="shared" si="4"/>
        <v>0.43046721000000016</v>
      </c>
      <c r="E13" s="31">
        <f t="shared" si="6"/>
        <v>0.47829690000000014</v>
      </c>
      <c r="F13" s="31">
        <f t="shared" si="8"/>
        <v>0.53144100000000016</v>
      </c>
      <c r="G13" s="31">
        <f t="shared" si="10"/>
        <v>0.59049000000000018</v>
      </c>
      <c r="H13" s="31">
        <f t="shared" si="12"/>
        <v>0.65610000000000013</v>
      </c>
      <c r="I13" s="31">
        <f t="shared" si="14"/>
        <v>0.72900000000000009</v>
      </c>
      <c r="J13" s="31">
        <f t="shared" si="16"/>
        <v>0.81</v>
      </c>
      <c r="K13" s="31">
        <f t="shared" ref="K13:K38" si="18">POWER(Retention1,$A4-1)</f>
        <v>0.9</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M13" s="43">
        <v>11</v>
      </c>
      <c r="AN13" s="31">
        <f t="shared" si="1"/>
        <v>0.34867844010000015</v>
      </c>
      <c r="AO13" s="31">
        <f t="shared" si="3"/>
        <v>0.38742048900000015</v>
      </c>
      <c r="AP13" s="31">
        <f t="shared" si="5"/>
        <v>0.43046721000000016</v>
      </c>
      <c r="AQ13" s="31">
        <f t="shared" si="7"/>
        <v>0.47829690000000014</v>
      </c>
      <c r="AR13" s="31">
        <f t="shared" si="9"/>
        <v>0.53144100000000016</v>
      </c>
      <c r="AS13" s="31">
        <f t="shared" si="11"/>
        <v>0.59049000000000018</v>
      </c>
      <c r="AT13" s="31">
        <f t="shared" si="13"/>
        <v>0.65610000000000013</v>
      </c>
      <c r="AU13" s="31">
        <f t="shared" si="15"/>
        <v>0.72900000000000009</v>
      </c>
      <c r="AV13" s="31">
        <f t="shared" si="17"/>
        <v>0.81</v>
      </c>
      <c r="AW13" s="31">
        <f t="shared" ref="AW13:AW38" si="19">POWER(Retention2,$A4-1)</f>
        <v>0.9</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row>
    <row r="14" spans="1:75" x14ac:dyDescent="0.2">
      <c r="A14" s="43">
        <v>12</v>
      </c>
      <c r="B14" s="31">
        <f t="shared" si="0"/>
        <v>0.31381059609000017</v>
      </c>
      <c r="C14" s="31">
        <f t="shared" si="2"/>
        <v>0.34867844010000015</v>
      </c>
      <c r="D14" s="31">
        <f t="shared" si="4"/>
        <v>0.38742048900000015</v>
      </c>
      <c r="E14" s="31">
        <f t="shared" si="6"/>
        <v>0.43046721000000016</v>
      </c>
      <c r="F14" s="31">
        <f t="shared" si="8"/>
        <v>0.47829690000000014</v>
      </c>
      <c r="G14" s="31">
        <f t="shared" si="10"/>
        <v>0.53144100000000016</v>
      </c>
      <c r="H14" s="31">
        <f t="shared" si="12"/>
        <v>0.59049000000000018</v>
      </c>
      <c r="I14" s="31">
        <f t="shared" si="14"/>
        <v>0.65610000000000013</v>
      </c>
      <c r="J14" s="31">
        <f t="shared" si="16"/>
        <v>0.72900000000000009</v>
      </c>
      <c r="K14" s="31">
        <f t="shared" si="18"/>
        <v>0.81</v>
      </c>
      <c r="L14" s="31">
        <f t="shared" ref="L14:L38" si="20">POWER(Retention1,$A4-1)</f>
        <v>0.9</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M14" s="43">
        <v>12</v>
      </c>
      <c r="AN14" s="31">
        <f t="shared" si="1"/>
        <v>0.31381059609000017</v>
      </c>
      <c r="AO14" s="31">
        <f t="shared" si="3"/>
        <v>0.34867844010000015</v>
      </c>
      <c r="AP14" s="31">
        <f t="shared" si="5"/>
        <v>0.38742048900000015</v>
      </c>
      <c r="AQ14" s="31">
        <f t="shared" si="7"/>
        <v>0.43046721000000016</v>
      </c>
      <c r="AR14" s="31">
        <f t="shared" si="9"/>
        <v>0.47829690000000014</v>
      </c>
      <c r="AS14" s="31">
        <f t="shared" si="11"/>
        <v>0.53144100000000016</v>
      </c>
      <c r="AT14" s="31">
        <f t="shared" si="13"/>
        <v>0.59049000000000018</v>
      </c>
      <c r="AU14" s="31">
        <f t="shared" si="15"/>
        <v>0.65610000000000013</v>
      </c>
      <c r="AV14" s="31">
        <f t="shared" si="17"/>
        <v>0.72900000000000009</v>
      </c>
      <c r="AW14" s="31">
        <f t="shared" si="19"/>
        <v>0.81</v>
      </c>
      <c r="AX14" s="31">
        <f t="shared" ref="AX14:AX38" si="21">POWER(Retention2,$A4-1)</f>
        <v>0.9</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row>
    <row r="15" spans="1:75" x14ac:dyDescent="0.2">
      <c r="A15" s="43">
        <v>13</v>
      </c>
      <c r="B15" s="31">
        <f t="shared" si="0"/>
        <v>0.28242953648100017</v>
      </c>
      <c r="C15" s="31">
        <f t="shared" si="2"/>
        <v>0.31381059609000017</v>
      </c>
      <c r="D15" s="31">
        <f t="shared" si="4"/>
        <v>0.34867844010000015</v>
      </c>
      <c r="E15" s="31">
        <f t="shared" si="6"/>
        <v>0.38742048900000015</v>
      </c>
      <c r="F15" s="31">
        <f t="shared" si="8"/>
        <v>0.43046721000000016</v>
      </c>
      <c r="G15" s="31">
        <f t="shared" si="10"/>
        <v>0.47829690000000014</v>
      </c>
      <c r="H15" s="31">
        <f t="shared" si="12"/>
        <v>0.53144100000000016</v>
      </c>
      <c r="I15" s="31">
        <f t="shared" si="14"/>
        <v>0.59049000000000018</v>
      </c>
      <c r="J15" s="31">
        <f t="shared" si="16"/>
        <v>0.65610000000000013</v>
      </c>
      <c r="K15" s="31">
        <f t="shared" si="18"/>
        <v>0.72900000000000009</v>
      </c>
      <c r="L15" s="31">
        <f t="shared" si="20"/>
        <v>0.81</v>
      </c>
      <c r="M15" s="31">
        <f t="shared" ref="M15:M38" si="22">POWER(Retention1,$A4-1)</f>
        <v>0.9</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M15" s="43">
        <v>13</v>
      </c>
      <c r="AN15" s="31">
        <f t="shared" si="1"/>
        <v>0.28242953648100017</v>
      </c>
      <c r="AO15" s="31">
        <f t="shared" si="3"/>
        <v>0.31381059609000017</v>
      </c>
      <c r="AP15" s="31">
        <f t="shared" si="5"/>
        <v>0.34867844010000015</v>
      </c>
      <c r="AQ15" s="31">
        <f t="shared" si="7"/>
        <v>0.38742048900000015</v>
      </c>
      <c r="AR15" s="31">
        <f t="shared" si="9"/>
        <v>0.43046721000000016</v>
      </c>
      <c r="AS15" s="31">
        <f t="shared" si="11"/>
        <v>0.47829690000000014</v>
      </c>
      <c r="AT15" s="31">
        <f t="shared" si="13"/>
        <v>0.53144100000000016</v>
      </c>
      <c r="AU15" s="31">
        <f t="shared" si="15"/>
        <v>0.59049000000000018</v>
      </c>
      <c r="AV15" s="31">
        <f t="shared" si="17"/>
        <v>0.65610000000000013</v>
      </c>
      <c r="AW15" s="31">
        <f t="shared" si="19"/>
        <v>0.72900000000000009</v>
      </c>
      <c r="AX15" s="31">
        <f t="shared" si="21"/>
        <v>0.81</v>
      </c>
      <c r="AY15" s="31">
        <f t="shared" ref="AY15:AY38" si="23">POWER(Retention2,$A4-1)</f>
        <v>0.9</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row>
    <row r="16" spans="1:75" x14ac:dyDescent="0.2">
      <c r="A16" s="43">
        <v>14</v>
      </c>
      <c r="B16" s="31">
        <f t="shared" si="0"/>
        <v>0.25418658283290019</v>
      </c>
      <c r="C16" s="31">
        <f t="shared" si="2"/>
        <v>0.28242953648100017</v>
      </c>
      <c r="D16" s="31">
        <f t="shared" si="4"/>
        <v>0.31381059609000017</v>
      </c>
      <c r="E16" s="31">
        <f t="shared" si="6"/>
        <v>0.34867844010000015</v>
      </c>
      <c r="F16" s="31">
        <f t="shared" si="8"/>
        <v>0.38742048900000015</v>
      </c>
      <c r="G16" s="31">
        <f t="shared" si="10"/>
        <v>0.43046721000000016</v>
      </c>
      <c r="H16" s="31">
        <f t="shared" si="12"/>
        <v>0.47829690000000014</v>
      </c>
      <c r="I16" s="31">
        <f t="shared" si="14"/>
        <v>0.53144100000000016</v>
      </c>
      <c r="J16" s="31">
        <f t="shared" si="16"/>
        <v>0.59049000000000018</v>
      </c>
      <c r="K16" s="31">
        <f t="shared" si="18"/>
        <v>0.65610000000000013</v>
      </c>
      <c r="L16" s="31">
        <f t="shared" si="20"/>
        <v>0.72900000000000009</v>
      </c>
      <c r="M16" s="31">
        <f t="shared" si="22"/>
        <v>0.81</v>
      </c>
      <c r="N16" s="31">
        <f t="shared" ref="N16:N38" si="24">POWER(Retention1,$A4-1)</f>
        <v>0.9</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M16" s="43">
        <v>14</v>
      </c>
      <c r="AN16" s="31">
        <f t="shared" si="1"/>
        <v>0.25418658283290019</v>
      </c>
      <c r="AO16" s="31">
        <f t="shared" si="3"/>
        <v>0.28242953648100017</v>
      </c>
      <c r="AP16" s="31">
        <f t="shared" si="5"/>
        <v>0.31381059609000017</v>
      </c>
      <c r="AQ16" s="31">
        <f t="shared" si="7"/>
        <v>0.34867844010000015</v>
      </c>
      <c r="AR16" s="31">
        <f t="shared" si="9"/>
        <v>0.38742048900000015</v>
      </c>
      <c r="AS16" s="31">
        <f t="shared" si="11"/>
        <v>0.43046721000000016</v>
      </c>
      <c r="AT16" s="31">
        <f t="shared" si="13"/>
        <v>0.47829690000000014</v>
      </c>
      <c r="AU16" s="31">
        <f t="shared" si="15"/>
        <v>0.53144100000000016</v>
      </c>
      <c r="AV16" s="31">
        <f t="shared" si="17"/>
        <v>0.59049000000000018</v>
      </c>
      <c r="AW16" s="31">
        <f t="shared" si="19"/>
        <v>0.65610000000000013</v>
      </c>
      <c r="AX16" s="31">
        <f t="shared" si="21"/>
        <v>0.72900000000000009</v>
      </c>
      <c r="AY16" s="31">
        <f t="shared" si="23"/>
        <v>0.81</v>
      </c>
      <c r="AZ16" s="31">
        <f t="shared" ref="AZ16:AZ38" si="25">POWER(Retention2,$A4-1)</f>
        <v>0.9</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row>
    <row r="17" spans="1:75" x14ac:dyDescent="0.2">
      <c r="A17" s="43">
        <v>15</v>
      </c>
      <c r="B17" s="31">
        <f t="shared" si="0"/>
        <v>0.22876792454961015</v>
      </c>
      <c r="C17" s="31">
        <f t="shared" si="2"/>
        <v>0.25418658283290019</v>
      </c>
      <c r="D17" s="31">
        <f t="shared" si="4"/>
        <v>0.28242953648100017</v>
      </c>
      <c r="E17" s="31">
        <f t="shared" si="6"/>
        <v>0.31381059609000017</v>
      </c>
      <c r="F17" s="31">
        <f t="shared" si="8"/>
        <v>0.34867844010000015</v>
      </c>
      <c r="G17" s="31">
        <f t="shared" si="10"/>
        <v>0.38742048900000015</v>
      </c>
      <c r="H17" s="31">
        <f t="shared" si="12"/>
        <v>0.43046721000000016</v>
      </c>
      <c r="I17" s="31">
        <f t="shared" si="14"/>
        <v>0.47829690000000014</v>
      </c>
      <c r="J17" s="31">
        <f t="shared" si="16"/>
        <v>0.53144100000000016</v>
      </c>
      <c r="K17" s="31">
        <f t="shared" si="18"/>
        <v>0.59049000000000018</v>
      </c>
      <c r="L17" s="31">
        <f t="shared" si="20"/>
        <v>0.65610000000000013</v>
      </c>
      <c r="M17" s="31">
        <f t="shared" si="22"/>
        <v>0.72900000000000009</v>
      </c>
      <c r="N17" s="31">
        <f t="shared" si="24"/>
        <v>0.81</v>
      </c>
      <c r="O17" s="31">
        <f t="shared" ref="O17:O38" si="26">POWER(Retention1,$A4-1)</f>
        <v>0.9</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M17" s="43">
        <v>15</v>
      </c>
      <c r="AN17" s="31">
        <f t="shared" si="1"/>
        <v>0.22876792454961015</v>
      </c>
      <c r="AO17" s="31">
        <f t="shared" si="3"/>
        <v>0.25418658283290019</v>
      </c>
      <c r="AP17" s="31">
        <f t="shared" si="5"/>
        <v>0.28242953648100017</v>
      </c>
      <c r="AQ17" s="31">
        <f t="shared" si="7"/>
        <v>0.31381059609000017</v>
      </c>
      <c r="AR17" s="31">
        <f t="shared" si="9"/>
        <v>0.34867844010000015</v>
      </c>
      <c r="AS17" s="31">
        <f t="shared" si="11"/>
        <v>0.38742048900000015</v>
      </c>
      <c r="AT17" s="31">
        <f t="shared" si="13"/>
        <v>0.43046721000000016</v>
      </c>
      <c r="AU17" s="31">
        <f t="shared" si="15"/>
        <v>0.47829690000000014</v>
      </c>
      <c r="AV17" s="31">
        <f t="shared" si="17"/>
        <v>0.53144100000000016</v>
      </c>
      <c r="AW17" s="31">
        <f t="shared" si="19"/>
        <v>0.59049000000000018</v>
      </c>
      <c r="AX17" s="31">
        <f t="shared" si="21"/>
        <v>0.65610000000000013</v>
      </c>
      <c r="AY17" s="31">
        <f t="shared" si="23"/>
        <v>0.72900000000000009</v>
      </c>
      <c r="AZ17" s="31">
        <f t="shared" si="25"/>
        <v>0.81</v>
      </c>
      <c r="BA17" s="31">
        <f t="shared" ref="BA17:BA38" si="27">POWER(Retention2,$A4-1)</f>
        <v>0.9</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row>
    <row r="18" spans="1:75" x14ac:dyDescent="0.2">
      <c r="A18" s="43">
        <v>16</v>
      </c>
      <c r="B18" s="31">
        <f t="shared" si="0"/>
        <v>0.20589113209464913</v>
      </c>
      <c r="C18" s="31">
        <f t="shared" si="2"/>
        <v>0.22876792454961015</v>
      </c>
      <c r="D18" s="31">
        <f t="shared" si="4"/>
        <v>0.25418658283290019</v>
      </c>
      <c r="E18" s="31">
        <f t="shared" si="6"/>
        <v>0.28242953648100017</v>
      </c>
      <c r="F18" s="31">
        <f t="shared" si="8"/>
        <v>0.31381059609000017</v>
      </c>
      <c r="G18" s="31">
        <f t="shared" si="10"/>
        <v>0.34867844010000015</v>
      </c>
      <c r="H18" s="31">
        <f t="shared" si="12"/>
        <v>0.38742048900000015</v>
      </c>
      <c r="I18" s="31">
        <f t="shared" si="14"/>
        <v>0.43046721000000016</v>
      </c>
      <c r="J18" s="31">
        <f t="shared" si="16"/>
        <v>0.47829690000000014</v>
      </c>
      <c r="K18" s="31">
        <f t="shared" si="18"/>
        <v>0.53144100000000016</v>
      </c>
      <c r="L18" s="31">
        <f t="shared" si="20"/>
        <v>0.59049000000000018</v>
      </c>
      <c r="M18" s="31">
        <f t="shared" si="22"/>
        <v>0.65610000000000013</v>
      </c>
      <c r="N18" s="31">
        <f t="shared" si="24"/>
        <v>0.72900000000000009</v>
      </c>
      <c r="O18" s="31">
        <f t="shared" si="26"/>
        <v>0.81</v>
      </c>
      <c r="P18" s="31">
        <f t="shared" ref="P18:P38" si="28">POWER(Retention1,$A4-1)</f>
        <v>0.9</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M18" s="43">
        <v>16</v>
      </c>
      <c r="AN18" s="31">
        <f t="shared" si="1"/>
        <v>0.20589113209464913</v>
      </c>
      <c r="AO18" s="31">
        <f t="shared" si="3"/>
        <v>0.22876792454961015</v>
      </c>
      <c r="AP18" s="31">
        <f t="shared" si="5"/>
        <v>0.25418658283290019</v>
      </c>
      <c r="AQ18" s="31">
        <f t="shared" si="7"/>
        <v>0.28242953648100017</v>
      </c>
      <c r="AR18" s="31">
        <f t="shared" si="9"/>
        <v>0.31381059609000017</v>
      </c>
      <c r="AS18" s="31">
        <f t="shared" si="11"/>
        <v>0.34867844010000015</v>
      </c>
      <c r="AT18" s="31">
        <f t="shared" si="13"/>
        <v>0.38742048900000015</v>
      </c>
      <c r="AU18" s="31">
        <f t="shared" si="15"/>
        <v>0.43046721000000016</v>
      </c>
      <c r="AV18" s="31">
        <f t="shared" si="17"/>
        <v>0.47829690000000014</v>
      </c>
      <c r="AW18" s="31">
        <f t="shared" si="19"/>
        <v>0.53144100000000016</v>
      </c>
      <c r="AX18" s="31">
        <f t="shared" si="21"/>
        <v>0.59049000000000018</v>
      </c>
      <c r="AY18" s="31">
        <f t="shared" si="23"/>
        <v>0.65610000000000013</v>
      </c>
      <c r="AZ18" s="31">
        <f t="shared" si="25"/>
        <v>0.72900000000000009</v>
      </c>
      <c r="BA18" s="31">
        <f t="shared" si="27"/>
        <v>0.81</v>
      </c>
      <c r="BB18" s="31">
        <f t="shared" ref="BB18:BB38" si="29">POWER(Retention2,$A4-1)</f>
        <v>0.9</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row>
    <row r="19" spans="1:75" x14ac:dyDescent="0.2">
      <c r="A19" s="43">
        <v>17</v>
      </c>
      <c r="B19" s="31">
        <f t="shared" si="0"/>
        <v>0.18530201888518424</v>
      </c>
      <c r="C19" s="31">
        <f t="shared" si="2"/>
        <v>0.20589113209464913</v>
      </c>
      <c r="D19" s="31">
        <f t="shared" si="4"/>
        <v>0.22876792454961015</v>
      </c>
      <c r="E19" s="31">
        <f t="shared" si="6"/>
        <v>0.25418658283290019</v>
      </c>
      <c r="F19" s="31">
        <f t="shared" si="8"/>
        <v>0.28242953648100017</v>
      </c>
      <c r="G19" s="31">
        <f t="shared" si="10"/>
        <v>0.31381059609000017</v>
      </c>
      <c r="H19" s="31">
        <f t="shared" si="12"/>
        <v>0.34867844010000015</v>
      </c>
      <c r="I19" s="31">
        <f t="shared" si="14"/>
        <v>0.38742048900000015</v>
      </c>
      <c r="J19" s="31">
        <f t="shared" si="16"/>
        <v>0.43046721000000016</v>
      </c>
      <c r="K19" s="31">
        <f t="shared" si="18"/>
        <v>0.47829690000000014</v>
      </c>
      <c r="L19" s="31">
        <f t="shared" si="20"/>
        <v>0.53144100000000016</v>
      </c>
      <c r="M19" s="31">
        <f t="shared" si="22"/>
        <v>0.59049000000000018</v>
      </c>
      <c r="N19" s="31">
        <f t="shared" si="24"/>
        <v>0.65610000000000013</v>
      </c>
      <c r="O19" s="31">
        <f t="shared" si="26"/>
        <v>0.72900000000000009</v>
      </c>
      <c r="P19" s="31">
        <f t="shared" si="28"/>
        <v>0.81</v>
      </c>
      <c r="Q19" s="31">
        <f t="shared" ref="Q19:Q38" si="30">POWER(Retention1,$A4-1)</f>
        <v>0.9</v>
      </c>
      <c r="R19">
        <v>0</v>
      </c>
      <c r="S19">
        <v>0</v>
      </c>
      <c r="T19">
        <v>0</v>
      </c>
      <c r="U19">
        <v>0</v>
      </c>
      <c r="V19">
        <v>0</v>
      </c>
      <c r="W19">
        <v>0</v>
      </c>
      <c r="X19">
        <v>0</v>
      </c>
      <c r="Y19">
        <v>0</v>
      </c>
      <c r="Z19">
        <v>0</v>
      </c>
      <c r="AA19">
        <v>0</v>
      </c>
      <c r="AB19">
        <v>0</v>
      </c>
      <c r="AC19">
        <v>0</v>
      </c>
      <c r="AD19">
        <v>0</v>
      </c>
      <c r="AE19">
        <v>0</v>
      </c>
      <c r="AF19">
        <v>0</v>
      </c>
      <c r="AG19">
        <v>0</v>
      </c>
      <c r="AH19">
        <v>0</v>
      </c>
      <c r="AI19">
        <v>0</v>
      </c>
      <c r="AJ19">
        <v>0</v>
      </c>
      <c r="AK19">
        <v>0</v>
      </c>
      <c r="AM19" s="43">
        <v>17</v>
      </c>
      <c r="AN19" s="31">
        <f t="shared" si="1"/>
        <v>0.18530201888518424</v>
      </c>
      <c r="AO19" s="31">
        <f t="shared" si="3"/>
        <v>0.20589113209464913</v>
      </c>
      <c r="AP19" s="31">
        <f t="shared" si="5"/>
        <v>0.22876792454961015</v>
      </c>
      <c r="AQ19" s="31">
        <f t="shared" si="7"/>
        <v>0.25418658283290019</v>
      </c>
      <c r="AR19" s="31">
        <f t="shared" si="9"/>
        <v>0.28242953648100017</v>
      </c>
      <c r="AS19" s="31">
        <f t="shared" si="11"/>
        <v>0.31381059609000017</v>
      </c>
      <c r="AT19" s="31">
        <f t="shared" si="13"/>
        <v>0.34867844010000015</v>
      </c>
      <c r="AU19" s="31">
        <f t="shared" si="15"/>
        <v>0.38742048900000015</v>
      </c>
      <c r="AV19" s="31">
        <f t="shared" si="17"/>
        <v>0.43046721000000016</v>
      </c>
      <c r="AW19" s="31">
        <f t="shared" si="19"/>
        <v>0.47829690000000014</v>
      </c>
      <c r="AX19" s="31">
        <f t="shared" si="21"/>
        <v>0.53144100000000016</v>
      </c>
      <c r="AY19" s="31">
        <f t="shared" si="23"/>
        <v>0.59049000000000018</v>
      </c>
      <c r="AZ19" s="31">
        <f t="shared" si="25"/>
        <v>0.65610000000000013</v>
      </c>
      <c r="BA19" s="31">
        <f t="shared" si="27"/>
        <v>0.72900000000000009</v>
      </c>
      <c r="BB19" s="31">
        <f t="shared" si="29"/>
        <v>0.81</v>
      </c>
      <c r="BC19" s="31">
        <f t="shared" ref="BC19:BC38" si="31">POWER(Retention2,$A4-1)</f>
        <v>0.9</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row>
    <row r="20" spans="1:75" x14ac:dyDescent="0.2">
      <c r="A20" s="43">
        <v>18</v>
      </c>
      <c r="B20" s="31">
        <f t="shared" si="0"/>
        <v>0.16677181699666582</v>
      </c>
      <c r="C20" s="31">
        <f t="shared" si="2"/>
        <v>0.18530201888518424</v>
      </c>
      <c r="D20" s="31">
        <f t="shared" si="4"/>
        <v>0.20589113209464913</v>
      </c>
      <c r="E20" s="31">
        <f t="shared" si="6"/>
        <v>0.22876792454961015</v>
      </c>
      <c r="F20" s="31">
        <f t="shared" si="8"/>
        <v>0.25418658283290019</v>
      </c>
      <c r="G20" s="31">
        <f t="shared" si="10"/>
        <v>0.28242953648100017</v>
      </c>
      <c r="H20" s="31">
        <f t="shared" si="12"/>
        <v>0.31381059609000017</v>
      </c>
      <c r="I20" s="31">
        <f t="shared" si="14"/>
        <v>0.34867844010000015</v>
      </c>
      <c r="J20" s="31">
        <f t="shared" si="16"/>
        <v>0.38742048900000015</v>
      </c>
      <c r="K20" s="31">
        <f t="shared" si="18"/>
        <v>0.43046721000000016</v>
      </c>
      <c r="L20" s="31">
        <f t="shared" si="20"/>
        <v>0.47829690000000014</v>
      </c>
      <c r="M20" s="31">
        <f t="shared" si="22"/>
        <v>0.53144100000000016</v>
      </c>
      <c r="N20" s="31">
        <f t="shared" si="24"/>
        <v>0.59049000000000018</v>
      </c>
      <c r="O20" s="31">
        <f t="shared" si="26"/>
        <v>0.65610000000000013</v>
      </c>
      <c r="P20" s="31">
        <f t="shared" si="28"/>
        <v>0.72900000000000009</v>
      </c>
      <c r="Q20" s="31">
        <f t="shared" si="30"/>
        <v>0.81</v>
      </c>
      <c r="R20" s="31">
        <f t="shared" ref="R20:R38" si="32">POWER(Retention1,$A4-1)</f>
        <v>0.9</v>
      </c>
      <c r="S20">
        <v>0</v>
      </c>
      <c r="T20">
        <v>0</v>
      </c>
      <c r="U20">
        <v>0</v>
      </c>
      <c r="V20">
        <v>0</v>
      </c>
      <c r="W20">
        <v>0</v>
      </c>
      <c r="X20">
        <v>0</v>
      </c>
      <c r="Y20">
        <v>0</v>
      </c>
      <c r="Z20">
        <v>0</v>
      </c>
      <c r="AA20">
        <v>0</v>
      </c>
      <c r="AB20">
        <v>0</v>
      </c>
      <c r="AC20">
        <v>0</v>
      </c>
      <c r="AD20">
        <v>0</v>
      </c>
      <c r="AE20">
        <v>0</v>
      </c>
      <c r="AF20">
        <v>0</v>
      </c>
      <c r="AG20">
        <v>0</v>
      </c>
      <c r="AH20">
        <v>0</v>
      </c>
      <c r="AI20">
        <v>0</v>
      </c>
      <c r="AJ20">
        <v>0</v>
      </c>
      <c r="AK20">
        <v>0</v>
      </c>
      <c r="AM20" s="43">
        <v>18</v>
      </c>
      <c r="AN20" s="31">
        <f t="shared" si="1"/>
        <v>0.16677181699666582</v>
      </c>
      <c r="AO20" s="31">
        <f t="shared" si="3"/>
        <v>0.18530201888518424</v>
      </c>
      <c r="AP20" s="31">
        <f t="shared" si="5"/>
        <v>0.20589113209464913</v>
      </c>
      <c r="AQ20" s="31">
        <f t="shared" si="7"/>
        <v>0.22876792454961015</v>
      </c>
      <c r="AR20" s="31">
        <f t="shared" si="9"/>
        <v>0.25418658283290019</v>
      </c>
      <c r="AS20" s="31">
        <f t="shared" si="11"/>
        <v>0.28242953648100017</v>
      </c>
      <c r="AT20" s="31">
        <f t="shared" si="13"/>
        <v>0.31381059609000017</v>
      </c>
      <c r="AU20" s="31">
        <f t="shared" si="15"/>
        <v>0.34867844010000015</v>
      </c>
      <c r="AV20" s="31">
        <f t="shared" si="17"/>
        <v>0.38742048900000015</v>
      </c>
      <c r="AW20" s="31">
        <f t="shared" si="19"/>
        <v>0.43046721000000016</v>
      </c>
      <c r="AX20" s="31">
        <f t="shared" si="21"/>
        <v>0.47829690000000014</v>
      </c>
      <c r="AY20" s="31">
        <f t="shared" si="23"/>
        <v>0.53144100000000016</v>
      </c>
      <c r="AZ20" s="31">
        <f t="shared" si="25"/>
        <v>0.59049000000000018</v>
      </c>
      <c r="BA20" s="31">
        <f t="shared" si="27"/>
        <v>0.65610000000000013</v>
      </c>
      <c r="BB20" s="31">
        <f t="shared" si="29"/>
        <v>0.72900000000000009</v>
      </c>
      <c r="BC20" s="31">
        <f t="shared" si="31"/>
        <v>0.81</v>
      </c>
      <c r="BD20" s="31">
        <f t="shared" ref="BD20:BD38" si="33">POWER(Retention2,$A4-1)</f>
        <v>0.9</v>
      </c>
      <c r="BE20">
        <v>0</v>
      </c>
      <c r="BF20">
        <v>0</v>
      </c>
      <c r="BG20">
        <v>0</v>
      </c>
      <c r="BH20">
        <v>0</v>
      </c>
      <c r="BI20">
        <v>0</v>
      </c>
      <c r="BJ20">
        <v>0</v>
      </c>
      <c r="BK20">
        <v>0</v>
      </c>
      <c r="BL20">
        <v>0</v>
      </c>
      <c r="BM20">
        <v>0</v>
      </c>
      <c r="BN20">
        <v>0</v>
      </c>
      <c r="BO20">
        <v>0</v>
      </c>
      <c r="BP20">
        <v>0</v>
      </c>
      <c r="BQ20">
        <v>0</v>
      </c>
      <c r="BR20">
        <v>0</v>
      </c>
      <c r="BS20">
        <v>0</v>
      </c>
      <c r="BT20">
        <v>0</v>
      </c>
      <c r="BU20">
        <v>0</v>
      </c>
      <c r="BV20">
        <v>0</v>
      </c>
      <c r="BW20">
        <v>0</v>
      </c>
    </row>
    <row r="21" spans="1:75" x14ac:dyDescent="0.2">
      <c r="A21" s="43">
        <v>19</v>
      </c>
      <c r="B21" s="31">
        <f t="shared" si="0"/>
        <v>0.15009463529699923</v>
      </c>
      <c r="C21" s="31">
        <f t="shared" si="2"/>
        <v>0.16677181699666582</v>
      </c>
      <c r="D21" s="31">
        <f t="shared" si="4"/>
        <v>0.18530201888518424</v>
      </c>
      <c r="E21" s="31">
        <f t="shared" si="6"/>
        <v>0.20589113209464913</v>
      </c>
      <c r="F21" s="31">
        <f t="shared" si="8"/>
        <v>0.22876792454961015</v>
      </c>
      <c r="G21" s="31">
        <f t="shared" si="10"/>
        <v>0.25418658283290019</v>
      </c>
      <c r="H21" s="31">
        <f t="shared" si="12"/>
        <v>0.28242953648100017</v>
      </c>
      <c r="I21" s="31">
        <f t="shared" si="14"/>
        <v>0.31381059609000017</v>
      </c>
      <c r="J21" s="31">
        <f t="shared" si="16"/>
        <v>0.34867844010000015</v>
      </c>
      <c r="K21" s="31">
        <f t="shared" si="18"/>
        <v>0.38742048900000015</v>
      </c>
      <c r="L21" s="31">
        <f t="shared" si="20"/>
        <v>0.43046721000000016</v>
      </c>
      <c r="M21" s="31">
        <f t="shared" si="22"/>
        <v>0.47829690000000014</v>
      </c>
      <c r="N21" s="31">
        <f t="shared" si="24"/>
        <v>0.53144100000000016</v>
      </c>
      <c r="O21" s="31">
        <f t="shared" si="26"/>
        <v>0.59049000000000018</v>
      </c>
      <c r="P21" s="31">
        <f t="shared" si="28"/>
        <v>0.65610000000000013</v>
      </c>
      <c r="Q21" s="31">
        <f t="shared" si="30"/>
        <v>0.72900000000000009</v>
      </c>
      <c r="R21" s="31">
        <f t="shared" si="32"/>
        <v>0.81</v>
      </c>
      <c r="S21" s="31">
        <f t="shared" ref="S21:S38" si="34">POWER(Retention1,$A4-1)</f>
        <v>0.9</v>
      </c>
      <c r="T21">
        <v>0</v>
      </c>
      <c r="U21">
        <v>0</v>
      </c>
      <c r="V21">
        <v>0</v>
      </c>
      <c r="W21">
        <v>0</v>
      </c>
      <c r="X21">
        <v>0</v>
      </c>
      <c r="Y21">
        <v>0</v>
      </c>
      <c r="Z21">
        <v>0</v>
      </c>
      <c r="AA21">
        <v>0</v>
      </c>
      <c r="AB21">
        <v>0</v>
      </c>
      <c r="AC21">
        <v>0</v>
      </c>
      <c r="AD21">
        <v>0</v>
      </c>
      <c r="AE21">
        <v>0</v>
      </c>
      <c r="AF21">
        <v>0</v>
      </c>
      <c r="AG21">
        <v>0</v>
      </c>
      <c r="AH21">
        <v>0</v>
      </c>
      <c r="AI21">
        <v>0</v>
      </c>
      <c r="AJ21">
        <v>0</v>
      </c>
      <c r="AK21">
        <v>0</v>
      </c>
      <c r="AM21" s="43">
        <v>19</v>
      </c>
      <c r="AN21" s="31">
        <f t="shared" si="1"/>
        <v>0.15009463529699923</v>
      </c>
      <c r="AO21" s="31">
        <f t="shared" si="3"/>
        <v>0.16677181699666582</v>
      </c>
      <c r="AP21" s="31">
        <f t="shared" si="5"/>
        <v>0.18530201888518424</v>
      </c>
      <c r="AQ21" s="31">
        <f t="shared" si="7"/>
        <v>0.20589113209464913</v>
      </c>
      <c r="AR21" s="31">
        <f t="shared" si="9"/>
        <v>0.22876792454961015</v>
      </c>
      <c r="AS21" s="31">
        <f t="shared" si="11"/>
        <v>0.25418658283290019</v>
      </c>
      <c r="AT21" s="31">
        <f t="shared" si="13"/>
        <v>0.28242953648100017</v>
      </c>
      <c r="AU21" s="31">
        <f t="shared" si="15"/>
        <v>0.31381059609000017</v>
      </c>
      <c r="AV21" s="31">
        <f t="shared" si="17"/>
        <v>0.34867844010000015</v>
      </c>
      <c r="AW21" s="31">
        <f t="shared" si="19"/>
        <v>0.38742048900000015</v>
      </c>
      <c r="AX21" s="31">
        <f t="shared" si="21"/>
        <v>0.43046721000000016</v>
      </c>
      <c r="AY21" s="31">
        <f t="shared" si="23"/>
        <v>0.47829690000000014</v>
      </c>
      <c r="AZ21" s="31">
        <f t="shared" si="25"/>
        <v>0.53144100000000016</v>
      </c>
      <c r="BA21" s="31">
        <f t="shared" si="27"/>
        <v>0.59049000000000018</v>
      </c>
      <c r="BB21" s="31">
        <f t="shared" si="29"/>
        <v>0.65610000000000013</v>
      </c>
      <c r="BC21" s="31">
        <f t="shared" si="31"/>
        <v>0.72900000000000009</v>
      </c>
      <c r="BD21" s="31">
        <f t="shared" si="33"/>
        <v>0.81</v>
      </c>
      <c r="BE21" s="31">
        <f t="shared" ref="BE21:BE38" si="35">POWER(Retention2,$A4-1)</f>
        <v>0.9</v>
      </c>
      <c r="BF21">
        <v>0</v>
      </c>
      <c r="BG21">
        <v>0</v>
      </c>
      <c r="BH21">
        <v>0</v>
      </c>
      <c r="BI21">
        <v>0</v>
      </c>
      <c r="BJ21">
        <v>0</v>
      </c>
      <c r="BK21">
        <v>0</v>
      </c>
      <c r="BL21">
        <v>0</v>
      </c>
      <c r="BM21">
        <v>0</v>
      </c>
      <c r="BN21">
        <v>0</v>
      </c>
      <c r="BO21">
        <v>0</v>
      </c>
      <c r="BP21">
        <v>0</v>
      </c>
      <c r="BQ21">
        <v>0</v>
      </c>
      <c r="BR21">
        <v>0</v>
      </c>
      <c r="BS21">
        <v>0</v>
      </c>
      <c r="BT21">
        <v>0</v>
      </c>
      <c r="BU21">
        <v>0</v>
      </c>
      <c r="BV21">
        <v>0</v>
      </c>
      <c r="BW21">
        <v>0</v>
      </c>
    </row>
    <row r="22" spans="1:75" x14ac:dyDescent="0.2">
      <c r="A22" s="43">
        <v>20</v>
      </c>
      <c r="B22" s="31">
        <f t="shared" si="0"/>
        <v>0.13508517176729934</v>
      </c>
      <c r="C22" s="31">
        <f t="shared" si="2"/>
        <v>0.15009463529699923</v>
      </c>
      <c r="D22" s="31">
        <f t="shared" si="4"/>
        <v>0.16677181699666582</v>
      </c>
      <c r="E22" s="31">
        <f t="shared" si="6"/>
        <v>0.18530201888518424</v>
      </c>
      <c r="F22" s="31">
        <f t="shared" si="8"/>
        <v>0.20589113209464913</v>
      </c>
      <c r="G22" s="31">
        <f t="shared" si="10"/>
        <v>0.22876792454961015</v>
      </c>
      <c r="H22" s="31">
        <f t="shared" si="12"/>
        <v>0.25418658283290019</v>
      </c>
      <c r="I22" s="31">
        <f t="shared" si="14"/>
        <v>0.28242953648100017</v>
      </c>
      <c r="J22" s="31">
        <f t="shared" si="16"/>
        <v>0.31381059609000017</v>
      </c>
      <c r="K22" s="31">
        <f t="shared" si="18"/>
        <v>0.34867844010000015</v>
      </c>
      <c r="L22" s="31">
        <f t="shared" si="20"/>
        <v>0.38742048900000015</v>
      </c>
      <c r="M22" s="31">
        <f t="shared" si="22"/>
        <v>0.43046721000000016</v>
      </c>
      <c r="N22" s="31">
        <f t="shared" si="24"/>
        <v>0.47829690000000014</v>
      </c>
      <c r="O22" s="31">
        <f t="shared" si="26"/>
        <v>0.53144100000000016</v>
      </c>
      <c r="P22" s="31">
        <f t="shared" si="28"/>
        <v>0.59049000000000018</v>
      </c>
      <c r="Q22" s="31">
        <f t="shared" si="30"/>
        <v>0.65610000000000013</v>
      </c>
      <c r="R22" s="31">
        <f t="shared" si="32"/>
        <v>0.72900000000000009</v>
      </c>
      <c r="S22" s="31">
        <f t="shared" si="34"/>
        <v>0.81</v>
      </c>
      <c r="T22" s="31">
        <f t="shared" ref="T22:T38" si="36">POWER(Retention1,$A4-1)</f>
        <v>0.9</v>
      </c>
      <c r="U22">
        <v>0</v>
      </c>
      <c r="V22">
        <v>0</v>
      </c>
      <c r="W22">
        <v>0</v>
      </c>
      <c r="X22">
        <v>0</v>
      </c>
      <c r="Y22">
        <v>0</v>
      </c>
      <c r="Z22">
        <v>0</v>
      </c>
      <c r="AA22">
        <v>0</v>
      </c>
      <c r="AB22">
        <v>0</v>
      </c>
      <c r="AC22">
        <v>0</v>
      </c>
      <c r="AD22">
        <v>0</v>
      </c>
      <c r="AE22">
        <v>0</v>
      </c>
      <c r="AF22">
        <v>0</v>
      </c>
      <c r="AG22">
        <v>0</v>
      </c>
      <c r="AH22">
        <v>0</v>
      </c>
      <c r="AI22">
        <v>0</v>
      </c>
      <c r="AJ22">
        <v>0</v>
      </c>
      <c r="AK22">
        <v>0</v>
      </c>
      <c r="AM22" s="43">
        <v>20</v>
      </c>
      <c r="AN22" s="31">
        <f t="shared" si="1"/>
        <v>0.13508517176729934</v>
      </c>
      <c r="AO22" s="31">
        <f t="shared" si="3"/>
        <v>0.15009463529699923</v>
      </c>
      <c r="AP22" s="31">
        <f t="shared" si="5"/>
        <v>0.16677181699666582</v>
      </c>
      <c r="AQ22" s="31">
        <f t="shared" si="7"/>
        <v>0.18530201888518424</v>
      </c>
      <c r="AR22" s="31">
        <f t="shared" si="9"/>
        <v>0.20589113209464913</v>
      </c>
      <c r="AS22" s="31">
        <f t="shared" si="11"/>
        <v>0.22876792454961015</v>
      </c>
      <c r="AT22" s="31">
        <f t="shared" si="13"/>
        <v>0.25418658283290019</v>
      </c>
      <c r="AU22" s="31">
        <f t="shared" si="15"/>
        <v>0.28242953648100017</v>
      </c>
      <c r="AV22" s="31">
        <f t="shared" si="17"/>
        <v>0.31381059609000017</v>
      </c>
      <c r="AW22" s="31">
        <f t="shared" si="19"/>
        <v>0.34867844010000015</v>
      </c>
      <c r="AX22" s="31">
        <f t="shared" si="21"/>
        <v>0.38742048900000015</v>
      </c>
      <c r="AY22" s="31">
        <f t="shared" si="23"/>
        <v>0.43046721000000016</v>
      </c>
      <c r="AZ22" s="31">
        <f t="shared" si="25"/>
        <v>0.47829690000000014</v>
      </c>
      <c r="BA22" s="31">
        <f t="shared" si="27"/>
        <v>0.53144100000000016</v>
      </c>
      <c r="BB22" s="31">
        <f t="shared" si="29"/>
        <v>0.59049000000000018</v>
      </c>
      <c r="BC22" s="31">
        <f t="shared" si="31"/>
        <v>0.65610000000000013</v>
      </c>
      <c r="BD22" s="31">
        <f t="shared" si="33"/>
        <v>0.72900000000000009</v>
      </c>
      <c r="BE22" s="31">
        <f t="shared" si="35"/>
        <v>0.81</v>
      </c>
      <c r="BF22" s="31">
        <f t="shared" ref="BF22:BF38" si="37">POWER(Retention2,$A4-1)</f>
        <v>0.9</v>
      </c>
      <c r="BG22">
        <v>0</v>
      </c>
      <c r="BH22">
        <v>0</v>
      </c>
      <c r="BI22">
        <v>0</v>
      </c>
      <c r="BJ22">
        <v>0</v>
      </c>
      <c r="BK22">
        <v>0</v>
      </c>
      <c r="BL22">
        <v>0</v>
      </c>
      <c r="BM22">
        <v>0</v>
      </c>
      <c r="BN22">
        <v>0</v>
      </c>
      <c r="BO22">
        <v>0</v>
      </c>
      <c r="BP22">
        <v>0</v>
      </c>
      <c r="BQ22">
        <v>0</v>
      </c>
      <c r="BR22">
        <v>0</v>
      </c>
      <c r="BS22">
        <v>0</v>
      </c>
      <c r="BT22">
        <v>0</v>
      </c>
      <c r="BU22">
        <v>0</v>
      </c>
      <c r="BV22">
        <v>0</v>
      </c>
      <c r="BW22">
        <v>0</v>
      </c>
    </row>
    <row r="23" spans="1:75" x14ac:dyDescent="0.2">
      <c r="A23" s="43">
        <v>21</v>
      </c>
      <c r="B23" s="31">
        <f t="shared" si="0"/>
        <v>0.12157665459056941</v>
      </c>
      <c r="C23" s="31">
        <f t="shared" si="2"/>
        <v>0.13508517176729934</v>
      </c>
      <c r="D23" s="31">
        <f t="shared" si="4"/>
        <v>0.15009463529699923</v>
      </c>
      <c r="E23" s="31">
        <f t="shared" si="6"/>
        <v>0.16677181699666582</v>
      </c>
      <c r="F23" s="31">
        <f t="shared" si="8"/>
        <v>0.18530201888518424</v>
      </c>
      <c r="G23" s="31">
        <f t="shared" si="10"/>
        <v>0.20589113209464913</v>
      </c>
      <c r="H23" s="31">
        <f t="shared" si="12"/>
        <v>0.22876792454961015</v>
      </c>
      <c r="I23" s="31">
        <f t="shared" si="14"/>
        <v>0.25418658283290019</v>
      </c>
      <c r="J23" s="31">
        <f t="shared" si="16"/>
        <v>0.28242953648100017</v>
      </c>
      <c r="K23" s="31">
        <f t="shared" si="18"/>
        <v>0.31381059609000017</v>
      </c>
      <c r="L23" s="31">
        <f t="shared" si="20"/>
        <v>0.34867844010000015</v>
      </c>
      <c r="M23" s="31">
        <f t="shared" si="22"/>
        <v>0.38742048900000015</v>
      </c>
      <c r="N23" s="31">
        <f t="shared" si="24"/>
        <v>0.43046721000000016</v>
      </c>
      <c r="O23" s="31">
        <f t="shared" si="26"/>
        <v>0.47829690000000014</v>
      </c>
      <c r="P23" s="31">
        <f t="shared" si="28"/>
        <v>0.53144100000000016</v>
      </c>
      <c r="Q23" s="31">
        <f t="shared" si="30"/>
        <v>0.59049000000000018</v>
      </c>
      <c r="R23" s="31">
        <f t="shared" si="32"/>
        <v>0.65610000000000013</v>
      </c>
      <c r="S23" s="31">
        <f t="shared" si="34"/>
        <v>0.72900000000000009</v>
      </c>
      <c r="T23" s="31">
        <f t="shared" si="36"/>
        <v>0.81</v>
      </c>
      <c r="U23" s="31">
        <f t="shared" ref="U23:U38" si="38">POWER(Retention1,$A4-1)</f>
        <v>0.9</v>
      </c>
      <c r="V23">
        <v>0</v>
      </c>
      <c r="W23">
        <v>0</v>
      </c>
      <c r="X23">
        <v>0</v>
      </c>
      <c r="Y23">
        <v>0</v>
      </c>
      <c r="Z23">
        <v>0</v>
      </c>
      <c r="AA23">
        <v>0</v>
      </c>
      <c r="AB23">
        <v>0</v>
      </c>
      <c r="AC23">
        <v>0</v>
      </c>
      <c r="AD23">
        <v>0</v>
      </c>
      <c r="AE23">
        <v>0</v>
      </c>
      <c r="AF23">
        <v>0</v>
      </c>
      <c r="AG23">
        <v>0</v>
      </c>
      <c r="AH23">
        <v>0</v>
      </c>
      <c r="AI23">
        <v>0</v>
      </c>
      <c r="AJ23">
        <v>0</v>
      </c>
      <c r="AK23">
        <v>0</v>
      </c>
      <c r="AM23" s="43">
        <v>21</v>
      </c>
      <c r="AN23" s="31">
        <f t="shared" si="1"/>
        <v>0.12157665459056941</v>
      </c>
      <c r="AO23" s="31">
        <f t="shared" si="3"/>
        <v>0.13508517176729934</v>
      </c>
      <c r="AP23" s="31">
        <f t="shared" si="5"/>
        <v>0.15009463529699923</v>
      </c>
      <c r="AQ23" s="31">
        <f t="shared" si="7"/>
        <v>0.16677181699666582</v>
      </c>
      <c r="AR23" s="31">
        <f t="shared" si="9"/>
        <v>0.18530201888518424</v>
      </c>
      <c r="AS23" s="31">
        <f t="shared" si="11"/>
        <v>0.20589113209464913</v>
      </c>
      <c r="AT23" s="31">
        <f t="shared" si="13"/>
        <v>0.22876792454961015</v>
      </c>
      <c r="AU23" s="31">
        <f t="shared" si="15"/>
        <v>0.25418658283290019</v>
      </c>
      <c r="AV23" s="31">
        <f t="shared" si="17"/>
        <v>0.28242953648100017</v>
      </c>
      <c r="AW23" s="31">
        <f t="shared" si="19"/>
        <v>0.31381059609000017</v>
      </c>
      <c r="AX23" s="31">
        <f t="shared" si="21"/>
        <v>0.34867844010000015</v>
      </c>
      <c r="AY23" s="31">
        <f t="shared" si="23"/>
        <v>0.38742048900000015</v>
      </c>
      <c r="AZ23" s="31">
        <f t="shared" si="25"/>
        <v>0.43046721000000016</v>
      </c>
      <c r="BA23" s="31">
        <f t="shared" si="27"/>
        <v>0.47829690000000014</v>
      </c>
      <c r="BB23" s="31">
        <f t="shared" si="29"/>
        <v>0.53144100000000016</v>
      </c>
      <c r="BC23" s="31">
        <f t="shared" si="31"/>
        <v>0.59049000000000018</v>
      </c>
      <c r="BD23" s="31">
        <f t="shared" si="33"/>
        <v>0.65610000000000013</v>
      </c>
      <c r="BE23" s="31">
        <f t="shared" si="35"/>
        <v>0.72900000000000009</v>
      </c>
      <c r="BF23" s="31">
        <f t="shared" si="37"/>
        <v>0.81</v>
      </c>
      <c r="BG23" s="31">
        <f t="shared" ref="BG23:BG38" si="39">POWER(Retention2,$A4-1)</f>
        <v>0.9</v>
      </c>
      <c r="BH23">
        <v>0</v>
      </c>
      <c r="BI23">
        <v>0</v>
      </c>
      <c r="BJ23">
        <v>0</v>
      </c>
      <c r="BK23">
        <v>0</v>
      </c>
      <c r="BL23">
        <v>0</v>
      </c>
      <c r="BM23">
        <v>0</v>
      </c>
      <c r="BN23">
        <v>0</v>
      </c>
      <c r="BO23">
        <v>0</v>
      </c>
      <c r="BP23">
        <v>0</v>
      </c>
      <c r="BQ23">
        <v>0</v>
      </c>
      <c r="BR23">
        <v>0</v>
      </c>
      <c r="BS23">
        <v>0</v>
      </c>
      <c r="BT23">
        <v>0</v>
      </c>
      <c r="BU23">
        <v>0</v>
      </c>
      <c r="BV23">
        <v>0</v>
      </c>
      <c r="BW23">
        <v>0</v>
      </c>
    </row>
    <row r="24" spans="1:75" x14ac:dyDescent="0.2">
      <c r="A24" s="43">
        <v>22</v>
      </c>
      <c r="B24" s="31">
        <f t="shared" si="0"/>
        <v>0.10941898913151248</v>
      </c>
      <c r="C24" s="31">
        <f t="shared" si="2"/>
        <v>0.12157665459056941</v>
      </c>
      <c r="D24" s="31">
        <f t="shared" si="4"/>
        <v>0.13508517176729934</v>
      </c>
      <c r="E24" s="31">
        <f t="shared" si="6"/>
        <v>0.15009463529699923</v>
      </c>
      <c r="F24" s="31">
        <f t="shared" si="8"/>
        <v>0.16677181699666582</v>
      </c>
      <c r="G24" s="31">
        <f t="shared" si="10"/>
        <v>0.18530201888518424</v>
      </c>
      <c r="H24" s="31">
        <f t="shared" si="12"/>
        <v>0.20589113209464913</v>
      </c>
      <c r="I24" s="31">
        <f t="shared" si="14"/>
        <v>0.22876792454961015</v>
      </c>
      <c r="J24" s="31">
        <f t="shared" si="16"/>
        <v>0.25418658283290019</v>
      </c>
      <c r="K24" s="31">
        <f t="shared" si="18"/>
        <v>0.28242953648100017</v>
      </c>
      <c r="L24" s="31">
        <f t="shared" si="20"/>
        <v>0.31381059609000017</v>
      </c>
      <c r="M24" s="31">
        <f t="shared" si="22"/>
        <v>0.34867844010000015</v>
      </c>
      <c r="N24" s="31">
        <f t="shared" si="24"/>
        <v>0.38742048900000015</v>
      </c>
      <c r="O24" s="31">
        <f t="shared" si="26"/>
        <v>0.43046721000000016</v>
      </c>
      <c r="P24" s="31">
        <f t="shared" si="28"/>
        <v>0.47829690000000014</v>
      </c>
      <c r="Q24" s="31">
        <f t="shared" si="30"/>
        <v>0.53144100000000016</v>
      </c>
      <c r="R24" s="31">
        <f t="shared" si="32"/>
        <v>0.59049000000000018</v>
      </c>
      <c r="S24" s="31">
        <f t="shared" si="34"/>
        <v>0.65610000000000013</v>
      </c>
      <c r="T24" s="31">
        <f t="shared" si="36"/>
        <v>0.72900000000000009</v>
      </c>
      <c r="U24" s="31">
        <f t="shared" si="38"/>
        <v>0.81</v>
      </c>
      <c r="V24" s="31">
        <f t="shared" ref="V24:V38" si="40">POWER(Retention1,$A4-1)</f>
        <v>0.9</v>
      </c>
      <c r="W24">
        <v>0</v>
      </c>
      <c r="X24">
        <v>0</v>
      </c>
      <c r="Y24">
        <v>0</v>
      </c>
      <c r="Z24">
        <v>0</v>
      </c>
      <c r="AA24">
        <v>0</v>
      </c>
      <c r="AB24">
        <v>0</v>
      </c>
      <c r="AC24">
        <v>0</v>
      </c>
      <c r="AD24">
        <v>0</v>
      </c>
      <c r="AE24">
        <v>0</v>
      </c>
      <c r="AF24">
        <v>0</v>
      </c>
      <c r="AG24">
        <v>0</v>
      </c>
      <c r="AH24">
        <v>0</v>
      </c>
      <c r="AI24">
        <v>0</v>
      </c>
      <c r="AJ24">
        <v>0</v>
      </c>
      <c r="AK24">
        <v>0</v>
      </c>
      <c r="AM24" s="43">
        <v>22</v>
      </c>
      <c r="AN24" s="31">
        <f t="shared" si="1"/>
        <v>0.10941898913151248</v>
      </c>
      <c r="AO24" s="31">
        <f t="shared" si="3"/>
        <v>0.12157665459056941</v>
      </c>
      <c r="AP24" s="31">
        <f t="shared" si="5"/>
        <v>0.13508517176729934</v>
      </c>
      <c r="AQ24" s="31">
        <f t="shared" si="7"/>
        <v>0.15009463529699923</v>
      </c>
      <c r="AR24" s="31">
        <f t="shared" si="9"/>
        <v>0.16677181699666582</v>
      </c>
      <c r="AS24" s="31">
        <f t="shared" si="11"/>
        <v>0.18530201888518424</v>
      </c>
      <c r="AT24" s="31">
        <f t="shared" si="13"/>
        <v>0.20589113209464913</v>
      </c>
      <c r="AU24" s="31">
        <f t="shared" si="15"/>
        <v>0.22876792454961015</v>
      </c>
      <c r="AV24" s="31">
        <f t="shared" si="17"/>
        <v>0.25418658283290019</v>
      </c>
      <c r="AW24" s="31">
        <f t="shared" si="19"/>
        <v>0.28242953648100017</v>
      </c>
      <c r="AX24" s="31">
        <f t="shared" si="21"/>
        <v>0.31381059609000017</v>
      </c>
      <c r="AY24" s="31">
        <f t="shared" si="23"/>
        <v>0.34867844010000015</v>
      </c>
      <c r="AZ24" s="31">
        <f t="shared" si="25"/>
        <v>0.38742048900000015</v>
      </c>
      <c r="BA24" s="31">
        <f t="shared" si="27"/>
        <v>0.43046721000000016</v>
      </c>
      <c r="BB24" s="31">
        <f t="shared" si="29"/>
        <v>0.47829690000000014</v>
      </c>
      <c r="BC24" s="31">
        <f t="shared" si="31"/>
        <v>0.53144100000000016</v>
      </c>
      <c r="BD24" s="31">
        <f t="shared" si="33"/>
        <v>0.59049000000000018</v>
      </c>
      <c r="BE24" s="31">
        <f t="shared" si="35"/>
        <v>0.65610000000000013</v>
      </c>
      <c r="BF24" s="31">
        <f t="shared" si="37"/>
        <v>0.72900000000000009</v>
      </c>
      <c r="BG24" s="31">
        <f t="shared" si="39"/>
        <v>0.81</v>
      </c>
      <c r="BH24" s="31">
        <f t="shared" ref="BH24:BH38" si="41">POWER(Retention2,$A4-1)</f>
        <v>0.9</v>
      </c>
      <c r="BI24">
        <v>0</v>
      </c>
      <c r="BJ24">
        <v>0</v>
      </c>
      <c r="BK24">
        <v>0</v>
      </c>
      <c r="BL24">
        <v>0</v>
      </c>
      <c r="BM24">
        <v>0</v>
      </c>
      <c r="BN24">
        <v>0</v>
      </c>
      <c r="BO24">
        <v>0</v>
      </c>
      <c r="BP24">
        <v>0</v>
      </c>
      <c r="BQ24">
        <v>0</v>
      </c>
      <c r="BR24">
        <v>0</v>
      </c>
      <c r="BS24">
        <v>0</v>
      </c>
      <c r="BT24">
        <v>0</v>
      </c>
      <c r="BU24">
        <v>0</v>
      </c>
      <c r="BV24">
        <v>0</v>
      </c>
      <c r="BW24">
        <v>0</v>
      </c>
    </row>
    <row r="25" spans="1:75" x14ac:dyDescent="0.2">
      <c r="A25" s="43">
        <v>23</v>
      </c>
      <c r="B25" s="31">
        <f t="shared" si="0"/>
        <v>9.8477090218361235E-2</v>
      </c>
      <c r="C25" s="31">
        <f t="shared" si="2"/>
        <v>0.10941898913151248</v>
      </c>
      <c r="D25" s="31">
        <f t="shared" si="4"/>
        <v>0.12157665459056941</v>
      </c>
      <c r="E25" s="31">
        <f t="shared" si="6"/>
        <v>0.13508517176729934</v>
      </c>
      <c r="F25" s="31">
        <f t="shared" si="8"/>
        <v>0.15009463529699923</v>
      </c>
      <c r="G25" s="31">
        <f t="shared" si="10"/>
        <v>0.16677181699666582</v>
      </c>
      <c r="H25" s="31">
        <f t="shared" si="12"/>
        <v>0.18530201888518424</v>
      </c>
      <c r="I25" s="31">
        <f t="shared" si="14"/>
        <v>0.20589113209464913</v>
      </c>
      <c r="J25" s="31">
        <f t="shared" si="16"/>
        <v>0.22876792454961015</v>
      </c>
      <c r="K25" s="31">
        <f t="shared" si="18"/>
        <v>0.25418658283290019</v>
      </c>
      <c r="L25" s="31">
        <f t="shared" si="20"/>
        <v>0.28242953648100017</v>
      </c>
      <c r="M25" s="31">
        <f t="shared" si="22"/>
        <v>0.31381059609000017</v>
      </c>
      <c r="N25" s="31">
        <f t="shared" si="24"/>
        <v>0.34867844010000015</v>
      </c>
      <c r="O25" s="31">
        <f t="shared" si="26"/>
        <v>0.38742048900000015</v>
      </c>
      <c r="P25" s="31">
        <f t="shared" si="28"/>
        <v>0.43046721000000016</v>
      </c>
      <c r="Q25" s="31">
        <f t="shared" si="30"/>
        <v>0.47829690000000014</v>
      </c>
      <c r="R25" s="31">
        <f t="shared" si="32"/>
        <v>0.53144100000000016</v>
      </c>
      <c r="S25" s="31">
        <f t="shared" si="34"/>
        <v>0.59049000000000018</v>
      </c>
      <c r="T25" s="31">
        <f t="shared" si="36"/>
        <v>0.65610000000000013</v>
      </c>
      <c r="U25" s="31">
        <f t="shared" si="38"/>
        <v>0.72900000000000009</v>
      </c>
      <c r="V25" s="31">
        <f t="shared" si="40"/>
        <v>0.81</v>
      </c>
      <c r="W25" s="31">
        <f t="shared" ref="W25:W38" si="42">POWER(Retention1,$A4-1)</f>
        <v>0.9</v>
      </c>
      <c r="X25">
        <v>0</v>
      </c>
      <c r="Y25">
        <v>0</v>
      </c>
      <c r="Z25">
        <v>0</v>
      </c>
      <c r="AA25">
        <v>0</v>
      </c>
      <c r="AB25">
        <v>0</v>
      </c>
      <c r="AC25">
        <v>0</v>
      </c>
      <c r="AD25">
        <v>0</v>
      </c>
      <c r="AE25">
        <v>0</v>
      </c>
      <c r="AF25">
        <v>0</v>
      </c>
      <c r="AG25">
        <v>0</v>
      </c>
      <c r="AH25">
        <v>0</v>
      </c>
      <c r="AI25">
        <v>0</v>
      </c>
      <c r="AJ25">
        <v>0</v>
      </c>
      <c r="AK25">
        <v>0</v>
      </c>
      <c r="AM25" s="43">
        <v>23</v>
      </c>
      <c r="AN25" s="31">
        <f t="shared" si="1"/>
        <v>9.8477090218361235E-2</v>
      </c>
      <c r="AO25" s="31">
        <f t="shared" si="3"/>
        <v>0.10941898913151248</v>
      </c>
      <c r="AP25" s="31">
        <f t="shared" si="5"/>
        <v>0.12157665459056941</v>
      </c>
      <c r="AQ25" s="31">
        <f t="shared" si="7"/>
        <v>0.13508517176729934</v>
      </c>
      <c r="AR25" s="31">
        <f t="shared" si="9"/>
        <v>0.15009463529699923</v>
      </c>
      <c r="AS25" s="31">
        <f t="shared" si="11"/>
        <v>0.16677181699666582</v>
      </c>
      <c r="AT25" s="31">
        <f t="shared" si="13"/>
        <v>0.18530201888518424</v>
      </c>
      <c r="AU25" s="31">
        <f t="shared" si="15"/>
        <v>0.20589113209464913</v>
      </c>
      <c r="AV25" s="31">
        <f t="shared" si="17"/>
        <v>0.22876792454961015</v>
      </c>
      <c r="AW25" s="31">
        <f t="shared" si="19"/>
        <v>0.25418658283290019</v>
      </c>
      <c r="AX25" s="31">
        <f t="shared" si="21"/>
        <v>0.28242953648100017</v>
      </c>
      <c r="AY25" s="31">
        <f t="shared" si="23"/>
        <v>0.31381059609000017</v>
      </c>
      <c r="AZ25" s="31">
        <f t="shared" si="25"/>
        <v>0.34867844010000015</v>
      </c>
      <c r="BA25" s="31">
        <f t="shared" si="27"/>
        <v>0.38742048900000015</v>
      </c>
      <c r="BB25" s="31">
        <f t="shared" si="29"/>
        <v>0.43046721000000016</v>
      </c>
      <c r="BC25" s="31">
        <f t="shared" si="31"/>
        <v>0.47829690000000014</v>
      </c>
      <c r="BD25" s="31">
        <f t="shared" si="33"/>
        <v>0.53144100000000016</v>
      </c>
      <c r="BE25" s="31">
        <f t="shared" si="35"/>
        <v>0.59049000000000018</v>
      </c>
      <c r="BF25" s="31">
        <f t="shared" si="37"/>
        <v>0.65610000000000013</v>
      </c>
      <c r="BG25" s="31">
        <f t="shared" si="39"/>
        <v>0.72900000000000009</v>
      </c>
      <c r="BH25" s="31">
        <f t="shared" si="41"/>
        <v>0.81</v>
      </c>
      <c r="BI25" s="31">
        <f t="shared" ref="BI25:BI38" si="43">POWER(Retention2,$A4-1)</f>
        <v>0.9</v>
      </c>
      <c r="BJ25">
        <v>0</v>
      </c>
      <c r="BK25">
        <v>0</v>
      </c>
      <c r="BL25">
        <v>0</v>
      </c>
      <c r="BM25">
        <v>0</v>
      </c>
      <c r="BN25">
        <v>0</v>
      </c>
      <c r="BO25">
        <v>0</v>
      </c>
      <c r="BP25">
        <v>0</v>
      </c>
      <c r="BQ25">
        <v>0</v>
      </c>
      <c r="BR25">
        <v>0</v>
      </c>
      <c r="BS25">
        <v>0</v>
      </c>
      <c r="BT25">
        <v>0</v>
      </c>
      <c r="BU25">
        <v>0</v>
      </c>
      <c r="BV25">
        <v>0</v>
      </c>
      <c r="BW25">
        <v>0</v>
      </c>
    </row>
    <row r="26" spans="1:75" x14ac:dyDescent="0.2">
      <c r="A26" s="43">
        <v>24</v>
      </c>
      <c r="B26" s="31">
        <f t="shared" si="0"/>
        <v>8.8629381196525109E-2</v>
      </c>
      <c r="C26" s="31">
        <f t="shared" si="2"/>
        <v>9.8477090218361235E-2</v>
      </c>
      <c r="D26" s="31">
        <f t="shared" si="4"/>
        <v>0.10941898913151248</v>
      </c>
      <c r="E26" s="31">
        <f t="shared" si="6"/>
        <v>0.12157665459056941</v>
      </c>
      <c r="F26" s="31">
        <f t="shared" si="8"/>
        <v>0.13508517176729934</v>
      </c>
      <c r="G26" s="31">
        <f t="shared" si="10"/>
        <v>0.15009463529699923</v>
      </c>
      <c r="H26" s="31">
        <f t="shared" si="12"/>
        <v>0.16677181699666582</v>
      </c>
      <c r="I26" s="31">
        <f t="shared" si="14"/>
        <v>0.18530201888518424</v>
      </c>
      <c r="J26" s="31">
        <f t="shared" si="16"/>
        <v>0.20589113209464913</v>
      </c>
      <c r="K26" s="31">
        <f t="shared" si="18"/>
        <v>0.22876792454961015</v>
      </c>
      <c r="L26" s="31">
        <f t="shared" si="20"/>
        <v>0.25418658283290019</v>
      </c>
      <c r="M26" s="31">
        <f t="shared" si="22"/>
        <v>0.28242953648100017</v>
      </c>
      <c r="N26" s="31">
        <f t="shared" si="24"/>
        <v>0.31381059609000017</v>
      </c>
      <c r="O26" s="31">
        <f t="shared" si="26"/>
        <v>0.34867844010000015</v>
      </c>
      <c r="P26" s="31">
        <f t="shared" si="28"/>
        <v>0.38742048900000015</v>
      </c>
      <c r="Q26" s="31">
        <f t="shared" si="30"/>
        <v>0.43046721000000016</v>
      </c>
      <c r="R26" s="31">
        <f t="shared" si="32"/>
        <v>0.47829690000000014</v>
      </c>
      <c r="S26" s="31">
        <f t="shared" si="34"/>
        <v>0.53144100000000016</v>
      </c>
      <c r="T26" s="31">
        <f t="shared" si="36"/>
        <v>0.59049000000000018</v>
      </c>
      <c r="U26" s="31">
        <f t="shared" si="38"/>
        <v>0.65610000000000013</v>
      </c>
      <c r="V26" s="31">
        <f t="shared" si="40"/>
        <v>0.72900000000000009</v>
      </c>
      <c r="W26" s="31">
        <f t="shared" si="42"/>
        <v>0.81</v>
      </c>
      <c r="X26" s="31">
        <f t="shared" ref="X26:X38" si="44">POWER(Retention1,$A4-1)</f>
        <v>0.9</v>
      </c>
      <c r="Y26">
        <v>0</v>
      </c>
      <c r="Z26">
        <v>0</v>
      </c>
      <c r="AA26">
        <v>0</v>
      </c>
      <c r="AB26">
        <v>0</v>
      </c>
      <c r="AC26">
        <v>0</v>
      </c>
      <c r="AD26">
        <v>0</v>
      </c>
      <c r="AE26">
        <v>0</v>
      </c>
      <c r="AF26">
        <v>0</v>
      </c>
      <c r="AG26">
        <v>0</v>
      </c>
      <c r="AH26">
        <v>0</v>
      </c>
      <c r="AI26">
        <v>0</v>
      </c>
      <c r="AJ26">
        <v>0</v>
      </c>
      <c r="AK26">
        <v>0</v>
      </c>
      <c r="AM26" s="43">
        <v>24</v>
      </c>
      <c r="AN26" s="31">
        <f t="shared" si="1"/>
        <v>8.8629381196525109E-2</v>
      </c>
      <c r="AO26" s="31">
        <f t="shared" si="3"/>
        <v>9.8477090218361235E-2</v>
      </c>
      <c r="AP26" s="31">
        <f t="shared" si="5"/>
        <v>0.10941898913151248</v>
      </c>
      <c r="AQ26" s="31">
        <f t="shared" si="7"/>
        <v>0.12157665459056941</v>
      </c>
      <c r="AR26" s="31">
        <f t="shared" si="9"/>
        <v>0.13508517176729934</v>
      </c>
      <c r="AS26" s="31">
        <f t="shared" si="11"/>
        <v>0.15009463529699923</v>
      </c>
      <c r="AT26" s="31">
        <f t="shared" si="13"/>
        <v>0.16677181699666582</v>
      </c>
      <c r="AU26" s="31">
        <f t="shared" si="15"/>
        <v>0.18530201888518424</v>
      </c>
      <c r="AV26" s="31">
        <f t="shared" si="17"/>
        <v>0.20589113209464913</v>
      </c>
      <c r="AW26" s="31">
        <f t="shared" si="19"/>
        <v>0.22876792454961015</v>
      </c>
      <c r="AX26" s="31">
        <f t="shared" si="21"/>
        <v>0.25418658283290019</v>
      </c>
      <c r="AY26" s="31">
        <f t="shared" si="23"/>
        <v>0.28242953648100017</v>
      </c>
      <c r="AZ26" s="31">
        <f t="shared" si="25"/>
        <v>0.31381059609000017</v>
      </c>
      <c r="BA26" s="31">
        <f t="shared" si="27"/>
        <v>0.34867844010000015</v>
      </c>
      <c r="BB26" s="31">
        <f t="shared" si="29"/>
        <v>0.38742048900000015</v>
      </c>
      <c r="BC26" s="31">
        <f t="shared" si="31"/>
        <v>0.43046721000000016</v>
      </c>
      <c r="BD26" s="31">
        <f t="shared" si="33"/>
        <v>0.47829690000000014</v>
      </c>
      <c r="BE26" s="31">
        <f t="shared" si="35"/>
        <v>0.53144100000000016</v>
      </c>
      <c r="BF26" s="31">
        <f t="shared" si="37"/>
        <v>0.59049000000000018</v>
      </c>
      <c r="BG26" s="31">
        <f t="shared" si="39"/>
        <v>0.65610000000000013</v>
      </c>
      <c r="BH26" s="31">
        <f t="shared" si="41"/>
        <v>0.72900000000000009</v>
      </c>
      <c r="BI26" s="31">
        <f t="shared" si="43"/>
        <v>0.81</v>
      </c>
      <c r="BJ26" s="31">
        <f t="shared" ref="BJ26:BJ38" si="45">POWER(Retention2,$A4-1)</f>
        <v>0.9</v>
      </c>
      <c r="BK26">
        <v>0</v>
      </c>
      <c r="BL26">
        <v>0</v>
      </c>
      <c r="BM26">
        <v>0</v>
      </c>
      <c r="BN26">
        <v>0</v>
      </c>
      <c r="BO26">
        <v>0</v>
      </c>
      <c r="BP26">
        <v>0</v>
      </c>
      <c r="BQ26">
        <v>0</v>
      </c>
      <c r="BR26">
        <v>0</v>
      </c>
      <c r="BS26">
        <v>0</v>
      </c>
      <c r="BT26">
        <v>0</v>
      </c>
      <c r="BU26">
        <v>0</v>
      </c>
      <c r="BV26">
        <v>0</v>
      </c>
      <c r="BW26">
        <v>0</v>
      </c>
    </row>
    <row r="27" spans="1:75" x14ac:dyDescent="0.2">
      <c r="A27" s="43">
        <v>25</v>
      </c>
      <c r="B27" s="31">
        <f t="shared" si="0"/>
        <v>7.9766443076872598E-2</v>
      </c>
      <c r="C27" s="31">
        <f t="shared" si="2"/>
        <v>8.8629381196525109E-2</v>
      </c>
      <c r="D27" s="31">
        <f t="shared" si="4"/>
        <v>9.8477090218361235E-2</v>
      </c>
      <c r="E27" s="31">
        <f t="shared" si="6"/>
        <v>0.10941898913151248</v>
      </c>
      <c r="F27" s="31">
        <f t="shared" si="8"/>
        <v>0.12157665459056941</v>
      </c>
      <c r="G27" s="31">
        <f t="shared" si="10"/>
        <v>0.13508517176729934</v>
      </c>
      <c r="H27" s="31">
        <f t="shared" si="12"/>
        <v>0.15009463529699923</v>
      </c>
      <c r="I27" s="31">
        <f t="shared" si="14"/>
        <v>0.16677181699666582</v>
      </c>
      <c r="J27" s="31">
        <f t="shared" si="16"/>
        <v>0.18530201888518424</v>
      </c>
      <c r="K27" s="31">
        <f t="shared" si="18"/>
        <v>0.20589113209464913</v>
      </c>
      <c r="L27" s="31">
        <f t="shared" si="20"/>
        <v>0.22876792454961015</v>
      </c>
      <c r="M27" s="31">
        <f t="shared" si="22"/>
        <v>0.25418658283290019</v>
      </c>
      <c r="N27" s="31">
        <f t="shared" si="24"/>
        <v>0.28242953648100017</v>
      </c>
      <c r="O27" s="31">
        <f t="shared" si="26"/>
        <v>0.31381059609000017</v>
      </c>
      <c r="P27" s="31">
        <f t="shared" si="28"/>
        <v>0.34867844010000015</v>
      </c>
      <c r="Q27" s="31">
        <f t="shared" si="30"/>
        <v>0.38742048900000015</v>
      </c>
      <c r="R27" s="31">
        <f t="shared" si="32"/>
        <v>0.43046721000000016</v>
      </c>
      <c r="S27" s="31">
        <f t="shared" si="34"/>
        <v>0.47829690000000014</v>
      </c>
      <c r="T27" s="31">
        <f t="shared" si="36"/>
        <v>0.53144100000000016</v>
      </c>
      <c r="U27" s="31">
        <f t="shared" si="38"/>
        <v>0.59049000000000018</v>
      </c>
      <c r="V27" s="31">
        <f t="shared" si="40"/>
        <v>0.65610000000000013</v>
      </c>
      <c r="W27" s="31">
        <f t="shared" si="42"/>
        <v>0.72900000000000009</v>
      </c>
      <c r="X27" s="31">
        <f t="shared" si="44"/>
        <v>0.81</v>
      </c>
      <c r="Y27" s="31">
        <f t="shared" ref="Y27:Y38" si="46">POWER(Retention1,$A4-1)</f>
        <v>0.9</v>
      </c>
      <c r="Z27">
        <v>0</v>
      </c>
      <c r="AA27">
        <v>0</v>
      </c>
      <c r="AB27">
        <v>0</v>
      </c>
      <c r="AC27">
        <v>0</v>
      </c>
      <c r="AD27">
        <v>0</v>
      </c>
      <c r="AE27">
        <v>0</v>
      </c>
      <c r="AF27">
        <v>0</v>
      </c>
      <c r="AG27">
        <v>0</v>
      </c>
      <c r="AH27">
        <v>0</v>
      </c>
      <c r="AI27">
        <v>0</v>
      </c>
      <c r="AJ27">
        <v>0</v>
      </c>
      <c r="AK27">
        <v>0</v>
      </c>
      <c r="AM27" s="43">
        <v>25</v>
      </c>
      <c r="AN27" s="31">
        <f t="shared" si="1"/>
        <v>7.9766443076872598E-2</v>
      </c>
      <c r="AO27" s="31">
        <f t="shared" si="3"/>
        <v>8.8629381196525109E-2</v>
      </c>
      <c r="AP27" s="31">
        <f t="shared" si="5"/>
        <v>9.8477090218361235E-2</v>
      </c>
      <c r="AQ27" s="31">
        <f t="shared" si="7"/>
        <v>0.10941898913151248</v>
      </c>
      <c r="AR27" s="31">
        <f t="shared" si="9"/>
        <v>0.12157665459056941</v>
      </c>
      <c r="AS27" s="31">
        <f t="shared" si="11"/>
        <v>0.13508517176729934</v>
      </c>
      <c r="AT27" s="31">
        <f t="shared" si="13"/>
        <v>0.15009463529699923</v>
      </c>
      <c r="AU27" s="31">
        <f t="shared" si="15"/>
        <v>0.16677181699666582</v>
      </c>
      <c r="AV27" s="31">
        <f t="shared" si="17"/>
        <v>0.18530201888518424</v>
      </c>
      <c r="AW27" s="31">
        <f t="shared" si="19"/>
        <v>0.20589113209464913</v>
      </c>
      <c r="AX27" s="31">
        <f t="shared" si="21"/>
        <v>0.22876792454961015</v>
      </c>
      <c r="AY27" s="31">
        <f t="shared" si="23"/>
        <v>0.25418658283290019</v>
      </c>
      <c r="AZ27" s="31">
        <f t="shared" si="25"/>
        <v>0.28242953648100017</v>
      </c>
      <c r="BA27" s="31">
        <f t="shared" si="27"/>
        <v>0.31381059609000017</v>
      </c>
      <c r="BB27" s="31">
        <f t="shared" si="29"/>
        <v>0.34867844010000015</v>
      </c>
      <c r="BC27" s="31">
        <f t="shared" si="31"/>
        <v>0.38742048900000015</v>
      </c>
      <c r="BD27" s="31">
        <f t="shared" si="33"/>
        <v>0.43046721000000016</v>
      </c>
      <c r="BE27" s="31">
        <f t="shared" si="35"/>
        <v>0.47829690000000014</v>
      </c>
      <c r="BF27" s="31">
        <f t="shared" si="37"/>
        <v>0.53144100000000016</v>
      </c>
      <c r="BG27" s="31">
        <f t="shared" si="39"/>
        <v>0.59049000000000018</v>
      </c>
      <c r="BH27" s="31">
        <f t="shared" si="41"/>
        <v>0.65610000000000013</v>
      </c>
      <c r="BI27" s="31">
        <f t="shared" si="43"/>
        <v>0.72900000000000009</v>
      </c>
      <c r="BJ27" s="31">
        <f t="shared" si="45"/>
        <v>0.81</v>
      </c>
      <c r="BK27" s="31">
        <f t="shared" ref="BK27:BK38" si="47">POWER(Retention2,$A4-1)</f>
        <v>0.9</v>
      </c>
      <c r="BL27">
        <v>0</v>
      </c>
      <c r="BM27">
        <v>0</v>
      </c>
      <c r="BN27">
        <v>0</v>
      </c>
      <c r="BO27">
        <v>0</v>
      </c>
      <c r="BP27">
        <v>0</v>
      </c>
      <c r="BQ27">
        <v>0</v>
      </c>
      <c r="BR27">
        <v>0</v>
      </c>
      <c r="BS27">
        <v>0</v>
      </c>
      <c r="BT27">
        <v>0</v>
      </c>
      <c r="BU27">
        <v>0</v>
      </c>
      <c r="BV27">
        <v>0</v>
      </c>
      <c r="BW27">
        <v>0</v>
      </c>
    </row>
    <row r="28" spans="1:75" x14ac:dyDescent="0.2">
      <c r="A28" s="43">
        <v>26</v>
      </c>
      <c r="B28" s="31">
        <f t="shared" si="0"/>
        <v>7.1789798769185342E-2</v>
      </c>
      <c r="C28" s="31">
        <f t="shared" si="2"/>
        <v>7.9766443076872598E-2</v>
      </c>
      <c r="D28" s="31">
        <f t="shared" si="4"/>
        <v>8.8629381196525109E-2</v>
      </c>
      <c r="E28" s="31">
        <f t="shared" si="6"/>
        <v>9.8477090218361235E-2</v>
      </c>
      <c r="F28" s="31">
        <f t="shared" si="8"/>
        <v>0.10941898913151248</v>
      </c>
      <c r="G28" s="31">
        <f t="shared" si="10"/>
        <v>0.12157665459056941</v>
      </c>
      <c r="H28" s="31">
        <f t="shared" si="12"/>
        <v>0.13508517176729934</v>
      </c>
      <c r="I28" s="31">
        <f t="shared" si="14"/>
        <v>0.15009463529699923</v>
      </c>
      <c r="J28" s="31">
        <f t="shared" si="16"/>
        <v>0.16677181699666582</v>
      </c>
      <c r="K28" s="31">
        <f t="shared" si="18"/>
        <v>0.18530201888518424</v>
      </c>
      <c r="L28" s="31">
        <f t="shared" si="20"/>
        <v>0.20589113209464913</v>
      </c>
      <c r="M28" s="31">
        <f t="shared" si="22"/>
        <v>0.22876792454961015</v>
      </c>
      <c r="N28" s="31">
        <f t="shared" si="24"/>
        <v>0.25418658283290019</v>
      </c>
      <c r="O28" s="31">
        <f t="shared" si="26"/>
        <v>0.28242953648100017</v>
      </c>
      <c r="P28" s="31">
        <f t="shared" si="28"/>
        <v>0.31381059609000017</v>
      </c>
      <c r="Q28" s="31">
        <f t="shared" si="30"/>
        <v>0.34867844010000015</v>
      </c>
      <c r="R28" s="31">
        <f t="shared" si="32"/>
        <v>0.38742048900000015</v>
      </c>
      <c r="S28" s="31">
        <f t="shared" si="34"/>
        <v>0.43046721000000016</v>
      </c>
      <c r="T28" s="31">
        <f t="shared" si="36"/>
        <v>0.47829690000000014</v>
      </c>
      <c r="U28" s="31">
        <f t="shared" si="38"/>
        <v>0.53144100000000016</v>
      </c>
      <c r="V28" s="31">
        <f t="shared" si="40"/>
        <v>0.59049000000000018</v>
      </c>
      <c r="W28" s="31">
        <f t="shared" si="42"/>
        <v>0.65610000000000013</v>
      </c>
      <c r="X28" s="31">
        <f t="shared" si="44"/>
        <v>0.72900000000000009</v>
      </c>
      <c r="Y28" s="31">
        <f t="shared" si="46"/>
        <v>0.81</v>
      </c>
      <c r="Z28" s="31">
        <f t="shared" ref="Z28:Z38" si="48">POWER(Retention1,$A4-1)</f>
        <v>0.9</v>
      </c>
      <c r="AA28">
        <v>0</v>
      </c>
      <c r="AB28">
        <v>0</v>
      </c>
      <c r="AC28">
        <v>0</v>
      </c>
      <c r="AD28">
        <v>0</v>
      </c>
      <c r="AE28">
        <v>0</v>
      </c>
      <c r="AF28">
        <v>0</v>
      </c>
      <c r="AG28">
        <v>0</v>
      </c>
      <c r="AH28">
        <v>0</v>
      </c>
      <c r="AI28">
        <v>0</v>
      </c>
      <c r="AJ28">
        <v>0</v>
      </c>
      <c r="AK28">
        <v>0</v>
      </c>
      <c r="AM28" s="43">
        <v>26</v>
      </c>
      <c r="AN28" s="31">
        <f t="shared" si="1"/>
        <v>7.1789798769185342E-2</v>
      </c>
      <c r="AO28" s="31">
        <f t="shared" si="3"/>
        <v>7.9766443076872598E-2</v>
      </c>
      <c r="AP28" s="31">
        <f t="shared" si="5"/>
        <v>8.8629381196525109E-2</v>
      </c>
      <c r="AQ28" s="31">
        <f t="shared" si="7"/>
        <v>9.8477090218361235E-2</v>
      </c>
      <c r="AR28" s="31">
        <f t="shared" si="9"/>
        <v>0.10941898913151248</v>
      </c>
      <c r="AS28" s="31">
        <f t="shared" si="11"/>
        <v>0.12157665459056941</v>
      </c>
      <c r="AT28" s="31">
        <f t="shared" si="13"/>
        <v>0.13508517176729934</v>
      </c>
      <c r="AU28" s="31">
        <f t="shared" si="15"/>
        <v>0.15009463529699923</v>
      </c>
      <c r="AV28" s="31">
        <f t="shared" si="17"/>
        <v>0.16677181699666582</v>
      </c>
      <c r="AW28" s="31">
        <f t="shared" si="19"/>
        <v>0.18530201888518424</v>
      </c>
      <c r="AX28" s="31">
        <f t="shared" si="21"/>
        <v>0.20589113209464913</v>
      </c>
      <c r="AY28" s="31">
        <f t="shared" si="23"/>
        <v>0.22876792454961015</v>
      </c>
      <c r="AZ28" s="31">
        <f t="shared" si="25"/>
        <v>0.25418658283290019</v>
      </c>
      <c r="BA28" s="31">
        <f t="shared" si="27"/>
        <v>0.28242953648100017</v>
      </c>
      <c r="BB28" s="31">
        <f t="shared" si="29"/>
        <v>0.31381059609000017</v>
      </c>
      <c r="BC28" s="31">
        <f t="shared" si="31"/>
        <v>0.34867844010000015</v>
      </c>
      <c r="BD28" s="31">
        <f t="shared" si="33"/>
        <v>0.38742048900000015</v>
      </c>
      <c r="BE28" s="31">
        <f t="shared" si="35"/>
        <v>0.43046721000000016</v>
      </c>
      <c r="BF28" s="31">
        <f t="shared" si="37"/>
        <v>0.47829690000000014</v>
      </c>
      <c r="BG28" s="31">
        <f t="shared" si="39"/>
        <v>0.53144100000000016</v>
      </c>
      <c r="BH28" s="31">
        <f t="shared" si="41"/>
        <v>0.59049000000000018</v>
      </c>
      <c r="BI28" s="31">
        <f t="shared" si="43"/>
        <v>0.65610000000000013</v>
      </c>
      <c r="BJ28" s="31">
        <f t="shared" si="45"/>
        <v>0.72900000000000009</v>
      </c>
      <c r="BK28" s="31">
        <f t="shared" si="47"/>
        <v>0.81</v>
      </c>
      <c r="BL28" s="31">
        <f t="shared" ref="BL28:BL38" si="49">POWER(Retention2,$A4-1)</f>
        <v>0.9</v>
      </c>
      <c r="BM28">
        <v>0</v>
      </c>
      <c r="BN28">
        <v>0</v>
      </c>
      <c r="BO28">
        <v>0</v>
      </c>
      <c r="BP28">
        <v>0</v>
      </c>
      <c r="BQ28">
        <v>0</v>
      </c>
      <c r="BR28">
        <v>0</v>
      </c>
      <c r="BS28">
        <v>0</v>
      </c>
      <c r="BT28">
        <v>0</v>
      </c>
      <c r="BU28">
        <v>0</v>
      </c>
      <c r="BV28">
        <v>0</v>
      </c>
      <c r="BW28">
        <v>0</v>
      </c>
    </row>
    <row r="29" spans="1:75" x14ac:dyDescent="0.2">
      <c r="A29" s="43">
        <v>27</v>
      </c>
      <c r="B29" s="31">
        <f t="shared" si="0"/>
        <v>6.4610818892266816E-2</v>
      </c>
      <c r="C29" s="31">
        <f t="shared" si="2"/>
        <v>7.1789798769185342E-2</v>
      </c>
      <c r="D29" s="31">
        <f t="shared" si="4"/>
        <v>7.9766443076872598E-2</v>
      </c>
      <c r="E29" s="31">
        <f t="shared" si="6"/>
        <v>8.8629381196525109E-2</v>
      </c>
      <c r="F29" s="31">
        <f t="shared" si="8"/>
        <v>9.8477090218361235E-2</v>
      </c>
      <c r="G29" s="31">
        <f t="shared" si="10"/>
        <v>0.10941898913151248</v>
      </c>
      <c r="H29" s="31">
        <f t="shared" si="12"/>
        <v>0.12157665459056941</v>
      </c>
      <c r="I29" s="31">
        <f t="shared" si="14"/>
        <v>0.13508517176729934</v>
      </c>
      <c r="J29" s="31">
        <f t="shared" si="16"/>
        <v>0.15009463529699923</v>
      </c>
      <c r="K29" s="31">
        <f t="shared" si="18"/>
        <v>0.16677181699666582</v>
      </c>
      <c r="L29" s="31">
        <f t="shared" si="20"/>
        <v>0.18530201888518424</v>
      </c>
      <c r="M29" s="31">
        <f t="shared" si="22"/>
        <v>0.20589113209464913</v>
      </c>
      <c r="N29" s="31">
        <f t="shared" si="24"/>
        <v>0.22876792454961015</v>
      </c>
      <c r="O29" s="31">
        <f t="shared" si="26"/>
        <v>0.25418658283290019</v>
      </c>
      <c r="P29" s="31">
        <f t="shared" si="28"/>
        <v>0.28242953648100017</v>
      </c>
      <c r="Q29" s="31">
        <f t="shared" si="30"/>
        <v>0.31381059609000017</v>
      </c>
      <c r="R29" s="31">
        <f t="shared" si="32"/>
        <v>0.34867844010000015</v>
      </c>
      <c r="S29" s="31">
        <f t="shared" si="34"/>
        <v>0.38742048900000015</v>
      </c>
      <c r="T29" s="31">
        <f t="shared" si="36"/>
        <v>0.43046721000000016</v>
      </c>
      <c r="U29" s="31">
        <f t="shared" si="38"/>
        <v>0.47829690000000014</v>
      </c>
      <c r="V29" s="31">
        <f t="shared" si="40"/>
        <v>0.53144100000000016</v>
      </c>
      <c r="W29" s="31">
        <f t="shared" si="42"/>
        <v>0.59049000000000018</v>
      </c>
      <c r="X29" s="31">
        <f t="shared" si="44"/>
        <v>0.65610000000000013</v>
      </c>
      <c r="Y29" s="31">
        <f t="shared" si="46"/>
        <v>0.72900000000000009</v>
      </c>
      <c r="Z29" s="31">
        <f t="shared" si="48"/>
        <v>0.81</v>
      </c>
      <c r="AA29" s="31">
        <f t="shared" ref="AA29:AA38" si="50">POWER(Retention1,$A4-1)</f>
        <v>0.9</v>
      </c>
      <c r="AB29">
        <v>0</v>
      </c>
      <c r="AC29">
        <v>0</v>
      </c>
      <c r="AD29">
        <v>0</v>
      </c>
      <c r="AE29">
        <v>0</v>
      </c>
      <c r="AF29">
        <v>0</v>
      </c>
      <c r="AG29">
        <v>0</v>
      </c>
      <c r="AH29">
        <v>0</v>
      </c>
      <c r="AI29">
        <v>0</v>
      </c>
      <c r="AJ29">
        <v>0</v>
      </c>
      <c r="AK29">
        <v>0</v>
      </c>
      <c r="AM29" s="43">
        <v>27</v>
      </c>
      <c r="AN29" s="31">
        <f t="shared" si="1"/>
        <v>6.4610818892266816E-2</v>
      </c>
      <c r="AO29" s="31">
        <f t="shared" si="3"/>
        <v>7.1789798769185342E-2</v>
      </c>
      <c r="AP29" s="31">
        <f t="shared" si="5"/>
        <v>7.9766443076872598E-2</v>
      </c>
      <c r="AQ29" s="31">
        <f t="shared" si="7"/>
        <v>8.8629381196525109E-2</v>
      </c>
      <c r="AR29" s="31">
        <f t="shared" si="9"/>
        <v>9.8477090218361235E-2</v>
      </c>
      <c r="AS29" s="31">
        <f t="shared" si="11"/>
        <v>0.10941898913151248</v>
      </c>
      <c r="AT29" s="31">
        <f t="shared" si="13"/>
        <v>0.12157665459056941</v>
      </c>
      <c r="AU29" s="31">
        <f t="shared" si="15"/>
        <v>0.13508517176729934</v>
      </c>
      <c r="AV29" s="31">
        <f t="shared" si="17"/>
        <v>0.15009463529699923</v>
      </c>
      <c r="AW29" s="31">
        <f t="shared" si="19"/>
        <v>0.16677181699666582</v>
      </c>
      <c r="AX29" s="31">
        <f t="shared" si="21"/>
        <v>0.18530201888518424</v>
      </c>
      <c r="AY29" s="31">
        <f t="shared" si="23"/>
        <v>0.20589113209464913</v>
      </c>
      <c r="AZ29" s="31">
        <f t="shared" si="25"/>
        <v>0.22876792454961015</v>
      </c>
      <c r="BA29" s="31">
        <f t="shared" si="27"/>
        <v>0.25418658283290019</v>
      </c>
      <c r="BB29" s="31">
        <f t="shared" si="29"/>
        <v>0.28242953648100017</v>
      </c>
      <c r="BC29" s="31">
        <f t="shared" si="31"/>
        <v>0.31381059609000017</v>
      </c>
      <c r="BD29" s="31">
        <f t="shared" si="33"/>
        <v>0.34867844010000015</v>
      </c>
      <c r="BE29" s="31">
        <f t="shared" si="35"/>
        <v>0.38742048900000015</v>
      </c>
      <c r="BF29" s="31">
        <f t="shared" si="37"/>
        <v>0.43046721000000016</v>
      </c>
      <c r="BG29" s="31">
        <f t="shared" si="39"/>
        <v>0.47829690000000014</v>
      </c>
      <c r="BH29" s="31">
        <f t="shared" si="41"/>
        <v>0.53144100000000016</v>
      </c>
      <c r="BI29" s="31">
        <f t="shared" si="43"/>
        <v>0.59049000000000018</v>
      </c>
      <c r="BJ29" s="31">
        <f t="shared" si="45"/>
        <v>0.65610000000000013</v>
      </c>
      <c r="BK29" s="31">
        <f t="shared" si="47"/>
        <v>0.72900000000000009</v>
      </c>
      <c r="BL29" s="31">
        <f t="shared" si="49"/>
        <v>0.81</v>
      </c>
      <c r="BM29" s="31">
        <f t="shared" ref="BM29:BM38" si="51">POWER(Retention2,$A4-1)</f>
        <v>0.9</v>
      </c>
      <c r="BN29">
        <v>0</v>
      </c>
      <c r="BO29">
        <v>0</v>
      </c>
      <c r="BP29">
        <v>0</v>
      </c>
      <c r="BQ29">
        <v>0</v>
      </c>
      <c r="BR29">
        <v>0</v>
      </c>
      <c r="BS29">
        <v>0</v>
      </c>
      <c r="BT29">
        <v>0</v>
      </c>
      <c r="BU29">
        <v>0</v>
      </c>
      <c r="BV29">
        <v>0</v>
      </c>
      <c r="BW29">
        <v>0</v>
      </c>
    </row>
    <row r="30" spans="1:75" x14ac:dyDescent="0.2">
      <c r="A30" s="43">
        <v>28</v>
      </c>
      <c r="B30" s="31">
        <f t="shared" si="0"/>
        <v>5.8149737003040138E-2</v>
      </c>
      <c r="C30" s="31">
        <f t="shared" si="2"/>
        <v>6.4610818892266816E-2</v>
      </c>
      <c r="D30" s="31">
        <f t="shared" si="4"/>
        <v>7.1789798769185342E-2</v>
      </c>
      <c r="E30" s="31">
        <f t="shared" si="6"/>
        <v>7.9766443076872598E-2</v>
      </c>
      <c r="F30" s="31">
        <f t="shared" si="8"/>
        <v>8.8629381196525109E-2</v>
      </c>
      <c r="G30" s="31">
        <f t="shared" si="10"/>
        <v>9.8477090218361235E-2</v>
      </c>
      <c r="H30" s="31">
        <f t="shared" si="12"/>
        <v>0.10941898913151248</v>
      </c>
      <c r="I30" s="31">
        <f t="shared" si="14"/>
        <v>0.12157665459056941</v>
      </c>
      <c r="J30" s="31">
        <f t="shared" si="16"/>
        <v>0.13508517176729934</v>
      </c>
      <c r="K30" s="31">
        <f t="shared" si="18"/>
        <v>0.15009463529699923</v>
      </c>
      <c r="L30" s="31">
        <f t="shared" si="20"/>
        <v>0.16677181699666582</v>
      </c>
      <c r="M30" s="31">
        <f t="shared" si="22"/>
        <v>0.18530201888518424</v>
      </c>
      <c r="N30" s="31">
        <f t="shared" si="24"/>
        <v>0.20589113209464913</v>
      </c>
      <c r="O30" s="31">
        <f t="shared" si="26"/>
        <v>0.22876792454961015</v>
      </c>
      <c r="P30" s="31">
        <f t="shared" si="28"/>
        <v>0.25418658283290019</v>
      </c>
      <c r="Q30" s="31">
        <f t="shared" si="30"/>
        <v>0.28242953648100017</v>
      </c>
      <c r="R30" s="31">
        <f t="shared" si="32"/>
        <v>0.31381059609000017</v>
      </c>
      <c r="S30" s="31">
        <f t="shared" si="34"/>
        <v>0.34867844010000015</v>
      </c>
      <c r="T30" s="31">
        <f t="shared" si="36"/>
        <v>0.38742048900000015</v>
      </c>
      <c r="U30" s="31">
        <f t="shared" si="38"/>
        <v>0.43046721000000016</v>
      </c>
      <c r="V30" s="31">
        <f t="shared" si="40"/>
        <v>0.47829690000000014</v>
      </c>
      <c r="W30" s="31">
        <f t="shared" si="42"/>
        <v>0.53144100000000016</v>
      </c>
      <c r="X30" s="31">
        <f t="shared" si="44"/>
        <v>0.59049000000000018</v>
      </c>
      <c r="Y30" s="31">
        <f t="shared" si="46"/>
        <v>0.65610000000000013</v>
      </c>
      <c r="Z30" s="31">
        <f t="shared" si="48"/>
        <v>0.72900000000000009</v>
      </c>
      <c r="AA30" s="31">
        <f t="shared" si="50"/>
        <v>0.81</v>
      </c>
      <c r="AB30" s="31">
        <f t="shared" ref="AB30:AB38" si="52">POWER(Retention1,$A4-1)</f>
        <v>0.9</v>
      </c>
      <c r="AC30">
        <v>0</v>
      </c>
      <c r="AD30">
        <v>0</v>
      </c>
      <c r="AE30">
        <v>0</v>
      </c>
      <c r="AF30">
        <v>0</v>
      </c>
      <c r="AG30">
        <v>0</v>
      </c>
      <c r="AH30">
        <v>0</v>
      </c>
      <c r="AI30">
        <v>0</v>
      </c>
      <c r="AJ30">
        <v>0</v>
      </c>
      <c r="AK30">
        <v>0</v>
      </c>
      <c r="AM30" s="43">
        <v>28</v>
      </c>
      <c r="AN30" s="31">
        <f t="shared" si="1"/>
        <v>5.8149737003040138E-2</v>
      </c>
      <c r="AO30" s="31">
        <f t="shared" si="3"/>
        <v>6.4610818892266816E-2</v>
      </c>
      <c r="AP30" s="31">
        <f t="shared" si="5"/>
        <v>7.1789798769185342E-2</v>
      </c>
      <c r="AQ30" s="31">
        <f t="shared" si="7"/>
        <v>7.9766443076872598E-2</v>
      </c>
      <c r="AR30" s="31">
        <f t="shared" si="9"/>
        <v>8.8629381196525109E-2</v>
      </c>
      <c r="AS30" s="31">
        <f t="shared" si="11"/>
        <v>9.8477090218361235E-2</v>
      </c>
      <c r="AT30" s="31">
        <f t="shared" si="13"/>
        <v>0.10941898913151248</v>
      </c>
      <c r="AU30" s="31">
        <f t="shared" si="15"/>
        <v>0.12157665459056941</v>
      </c>
      <c r="AV30" s="31">
        <f t="shared" si="17"/>
        <v>0.13508517176729934</v>
      </c>
      <c r="AW30" s="31">
        <f t="shared" si="19"/>
        <v>0.15009463529699923</v>
      </c>
      <c r="AX30" s="31">
        <f t="shared" si="21"/>
        <v>0.16677181699666582</v>
      </c>
      <c r="AY30" s="31">
        <f t="shared" si="23"/>
        <v>0.18530201888518424</v>
      </c>
      <c r="AZ30" s="31">
        <f t="shared" si="25"/>
        <v>0.20589113209464913</v>
      </c>
      <c r="BA30" s="31">
        <f t="shared" si="27"/>
        <v>0.22876792454961015</v>
      </c>
      <c r="BB30" s="31">
        <f t="shared" si="29"/>
        <v>0.25418658283290019</v>
      </c>
      <c r="BC30" s="31">
        <f t="shared" si="31"/>
        <v>0.28242953648100017</v>
      </c>
      <c r="BD30" s="31">
        <f t="shared" si="33"/>
        <v>0.31381059609000017</v>
      </c>
      <c r="BE30" s="31">
        <f t="shared" si="35"/>
        <v>0.34867844010000015</v>
      </c>
      <c r="BF30" s="31">
        <f t="shared" si="37"/>
        <v>0.38742048900000015</v>
      </c>
      <c r="BG30" s="31">
        <f t="shared" si="39"/>
        <v>0.43046721000000016</v>
      </c>
      <c r="BH30" s="31">
        <f t="shared" si="41"/>
        <v>0.47829690000000014</v>
      </c>
      <c r="BI30" s="31">
        <f t="shared" si="43"/>
        <v>0.53144100000000016</v>
      </c>
      <c r="BJ30" s="31">
        <f t="shared" si="45"/>
        <v>0.59049000000000018</v>
      </c>
      <c r="BK30" s="31">
        <f t="shared" si="47"/>
        <v>0.65610000000000013</v>
      </c>
      <c r="BL30" s="31">
        <f t="shared" si="49"/>
        <v>0.72900000000000009</v>
      </c>
      <c r="BM30" s="31">
        <f t="shared" si="51"/>
        <v>0.81</v>
      </c>
      <c r="BN30" s="31">
        <f t="shared" ref="BN30:BN38" si="53">POWER(Retention2,$A4-1)</f>
        <v>0.9</v>
      </c>
      <c r="BO30">
        <v>0</v>
      </c>
      <c r="BP30">
        <v>0</v>
      </c>
      <c r="BQ30">
        <v>0</v>
      </c>
      <c r="BR30">
        <v>0</v>
      </c>
      <c r="BS30">
        <v>0</v>
      </c>
      <c r="BT30">
        <v>0</v>
      </c>
      <c r="BU30">
        <v>0</v>
      </c>
      <c r="BV30">
        <v>0</v>
      </c>
      <c r="BW30">
        <v>0</v>
      </c>
    </row>
    <row r="31" spans="1:75" x14ac:dyDescent="0.2">
      <c r="A31" s="43">
        <v>29</v>
      </c>
      <c r="B31" s="31">
        <f t="shared" si="0"/>
        <v>5.2334763302736127E-2</v>
      </c>
      <c r="C31" s="31">
        <f t="shared" si="2"/>
        <v>5.8149737003040138E-2</v>
      </c>
      <c r="D31" s="31">
        <f t="shared" si="4"/>
        <v>6.4610818892266816E-2</v>
      </c>
      <c r="E31" s="31">
        <f t="shared" si="6"/>
        <v>7.1789798769185342E-2</v>
      </c>
      <c r="F31" s="31">
        <f t="shared" si="8"/>
        <v>7.9766443076872598E-2</v>
      </c>
      <c r="G31" s="31">
        <f t="shared" si="10"/>
        <v>8.8629381196525109E-2</v>
      </c>
      <c r="H31" s="31">
        <f t="shared" si="12"/>
        <v>9.8477090218361235E-2</v>
      </c>
      <c r="I31" s="31">
        <f t="shared" si="14"/>
        <v>0.10941898913151248</v>
      </c>
      <c r="J31" s="31">
        <f t="shared" si="16"/>
        <v>0.12157665459056941</v>
      </c>
      <c r="K31" s="31">
        <f t="shared" si="18"/>
        <v>0.13508517176729934</v>
      </c>
      <c r="L31" s="31">
        <f t="shared" si="20"/>
        <v>0.15009463529699923</v>
      </c>
      <c r="M31" s="31">
        <f t="shared" si="22"/>
        <v>0.16677181699666582</v>
      </c>
      <c r="N31" s="31">
        <f t="shared" si="24"/>
        <v>0.18530201888518424</v>
      </c>
      <c r="O31" s="31">
        <f t="shared" si="26"/>
        <v>0.20589113209464913</v>
      </c>
      <c r="P31" s="31">
        <f t="shared" si="28"/>
        <v>0.22876792454961015</v>
      </c>
      <c r="Q31" s="31">
        <f t="shared" si="30"/>
        <v>0.25418658283290019</v>
      </c>
      <c r="R31" s="31">
        <f t="shared" si="32"/>
        <v>0.28242953648100017</v>
      </c>
      <c r="S31" s="31">
        <f t="shared" si="34"/>
        <v>0.31381059609000017</v>
      </c>
      <c r="T31" s="31">
        <f t="shared" si="36"/>
        <v>0.34867844010000015</v>
      </c>
      <c r="U31" s="31">
        <f t="shared" si="38"/>
        <v>0.38742048900000015</v>
      </c>
      <c r="V31" s="31">
        <f t="shared" si="40"/>
        <v>0.43046721000000016</v>
      </c>
      <c r="W31" s="31">
        <f t="shared" si="42"/>
        <v>0.47829690000000014</v>
      </c>
      <c r="X31" s="31">
        <f t="shared" si="44"/>
        <v>0.53144100000000016</v>
      </c>
      <c r="Y31" s="31">
        <f t="shared" si="46"/>
        <v>0.59049000000000018</v>
      </c>
      <c r="Z31" s="31">
        <f t="shared" si="48"/>
        <v>0.65610000000000013</v>
      </c>
      <c r="AA31" s="31">
        <f t="shared" si="50"/>
        <v>0.72900000000000009</v>
      </c>
      <c r="AB31" s="31">
        <f t="shared" si="52"/>
        <v>0.81</v>
      </c>
      <c r="AC31" s="31">
        <f t="shared" ref="AC31:AC38" si="54">POWER(Retention1,$A4-1)</f>
        <v>0.9</v>
      </c>
      <c r="AD31">
        <v>0</v>
      </c>
      <c r="AE31">
        <v>0</v>
      </c>
      <c r="AF31">
        <v>0</v>
      </c>
      <c r="AG31">
        <v>0</v>
      </c>
      <c r="AH31">
        <v>0</v>
      </c>
      <c r="AI31">
        <v>0</v>
      </c>
      <c r="AJ31">
        <v>0</v>
      </c>
      <c r="AK31">
        <v>0</v>
      </c>
      <c r="AM31" s="43">
        <v>29</v>
      </c>
      <c r="AN31" s="31">
        <f t="shared" si="1"/>
        <v>5.2334763302736127E-2</v>
      </c>
      <c r="AO31" s="31">
        <f t="shared" si="3"/>
        <v>5.8149737003040138E-2</v>
      </c>
      <c r="AP31" s="31">
        <f t="shared" si="5"/>
        <v>6.4610818892266816E-2</v>
      </c>
      <c r="AQ31" s="31">
        <f t="shared" si="7"/>
        <v>7.1789798769185342E-2</v>
      </c>
      <c r="AR31" s="31">
        <f t="shared" si="9"/>
        <v>7.9766443076872598E-2</v>
      </c>
      <c r="AS31" s="31">
        <f t="shared" si="11"/>
        <v>8.8629381196525109E-2</v>
      </c>
      <c r="AT31" s="31">
        <f t="shared" si="13"/>
        <v>9.8477090218361235E-2</v>
      </c>
      <c r="AU31" s="31">
        <f t="shared" si="15"/>
        <v>0.10941898913151248</v>
      </c>
      <c r="AV31" s="31">
        <f t="shared" si="17"/>
        <v>0.12157665459056941</v>
      </c>
      <c r="AW31" s="31">
        <f t="shared" si="19"/>
        <v>0.13508517176729934</v>
      </c>
      <c r="AX31" s="31">
        <f t="shared" si="21"/>
        <v>0.15009463529699923</v>
      </c>
      <c r="AY31" s="31">
        <f t="shared" si="23"/>
        <v>0.16677181699666582</v>
      </c>
      <c r="AZ31" s="31">
        <f t="shared" si="25"/>
        <v>0.18530201888518424</v>
      </c>
      <c r="BA31" s="31">
        <f t="shared" si="27"/>
        <v>0.20589113209464913</v>
      </c>
      <c r="BB31" s="31">
        <f t="shared" si="29"/>
        <v>0.22876792454961015</v>
      </c>
      <c r="BC31" s="31">
        <f t="shared" si="31"/>
        <v>0.25418658283290019</v>
      </c>
      <c r="BD31" s="31">
        <f t="shared" si="33"/>
        <v>0.28242953648100017</v>
      </c>
      <c r="BE31" s="31">
        <f t="shared" si="35"/>
        <v>0.31381059609000017</v>
      </c>
      <c r="BF31" s="31">
        <f t="shared" si="37"/>
        <v>0.34867844010000015</v>
      </c>
      <c r="BG31" s="31">
        <f t="shared" si="39"/>
        <v>0.38742048900000015</v>
      </c>
      <c r="BH31" s="31">
        <f t="shared" si="41"/>
        <v>0.43046721000000016</v>
      </c>
      <c r="BI31" s="31">
        <f t="shared" si="43"/>
        <v>0.47829690000000014</v>
      </c>
      <c r="BJ31" s="31">
        <f t="shared" si="45"/>
        <v>0.53144100000000016</v>
      </c>
      <c r="BK31" s="31">
        <f t="shared" si="47"/>
        <v>0.59049000000000018</v>
      </c>
      <c r="BL31" s="31">
        <f t="shared" si="49"/>
        <v>0.65610000000000013</v>
      </c>
      <c r="BM31" s="31">
        <f t="shared" si="51"/>
        <v>0.72900000000000009</v>
      </c>
      <c r="BN31" s="31">
        <f t="shared" si="53"/>
        <v>0.81</v>
      </c>
      <c r="BO31" s="31">
        <f t="shared" ref="BO31:BO38" si="55">POWER(Retention2,$A4-1)</f>
        <v>0.9</v>
      </c>
      <c r="BP31">
        <v>0</v>
      </c>
      <c r="BQ31">
        <v>0</v>
      </c>
      <c r="BR31">
        <v>0</v>
      </c>
      <c r="BS31">
        <v>0</v>
      </c>
      <c r="BT31">
        <v>0</v>
      </c>
      <c r="BU31">
        <v>0</v>
      </c>
      <c r="BV31">
        <v>0</v>
      </c>
      <c r="BW31">
        <v>0</v>
      </c>
    </row>
    <row r="32" spans="1:75" x14ac:dyDescent="0.2">
      <c r="A32" s="43">
        <v>30</v>
      </c>
      <c r="B32" s="31">
        <f t="shared" si="0"/>
        <v>4.7101286972462519E-2</v>
      </c>
      <c r="C32" s="31">
        <f t="shared" si="2"/>
        <v>5.2334763302736127E-2</v>
      </c>
      <c r="D32" s="31">
        <f t="shared" si="4"/>
        <v>5.8149737003040138E-2</v>
      </c>
      <c r="E32" s="31">
        <f t="shared" si="6"/>
        <v>6.4610818892266816E-2</v>
      </c>
      <c r="F32" s="31">
        <f t="shared" si="8"/>
        <v>7.1789798769185342E-2</v>
      </c>
      <c r="G32" s="31">
        <f t="shared" si="10"/>
        <v>7.9766443076872598E-2</v>
      </c>
      <c r="H32" s="31">
        <f t="shared" si="12"/>
        <v>8.8629381196525109E-2</v>
      </c>
      <c r="I32" s="31">
        <f t="shared" si="14"/>
        <v>9.8477090218361235E-2</v>
      </c>
      <c r="J32" s="31">
        <f t="shared" si="16"/>
        <v>0.10941898913151248</v>
      </c>
      <c r="K32" s="31">
        <f t="shared" si="18"/>
        <v>0.12157665459056941</v>
      </c>
      <c r="L32" s="31">
        <f t="shared" si="20"/>
        <v>0.13508517176729934</v>
      </c>
      <c r="M32" s="31">
        <f t="shared" si="22"/>
        <v>0.15009463529699923</v>
      </c>
      <c r="N32" s="31">
        <f t="shared" si="24"/>
        <v>0.16677181699666582</v>
      </c>
      <c r="O32" s="31">
        <f t="shared" si="26"/>
        <v>0.18530201888518424</v>
      </c>
      <c r="P32" s="31">
        <f t="shared" si="28"/>
        <v>0.20589113209464913</v>
      </c>
      <c r="Q32" s="31">
        <f t="shared" si="30"/>
        <v>0.22876792454961015</v>
      </c>
      <c r="R32" s="31">
        <f t="shared" si="32"/>
        <v>0.25418658283290019</v>
      </c>
      <c r="S32" s="31">
        <f t="shared" si="34"/>
        <v>0.28242953648100017</v>
      </c>
      <c r="T32" s="31">
        <f t="shared" si="36"/>
        <v>0.31381059609000017</v>
      </c>
      <c r="U32" s="31">
        <f t="shared" si="38"/>
        <v>0.34867844010000015</v>
      </c>
      <c r="V32" s="31">
        <f t="shared" si="40"/>
        <v>0.38742048900000015</v>
      </c>
      <c r="W32" s="31">
        <f t="shared" si="42"/>
        <v>0.43046721000000016</v>
      </c>
      <c r="X32" s="31">
        <f t="shared" si="44"/>
        <v>0.47829690000000014</v>
      </c>
      <c r="Y32" s="31">
        <f t="shared" si="46"/>
        <v>0.53144100000000016</v>
      </c>
      <c r="Z32" s="31">
        <f t="shared" si="48"/>
        <v>0.59049000000000018</v>
      </c>
      <c r="AA32" s="31">
        <f t="shared" si="50"/>
        <v>0.65610000000000013</v>
      </c>
      <c r="AB32" s="31">
        <f t="shared" si="52"/>
        <v>0.72900000000000009</v>
      </c>
      <c r="AC32" s="31">
        <f t="shared" si="54"/>
        <v>0.81</v>
      </c>
      <c r="AD32" s="31">
        <f t="shared" ref="AD32:AD38" si="56">POWER(Retention1,$A4-1)</f>
        <v>0.9</v>
      </c>
      <c r="AE32">
        <v>0</v>
      </c>
      <c r="AF32">
        <v>0</v>
      </c>
      <c r="AG32">
        <v>0</v>
      </c>
      <c r="AH32">
        <v>0</v>
      </c>
      <c r="AI32">
        <v>0</v>
      </c>
      <c r="AJ32">
        <v>0</v>
      </c>
      <c r="AK32">
        <v>0</v>
      </c>
      <c r="AM32" s="43">
        <v>30</v>
      </c>
      <c r="AN32" s="31">
        <f t="shared" si="1"/>
        <v>4.7101286972462519E-2</v>
      </c>
      <c r="AO32" s="31">
        <f t="shared" si="3"/>
        <v>5.2334763302736127E-2</v>
      </c>
      <c r="AP32" s="31">
        <f t="shared" si="5"/>
        <v>5.8149737003040138E-2</v>
      </c>
      <c r="AQ32" s="31">
        <f t="shared" si="7"/>
        <v>6.4610818892266816E-2</v>
      </c>
      <c r="AR32" s="31">
        <f t="shared" si="9"/>
        <v>7.1789798769185342E-2</v>
      </c>
      <c r="AS32" s="31">
        <f t="shared" si="11"/>
        <v>7.9766443076872598E-2</v>
      </c>
      <c r="AT32" s="31">
        <f t="shared" si="13"/>
        <v>8.8629381196525109E-2</v>
      </c>
      <c r="AU32" s="31">
        <f t="shared" si="15"/>
        <v>9.8477090218361235E-2</v>
      </c>
      <c r="AV32" s="31">
        <f t="shared" si="17"/>
        <v>0.10941898913151248</v>
      </c>
      <c r="AW32" s="31">
        <f t="shared" si="19"/>
        <v>0.12157665459056941</v>
      </c>
      <c r="AX32" s="31">
        <f t="shared" si="21"/>
        <v>0.13508517176729934</v>
      </c>
      <c r="AY32" s="31">
        <f t="shared" si="23"/>
        <v>0.15009463529699923</v>
      </c>
      <c r="AZ32" s="31">
        <f t="shared" si="25"/>
        <v>0.16677181699666582</v>
      </c>
      <c r="BA32" s="31">
        <f t="shared" si="27"/>
        <v>0.18530201888518424</v>
      </c>
      <c r="BB32" s="31">
        <f t="shared" si="29"/>
        <v>0.20589113209464913</v>
      </c>
      <c r="BC32" s="31">
        <f t="shared" si="31"/>
        <v>0.22876792454961015</v>
      </c>
      <c r="BD32" s="31">
        <f t="shared" si="33"/>
        <v>0.25418658283290019</v>
      </c>
      <c r="BE32" s="31">
        <f t="shared" si="35"/>
        <v>0.28242953648100017</v>
      </c>
      <c r="BF32" s="31">
        <f t="shared" si="37"/>
        <v>0.31381059609000017</v>
      </c>
      <c r="BG32" s="31">
        <f t="shared" si="39"/>
        <v>0.34867844010000015</v>
      </c>
      <c r="BH32" s="31">
        <f t="shared" si="41"/>
        <v>0.38742048900000015</v>
      </c>
      <c r="BI32" s="31">
        <f t="shared" si="43"/>
        <v>0.43046721000000016</v>
      </c>
      <c r="BJ32" s="31">
        <f t="shared" si="45"/>
        <v>0.47829690000000014</v>
      </c>
      <c r="BK32" s="31">
        <f t="shared" si="47"/>
        <v>0.53144100000000016</v>
      </c>
      <c r="BL32" s="31">
        <f t="shared" si="49"/>
        <v>0.59049000000000018</v>
      </c>
      <c r="BM32" s="31">
        <f t="shared" si="51"/>
        <v>0.65610000000000013</v>
      </c>
      <c r="BN32" s="31">
        <f t="shared" si="53"/>
        <v>0.72900000000000009</v>
      </c>
      <c r="BO32" s="31">
        <f t="shared" si="55"/>
        <v>0.81</v>
      </c>
      <c r="BP32" s="31">
        <f t="shared" ref="BP32:BP38" si="57">POWER(Retention2,$A4-1)</f>
        <v>0.9</v>
      </c>
      <c r="BQ32">
        <v>0</v>
      </c>
      <c r="BR32">
        <v>0</v>
      </c>
      <c r="BS32">
        <v>0</v>
      </c>
      <c r="BT32">
        <v>0</v>
      </c>
      <c r="BU32">
        <v>0</v>
      </c>
      <c r="BV32">
        <v>0</v>
      </c>
      <c r="BW32">
        <v>0</v>
      </c>
    </row>
    <row r="33" spans="1:75" x14ac:dyDescent="0.2">
      <c r="A33" s="43">
        <v>31</v>
      </c>
      <c r="B33" s="31">
        <f t="shared" si="0"/>
        <v>4.2391158275216265E-2</v>
      </c>
      <c r="C33" s="31">
        <f t="shared" si="2"/>
        <v>4.7101286972462519E-2</v>
      </c>
      <c r="D33" s="31">
        <f t="shared" si="4"/>
        <v>5.2334763302736127E-2</v>
      </c>
      <c r="E33" s="31">
        <f t="shared" si="6"/>
        <v>5.8149737003040138E-2</v>
      </c>
      <c r="F33" s="31">
        <f t="shared" si="8"/>
        <v>6.4610818892266816E-2</v>
      </c>
      <c r="G33" s="31">
        <f t="shared" si="10"/>
        <v>7.1789798769185342E-2</v>
      </c>
      <c r="H33" s="31">
        <f t="shared" si="12"/>
        <v>7.9766443076872598E-2</v>
      </c>
      <c r="I33" s="31">
        <f t="shared" si="14"/>
        <v>8.8629381196525109E-2</v>
      </c>
      <c r="J33" s="31">
        <f t="shared" si="16"/>
        <v>9.8477090218361235E-2</v>
      </c>
      <c r="K33" s="31">
        <f t="shared" si="18"/>
        <v>0.10941898913151248</v>
      </c>
      <c r="L33" s="31">
        <f t="shared" si="20"/>
        <v>0.12157665459056941</v>
      </c>
      <c r="M33" s="31">
        <f t="shared" si="22"/>
        <v>0.13508517176729934</v>
      </c>
      <c r="N33" s="31">
        <f t="shared" si="24"/>
        <v>0.15009463529699923</v>
      </c>
      <c r="O33" s="31">
        <f t="shared" si="26"/>
        <v>0.16677181699666582</v>
      </c>
      <c r="P33" s="31">
        <f t="shared" si="28"/>
        <v>0.18530201888518424</v>
      </c>
      <c r="Q33" s="31">
        <f t="shared" si="30"/>
        <v>0.20589113209464913</v>
      </c>
      <c r="R33" s="31">
        <f t="shared" si="32"/>
        <v>0.22876792454961015</v>
      </c>
      <c r="S33" s="31">
        <f t="shared" si="34"/>
        <v>0.25418658283290019</v>
      </c>
      <c r="T33" s="31">
        <f t="shared" si="36"/>
        <v>0.28242953648100017</v>
      </c>
      <c r="U33" s="31">
        <f t="shared" si="38"/>
        <v>0.31381059609000017</v>
      </c>
      <c r="V33" s="31">
        <f t="shared" si="40"/>
        <v>0.34867844010000015</v>
      </c>
      <c r="W33" s="31">
        <f t="shared" si="42"/>
        <v>0.38742048900000015</v>
      </c>
      <c r="X33" s="31">
        <f t="shared" si="44"/>
        <v>0.43046721000000016</v>
      </c>
      <c r="Y33" s="31">
        <f t="shared" si="46"/>
        <v>0.47829690000000014</v>
      </c>
      <c r="Z33" s="31">
        <f t="shared" si="48"/>
        <v>0.53144100000000016</v>
      </c>
      <c r="AA33" s="31">
        <f t="shared" si="50"/>
        <v>0.59049000000000018</v>
      </c>
      <c r="AB33" s="31">
        <f t="shared" si="52"/>
        <v>0.65610000000000013</v>
      </c>
      <c r="AC33" s="31">
        <f t="shared" si="54"/>
        <v>0.72900000000000009</v>
      </c>
      <c r="AD33" s="31">
        <f t="shared" si="56"/>
        <v>0.81</v>
      </c>
      <c r="AE33" s="31">
        <f t="shared" ref="AE33:AE38" si="58">POWER(Retention1,$A4-1)</f>
        <v>0.9</v>
      </c>
      <c r="AF33">
        <v>0</v>
      </c>
      <c r="AG33">
        <v>0</v>
      </c>
      <c r="AH33">
        <v>0</v>
      </c>
      <c r="AI33">
        <v>0</v>
      </c>
      <c r="AJ33">
        <v>0</v>
      </c>
      <c r="AK33">
        <v>0</v>
      </c>
      <c r="AM33" s="43">
        <v>31</v>
      </c>
      <c r="AN33" s="31">
        <f t="shared" si="1"/>
        <v>4.2391158275216265E-2</v>
      </c>
      <c r="AO33" s="31">
        <f t="shared" si="3"/>
        <v>4.7101286972462519E-2</v>
      </c>
      <c r="AP33" s="31">
        <f t="shared" si="5"/>
        <v>5.2334763302736127E-2</v>
      </c>
      <c r="AQ33" s="31">
        <f t="shared" si="7"/>
        <v>5.8149737003040138E-2</v>
      </c>
      <c r="AR33" s="31">
        <f t="shared" si="9"/>
        <v>6.4610818892266816E-2</v>
      </c>
      <c r="AS33" s="31">
        <f t="shared" si="11"/>
        <v>7.1789798769185342E-2</v>
      </c>
      <c r="AT33" s="31">
        <f t="shared" si="13"/>
        <v>7.9766443076872598E-2</v>
      </c>
      <c r="AU33" s="31">
        <f t="shared" si="15"/>
        <v>8.8629381196525109E-2</v>
      </c>
      <c r="AV33" s="31">
        <f t="shared" si="17"/>
        <v>9.8477090218361235E-2</v>
      </c>
      <c r="AW33" s="31">
        <f t="shared" si="19"/>
        <v>0.10941898913151248</v>
      </c>
      <c r="AX33" s="31">
        <f t="shared" si="21"/>
        <v>0.12157665459056941</v>
      </c>
      <c r="AY33" s="31">
        <f t="shared" si="23"/>
        <v>0.13508517176729934</v>
      </c>
      <c r="AZ33" s="31">
        <f t="shared" si="25"/>
        <v>0.15009463529699923</v>
      </c>
      <c r="BA33" s="31">
        <f t="shared" si="27"/>
        <v>0.16677181699666582</v>
      </c>
      <c r="BB33" s="31">
        <f t="shared" si="29"/>
        <v>0.18530201888518424</v>
      </c>
      <c r="BC33" s="31">
        <f t="shared" si="31"/>
        <v>0.20589113209464913</v>
      </c>
      <c r="BD33" s="31">
        <f t="shared" si="33"/>
        <v>0.22876792454961015</v>
      </c>
      <c r="BE33" s="31">
        <f t="shared" si="35"/>
        <v>0.25418658283290019</v>
      </c>
      <c r="BF33" s="31">
        <f t="shared" si="37"/>
        <v>0.28242953648100017</v>
      </c>
      <c r="BG33" s="31">
        <f t="shared" si="39"/>
        <v>0.31381059609000017</v>
      </c>
      <c r="BH33" s="31">
        <f t="shared" si="41"/>
        <v>0.34867844010000015</v>
      </c>
      <c r="BI33" s="31">
        <f t="shared" si="43"/>
        <v>0.38742048900000015</v>
      </c>
      <c r="BJ33" s="31">
        <f t="shared" si="45"/>
        <v>0.43046721000000016</v>
      </c>
      <c r="BK33" s="31">
        <f t="shared" si="47"/>
        <v>0.47829690000000014</v>
      </c>
      <c r="BL33" s="31">
        <f t="shared" si="49"/>
        <v>0.53144100000000016</v>
      </c>
      <c r="BM33" s="31">
        <f t="shared" si="51"/>
        <v>0.59049000000000018</v>
      </c>
      <c r="BN33" s="31">
        <f t="shared" si="53"/>
        <v>0.65610000000000013</v>
      </c>
      <c r="BO33" s="31">
        <f t="shared" si="55"/>
        <v>0.72900000000000009</v>
      </c>
      <c r="BP33" s="31">
        <f t="shared" si="57"/>
        <v>0.81</v>
      </c>
      <c r="BQ33" s="31">
        <f t="shared" ref="BQ33:BQ38" si="59">POWER(Retention2,$A4-1)</f>
        <v>0.9</v>
      </c>
      <c r="BR33">
        <v>0</v>
      </c>
      <c r="BS33">
        <v>0</v>
      </c>
      <c r="BT33">
        <v>0</v>
      </c>
      <c r="BU33">
        <v>0</v>
      </c>
      <c r="BV33">
        <v>0</v>
      </c>
      <c r="BW33">
        <v>0</v>
      </c>
    </row>
    <row r="34" spans="1:75" x14ac:dyDescent="0.2">
      <c r="A34" s="43">
        <v>32</v>
      </c>
      <c r="B34" s="31">
        <f t="shared" si="0"/>
        <v>3.8152042447694635E-2</v>
      </c>
      <c r="C34" s="31">
        <f t="shared" si="2"/>
        <v>4.2391158275216265E-2</v>
      </c>
      <c r="D34" s="31">
        <f t="shared" si="4"/>
        <v>4.7101286972462519E-2</v>
      </c>
      <c r="E34" s="31">
        <f t="shared" si="6"/>
        <v>5.2334763302736127E-2</v>
      </c>
      <c r="F34" s="31">
        <f t="shared" si="8"/>
        <v>5.8149737003040138E-2</v>
      </c>
      <c r="G34" s="31">
        <f t="shared" si="10"/>
        <v>6.4610818892266816E-2</v>
      </c>
      <c r="H34" s="31">
        <f t="shared" si="12"/>
        <v>7.1789798769185342E-2</v>
      </c>
      <c r="I34" s="31">
        <f t="shared" si="14"/>
        <v>7.9766443076872598E-2</v>
      </c>
      <c r="J34" s="31">
        <f t="shared" si="16"/>
        <v>8.8629381196525109E-2</v>
      </c>
      <c r="K34" s="31">
        <f t="shared" si="18"/>
        <v>9.8477090218361235E-2</v>
      </c>
      <c r="L34" s="31">
        <f t="shared" si="20"/>
        <v>0.10941898913151248</v>
      </c>
      <c r="M34" s="31">
        <f t="shared" si="22"/>
        <v>0.12157665459056941</v>
      </c>
      <c r="N34" s="31">
        <f t="shared" si="24"/>
        <v>0.13508517176729934</v>
      </c>
      <c r="O34" s="31">
        <f t="shared" si="26"/>
        <v>0.15009463529699923</v>
      </c>
      <c r="P34" s="31">
        <f t="shared" si="28"/>
        <v>0.16677181699666582</v>
      </c>
      <c r="Q34" s="31">
        <f t="shared" si="30"/>
        <v>0.18530201888518424</v>
      </c>
      <c r="R34" s="31">
        <f t="shared" si="32"/>
        <v>0.20589113209464913</v>
      </c>
      <c r="S34" s="31">
        <f t="shared" si="34"/>
        <v>0.22876792454961015</v>
      </c>
      <c r="T34" s="31">
        <f t="shared" si="36"/>
        <v>0.25418658283290019</v>
      </c>
      <c r="U34" s="31">
        <f t="shared" si="38"/>
        <v>0.28242953648100017</v>
      </c>
      <c r="V34" s="31">
        <f t="shared" si="40"/>
        <v>0.31381059609000017</v>
      </c>
      <c r="W34" s="31">
        <f t="shared" si="42"/>
        <v>0.34867844010000015</v>
      </c>
      <c r="X34" s="31">
        <f t="shared" si="44"/>
        <v>0.38742048900000015</v>
      </c>
      <c r="Y34" s="31">
        <f t="shared" si="46"/>
        <v>0.43046721000000016</v>
      </c>
      <c r="Z34" s="31">
        <f t="shared" si="48"/>
        <v>0.47829690000000014</v>
      </c>
      <c r="AA34" s="31">
        <f t="shared" si="50"/>
        <v>0.53144100000000016</v>
      </c>
      <c r="AB34" s="31">
        <f t="shared" si="52"/>
        <v>0.59049000000000018</v>
      </c>
      <c r="AC34" s="31">
        <f t="shared" si="54"/>
        <v>0.65610000000000013</v>
      </c>
      <c r="AD34" s="31">
        <f t="shared" si="56"/>
        <v>0.72900000000000009</v>
      </c>
      <c r="AE34" s="31">
        <f t="shared" si="58"/>
        <v>0.81</v>
      </c>
      <c r="AF34" s="31">
        <f>POWER(Retention1,$A4-1)</f>
        <v>0.9</v>
      </c>
      <c r="AG34">
        <v>0</v>
      </c>
      <c r="AH34">
        <v>0</v>
      </c>
      <c r="AI34">
        <v>0</v>
      </c>
      <c r="AJ34">
        <v>0</v>
      </c>
      <c r="AK34">
        <v>0</v>
      </c>
      <c r="AM34" s="43">
        <v>32</v>
      </c>
      <c r="AN34" s="31">
        <f t="shared" si="1"/>
        <v>3.8152042447694635E-2</v>
      </c>
      <c r="AO34" s="31">
        <f t="shared" si="3"/>
        <v>4.2391158275216265E-2</v>
      </c>
      <c r="AP34" s="31">
        <f t="shared" si="5"/>
        <v>4.7101286972462519E-2</v>
      </c>
      <c r="AQ34" s="31">
        <f t="shared" si="7"/>
        <v>5.2334763302736127E-2</v>
      </c>
      <c r="AR34" s="31">
        <f t="shared" si="9"/>
        <v>5.8149737003040138E-2</v>
      </c>
      <c r="AS34" s="31">
        <f t="shared" si="11"/>
        <v>6.4610818892266816E-2</v>
      </c>
      <c r="AT34" s="31">
        <f t="shared" si="13"/>
        <v>7.1789798769185342E-2</v>
      </c>
      <c r="AU34" s="31">
        <f t="shared" si="15"/>
        <v>7.9766443076872598E-2</v>
      </c>
      <c r="AV34" s="31">
        <f t="shared" si="17"/>
        <v>8.8629381196525109E-2</v>
      </c>
      <c r="AW34" s="31">
        <f t="shared" si="19"/>
        <v>9.8477090218361235E-2</v>
      </c>
      <c r="AX34" s="31">
        <f t="shared" si="21"/>
        <v>0.10941898913151248</v>
      </c>
      <c r="AY34" s="31">
        <f t="shared" si="23"/>
        <v>0.12157665459056941</v>
      </c>
      <c r="AZ34" s="31">
        <f t="shared" si="25"/>
        <v>0.13508517176729934</v>
      </c>
      <c r="BA34" s="31">
        <f t="shared" si="27"/>
        <v>0.15009463529699923</v>
      </c>
      <c r="BB34" s="31">
        <f t="shared" si="29"/>
        <v>0.16677181699666582</v>
      </c>
      <c r="BC34" s="31">
        <f t="shared" si="31"/>
        <v>0.18530201888518424</v>
      </c>
      <c r="BD34" s="31">
        <f t="shared" si="33"/>
        <v>0.20589113209464913</v>
      </c>
      <c r="BE34" s="31">
        <f t="shared" si="35"/>
        <v>0.22876792454961015</v>
      </c>
      <c r="BF34" s="31">
        <f t="shared" si="37"/>
        <v>0.25418658283290019</v>
      </c>
      <c r="BG34" s="31">
        <f t="shared" si="39"/>
        <v>0.28242953648100017</v>
      </c>
      <c r="BH34" s="31">
        <f t="shared" si="41"/>
        <v>0.31381059609000017</v>
      </c>
      <c r="BI34" s="31">
        <f t="shared" si="43"/>
        <v>0.34867844010000015</v>
      </c>
      <c r="BJ34" s="31">
        <f t="shared" si="45"/>
        <v>0.38742048900000015</v>
      </c>
      <c r="BK34" s="31">
        <f t="shared" si="47"/>
        <v>0.43046721000000016</v>
      </c>
      <c r="BL34" s="31">
        <f t="shared" si="49"/>
        <v>0.47829690000000014</v>
      </c>
      <c r="BM34" s="31">
        <f t="shared" si="51"/>
        <v>0.53144100000000016</v>
      </c>
      <c r="BN34" s="31">
        <f t="shared" si="53"/>
        <v>0.59049000000000018</v>
      </c>
      <c r="BO34" s="31">
        <f t="shared" si="55"/>
        <v>0.65610000000000013</v>
      </c>
      <c r="BP34" s="31">
        <f t="shared" si="57"/>
        <v>0.72900000000000009</v>
      </c>
      <c r="BQ34" s="31">
        <f t="shared" si="59"/>
        <v>0.81</v>
      </c>
      <c r="BR34" s="31">
        <f>POWER(Retention2,$A4-1)</f>
        <v>0.9</v>
      </c>
      <c r="BS34">
        <v>0</v>
      </c>
      <c r="BT34">
        <v>0</v>
      </c>
      <c r="BU34">
        <v>0</v>
      </c>
      <c r="BV34">
        <v>0</v>
      </c>
      <c r="BW34">
        <v>0</v>
      </c>
    </row>
    <row r="35" spans="1:75" x14ac:dyDescent="0.2">
      <c r="A35" s="43">
        <v>33</v>
      </c>
      <c r="B35" s="31">
        <f t="shared" si="0"/>
        <v>3.4336838202925178E-2</v>
      </c>
      <c r="C35" s="31">
        <f t="shared" si="2"/>
        <v>3.8152042447694635E-2</v>
      </c>
      <c r="D35" s="31">
        <f t="shared" si="4"/>
        <v>4.2391158275216265E-2</v>
      </c>
      <c r="E35" s="31">
        <f t="shared" si="6"/>
        <v>4.7101286972462519E-2</v>
      </c>
      <c r="F35" s="31">
        <f t="shared" si="8"/>
        <v>5.2334763302736127E-2</v>
      </c>
      <c r="G35" s="31">
        <f t="shared" si="10"/>
        <v>5.8149737003040138E-2</v>
      </c>
      <c r="H35" s="31">
        <f t="shared" si="12"/>
        <v>6.4610818892266816E-2</v>
      </c>
      <c r="I35" s="31">
        <f t="shared" si="14"/>
        <v>7.1789798769185342E-2</v>
      </c>
      <c r="J35" s="31">
        <f t="shared" si="16"/>
        <v>7.9766443076872598E-2</v>
      </c>
      <c r="K35" s="31">
        <f t="shared" si="18"/>
        <v>8.8629381196525109E-2</v>
      </c>
      <c r="L35" s="31">
        <f t="shared" si="20"/>
        <v>9.8477090218361235E-2</v>
      </c>
      <c r="M35" s="31">
        <f t="shared" si="22"/>
        <v>0.10941898913151248</v>
      </c>
      <c r="N35" s="31">
        <f t="shared" si="24"/>
        <v>0.12157665459056941</v>
      </c>
      <c r="O35" s="31">
        <f t="shared" si="26"/>
        <v>0.13508517176729934</v>
      </c>
      <c r="P35" s="31">
        <f t="shared" si="28"/>
        <v>0.15009463529699923</v>
      </c>
      <c r="Q35" s="31">
        <f t="shared" si="30"/>
        <v>0.16677181699666582</v>
      </c>
      <c r="R35" s="31">
        <f t="shared" si="32"/>
        <v>0.18530201888518424</v>
      </c>
      <c r="S35" s="31">
        <f t="shared" si="34"/>
        <v>0.20589113209464913</v>
      </c>
      <c r="T35" s="31">
        <f t="shared" si="36"/>
        <v>0.22876792454961015</v>
      </c>
      <c r="U35" s="31">
        <f t="shared" si="38"/>
        <v>0.25418658283290019</v>
      </c>
      <c r="V35" s="31">
        <f t="shared" si="40"/>
        <v>0.28242953648100017</v>
      </c>
      <c r="W35" s="31">
        <f t="shared" si="42"/>
        <v>0.31381059609000017</v>
      </c>
      <c r="X35" s="31">
        <f t="shared" si="44"/>
        <v>0.34867844010000015</v>
      </c>
      <c r="Y35" s="31">
        <f t="shared" si="46"/>
        <v>0.38742048900000015</v>
      </c>
      <c r="Z35" s="31">
        <f t="shared" si="48"/>
        <v>0.43046721000000016</v>
      </c>
      <c r="AA35" s="31">
        <f t="shared" si="50"/>
        <v>0.47829690000000014</v>
      </c>
      <c r="AB35" s="31">
        <f t="shared" si="52"/>
        <v>0.53144100000000016</v>
      </c>
      <c r="AC35" s="31">
        <f t="shared" si="54"/>
        <v>0.59049000000000018</v>
      </c>
      <c r="AD35" s="31">
        <f t="shared" si="56"/>
        <v>0.65610000000000013</v>
      </c>
      <c r="AE35" s="31">
        <f t="shared" si="58"/>
        <v>0.72900000000000009</v>
      </c>
      <c r="AF35" s="31">
        <f>POWER(Retention1,$A5-1)</f>
        <v>0.81</v>
      </c>
      <c r="AG35" s="31">
        <f>POWER(Retention1,$A4-1)</f>
        <v>0.9</v>
      </c>
      <c r="AH35">
        <v>0</v>
      </c>
      <c r="AI35">
        <v>0</v>
      </c>
      <c r="AJ35">
        <v>0</v>
      </c>
      <c r="AK35">
        <v>0</v>
      </c>
      <c r="AM35" s="43">
        <v>33</v>
      </c>
      <c r="AN35" s="31">
        <f t="shared" si="1"/>
        <v>3.4336838202925178E-2</v>
      </c>
      <c r="AO35" s="31">
        <f t="shared" si="3"/>
        <v>3.8152042447694635E-2</v>
      </c>
      <c r="AP35" s="31">
        <f t="shared" si="5"/>
        <v>4.2391158275216265E-2</v>
      </c>
      <c r="AQ35" s="31">
        <f t="shared" si="7"/>
        <v>4.7101286972462519E-2</v>
      </c>
      <c r="AR35" s="31">
        <f t="shared" si="9"/>
        <v>5.2334763302736127E-2</v>
      </c>
      <c r="AS35" s="31">
        <f t="shared" si="11"/>
        <v>5.8149737003040138E-2</v>
      </c>
      <c r="AT35" s="31">
        <f t="shared" si="13"/>
        <v>6.4610818892266816E-2</v>
      </c>
      <c r="AU35" s="31">
        <f t="shared" si="15"/>
        <v>7.1789798769185342E-2</v>
      </c>
      <c r="AV35" s="31">
        <f t="shared" si="17"/>
        <v>7.9766443076872598E-2</v>
      </c>
      <c r="AW35" s="31">
        <f t="shared" si="19"/>
        <v>8.8629381196525109E-2</v>
      </c>
      <c r="AX35" s="31">
        <f t="shared" si="21"/>
        <v>9.8477090218361235E-2</v>
      </c>
      <c r="AY35" s="31">
        <f t="shared" si="23"/>
        <v>0.10941898913151248</v>
      </c>
      <c r="AZ35" s="31">
        <f t="shared" si="25"/>
        <v>0.12157665459056941</v>
      </c>
      <c r="BA35" s="31">
        <f t="shared" si="27"/>
        <v>0.13508517176729934</v>
      </c>
      <c r="BB35" s="31">
        <f t="shared" si="29"/>
        <v>0.15009463529699923</v>
      </c>
      <c r="BC35" s="31">
        <f t="shared" si="31"/>
        <v>0.16677181699666582</v>
      </c>
      <c r="BD35" s="31">
        <f t="shared" si="33"/>
        <v>0.18530201888518424</v>
      </c>
      <c r="BE35" s="31">
        <f t="shared" si="35"/>
        <v>0.20589113209464913</v>
      </c>
      <c r="BF35" s="31">
        <f t="shared" si="37"/>
        <v>0.22876792454961015</v>
      </c>
      <c r="BG35" s="31">
        <f t="shared" si="39"/>
        <v>0.25418658283290019</v>
      </c>
      <c r="BH35" s="31">
        <f t="shared" si="41"/>
        <v>0.28242953648100017</v>
      </c>
      <c r="BI35" s="31">
        <f t="shared" si="43"/>
        <v>0.31381059609000017</v>
      </c>
      <c r="BJ35" s="31">
        <f t="shared" si="45"/>
        <v>0.34867844010000015</v>
      </c>
      <c r="BK35" s="31">
        <f t="shared" si="47"/>
        <v>0.38742048900000015</v>
      </c>
      <c r="BL35" s="31">
        <f t="shared" si="49"/>
        <v>0.43046721000000016</v>
      </c>
      <c r="BM35" s="31">
        <f t="shared" si="51"/>
        <v>0.47829690000000014</v>
      </c>
      <c r="BN35" s="31">
        <f t="shared" si="53"/>
        <v>0.53144100000000016</v>
      </c>
      <c r="BO35" s="31">
        <f t="shared" si="55"/>
        <v>0.59049000000000018</v>
      </c>
      <c r="BP35" s="31">
        <f t="shared" si="57"/>
        <v>0.65610000000000013</v>
      </c>
      <c r="BQ35" s="31">
        <f t="shared" si="59"/>
        <v>0.72900000000000009</v>
      </c>
      <c r="BR35" s="31">
        <f>POWER(Retention2,$A5-1)</f>
        <v>0.81</v>
      </c>
      <c r="BS35" s="31">
        <f>POWER(Retention2,$A4-1)</f>
        <v>0.9</v>
      </c>
      <c r="BT35">
        <v>0</v>
      </c>
      <c r="BU35">
        <v>0</v>
      </c>
      <c r="BV35">
        <v>0</v>
      </c>
      <c r="BW35">
        <v>0</v>
      </c>
    </row>
    <row r="36" spans="1:75" x14ac:dyDescent="0.2">
      <c r="A36" s="43">
        <v>34</v>
      </c>
      <c r="B36" s="31">
        <f t="shared" si="0"/>
        <v>3.090315438263266E-2</v>
      </c>
      <c r="C36" s="31">
        <f t="shared" si="2"/>
        <v>3.4336838202925178E-2</v>
      </c>
      <c r="D36" s="31">
        <f t="shared" si="4"/>
        <v>3.8152042447694635E-2</v>
      </c>
      <c r="E36" s="31">
        <f t="shared" si="6"/>
        <v>4.2391158275216265E-2</v>
      </c>
      <c r="F36" s="31">
        <f t="shared" si="8"/>
        <v>4.7101286972462519E-2</v>
      </c>
      <c r="G36" s="31">
        <f t="shared" si="10"/>
        <v>5.2334763302736127E-2</v>
      </c>
      <c r="H36" s="31">
        <f t="shared" si="12"/>
        <v>5.8149737003040138E-2</v>
      </c>
      <c r="I36" s="31">
        <f t="shared" si="14"/>
        <v>6.4610818892266816E-2</v>
      </c>
      <c r="J36" s="31">
        <f t="shared" si="16"/>
        <v>7.1789798769185342E-2</v>
      </c>
      <c r="K36" s="31">
        <f t="shared" si="18"/>
        <v>7.9766443076872598E-2</v>
      </c>
      <c r="L36" s="31">
        <f t="shared" si="20"/>
        <v>8.8629381196525109E-2</v>
      </c>
      <c r="M36" s="31">
        <f t="shared" si="22"/>
        <v>9.8477090218361235E-2</v>
      </c>
      <c r="N36" s="31">
        <f t="shared" si="24"/>
        <v>0.10941898913151248</v>
      </c>
      <c r="O36" s="31">
        <f t="shared" si="26"/>
        <v>0.12157665459056941</v>
      </c>
      <c r="P36" s="31">
        <f t="shared" si="28"/>
        <v>0.13508517176729934</v>
      </c>
      <c r="Q36" s="31">
        <f t="shared" si="30"/>
        <v>0.15009463529699923</v>
      </c>
      <c r="R36" s="31">
        <f t="shared" si="32"/>
        <v>0.16677181699666582</v>
      </c>
      <c r="S36" s="31">
        <f t="shared" si="34"/>
        <v>0.18530201888518424</v>
      </c>
      <c r="T36" s="31">
        <f t="shared" si="36"/>
        <v>0.20589113209464913</v>
      </c>
      <c r="U36" s="31">
        <f t="shared" si="38"/>
        <v>0.22876792454961015</v>
      </c>
      <c r="V36" s="31">
        <f t="shared" si="40"/>
        <v>0.25418658283290019</v>
      </c>
      <c r="W36" s="31">
        <f t="shared" si="42"/>
        <v>0.28242953648100017</v>
      </c>
      <c r="X36" s="31">
        <f t="shared" si="44"/>
        <v>0.31381059609000017</v>
      </c>
      <c r="Y36" s="31">
        <f t="shared" si="46"/>
        <v>0.34867844010000015</v>
      </c>
      <c r="Z36" s="31">
        <f t="shared" si="48"/>
        <v>0.38742048900000015</v>
      </c>
      <c r="AA36" s="31">
        <f t="shared" si="50"/>
        <v>0.43046721000000016</v>
      </c>
      <c r="AB36" s="31">
        <f t="shared" si="52"/>
        <v>0.47829690000000014</v>
      </c>
      <c r="AC36" s="31">
        <f t="shared" si="54"/>
        <v>0.53144100000000016</v>
      </c>
      <c r="AD36" s="31">
        <f t="shared" si="56"/>
        <v>0.59049000000000018</v>
      </c>
      <c r="AE36" s="31">
        <f t="shared" si="58"/>
        <v>0.65610000000000013</v>
      </c>
      <c r="AF36" s="31">
        <f>POWER(Retention1,$A6-1)</f>
        <v>0.72900000000000009</v>
      </c>
      <c r="AG36" s="31">
        <f>POWER(Retention1,$A5-1)</f>
        <v>0.81</v>
      </c>
      <c r="AH36" s="31">
        <f>POWER(Retention1,$A4-1)</f>
        <v>0.9</v>
      </c>
      <c r="AI36">
        <v>0</v>
      </c>
      <c r="AJ36">
        <v>0</v>
      </c>
      <c r="AK36">
        <v>0</v>
      </c>
      <c r="AM36" s="43">
        <v>34</v>
      </c>
      <c r="AN36" s="31">
        <f t="shared" si="1"/>
        <v>3.090315438263266E-2</v>
      </c>
      <c r="AO36" s="31">
        <f t="shared" si="3"/>
        <v>3.4336838202925178E-2</v>
      </c>
      <c r="AP36" s="31">
        <f t="shared" si="5"/>
        <v>3.8152042447694635E-2</v>
      </c>
      <c r="AQ36" s="31">
        <f t="shared" si="7"/>
        <v>4.2391158275216265E-2</v>
      </c>
      <c r="AR36" s="31">
        <f t="shared" si="9"/>
        <v>4.7101286972462519E-2</v>
      </c>
      <c r="AS36" s="31">
        <f t="shared" si="11"/>
        <v>5.2334763302736127E-2</v>
      </c>
      <c r="AT36" s="31">
        <f t="shared" si="13"/>
        <v>5.8149737003040138E-2</v>
      </c>
      <c r="AU36" s="31">
        <f t="shared" si="15"/>
        <v>6.4610818892266816E-2</v>
      </c>
      <c r="AV36" s="31">
        <f t="shared" si="17"/>
        <v>7.1789798769185342E-2</v>
      </c>
      <c r="AW36" s="31">
        <f t="shared" si="19"/>
        <v>7.9766443076872598E-2</v>
      </c>
      <c r="AX36" s="31">
        <f t="shared" si="21"/>
        <v>8.8629381196525109E-2</v>
      </c>
      <c r="AY36" s="31">
        <f t="shared" si="23"/>
        <v>9.8477090218361235E-2</v>
      </c>
      <c r="AZ36" s="31">
        <f t="shared" si="25"/>
        <v>0.10941898913151248</v>
      </c>
      <c r="BA36" s="31">
        <f t="shared" si="27"/>
        <v>0.12157665459056941</v>
      </c>
      <c r="BB36" s="31">
        <f t="shared" si="29"/>
        <v>0.13508517176729934</v>
      </c>
      <c r="BC36" s="31">
        <f t="shared" si="31"/>
        <v>0.15009463529699923</v>
      </c>
      <c r="BD36" s="31">
        <f t="shared" si="33"/>
        <v>0.16677181699666582</v>
      </c>
      <c r="BE36" s="31">
        <f t="shared" si="35"/>
        <v>0.18530201888518424</v>
      </c>
      <c r="BF36" s="31">
        <f t="shared" si="37"/>
        <v>0.20589113209464913</v>
      </c>
      <c r="BG36" s="31">
        <f t="shared" si="39"/>
        <v>0.22876792454961015</v>
      </c>
      <c r="BH36" s="31">
        <f t="shared" si="41"/>
        <v>0.25418658283290019</v>
      </c>
      <c r="BI36" s="31">
        <f t="shared" si="43"/>
        <v>0.28242953648100017</v>
      </c>
      <c r="BJ36" s="31">
        <f t="shared" si="45"/>
        <v>0.31381059609000017</v>
      </c>
      <c r="BK36" s="31">
        <f t="shared" si="47"/>
        <v>0.34867844010000015</v>
      </c>
      <c r="BL36" s="31">
        <f t="shared" si="49"/>
        <v>0.38742048900000015</v>
      </c>
      <c r="BM36" s="31">
        <f t="shared" si="51"/>
        <v>0.43046721000000016</v>
      </c>
      <c r="BN36" s="31">
        <f t="shared" si="53"/>
        <v>0.47829690000000014</v>
      </c>
      <c r="BO36" s="31">
        <f t="shared" si="55"/>
        <v>0.53144100000000016</v>
      </c>
      <c r="BP36" s="31">
        <f t="shared" si="57"/>
        <v>0.59049000000000018</v>
      </c>
      <c r="BQ36" s="31">
        <f t="shared" si="59"/>
        <v>0.65610000000000013</v>
      </c>
      <c r="BR36" s="31">
        <f>POWER(Retention2,$A6-1)</f>
        <v>0.72900000000000009</v>
      </c>
      <c r="BS36" s="31">
        <f>POWER(Retention2,$A5-1)</f>
        <v>0.81</v>
      </c>
      <c r="BT36" s="31">
        <f>POWER(Retention2,$A4-1)</f>
        <v>0.9</v>
      </c>
      <c r="BU36">
        <v>0</v>
      </c>
      <c r="BV36">
        <v>0</v>
      </c>
      <c r="BW36">
        <v>0</v>
      </c>
    </row>
    <row r="37" spans="1:75" x14ac:dyDescent="0.2">
      <c r="A37" s="43">
        <v>35</v>
      </c>
      <c r="B37" s="31">
        <f t="shared" si="0"/>
        <v>2.7812838944369395E-2</v>
      </c>
      <c r="C37" s="31">
        <f t="shared" si="2"/>
        <v>3.090315438263266E-2</v>
      </c>
      <c r="D37" s="31">
        <f t="shared" si="4"/>
        <v>3.4336838202925178E-2</v>
      </c>
      <c r="E37" s="31">
        <f t="shared" si="6"/>
        <v>3.8152042447694635E-2</v>
      </c>
      <c r="F37" s="31">
        <f t="shared" si="8"/>
        <v>4.2391158275216265E-2</v>
      </c>
      <c r="G37" s="31">
        <f t="shared" si="10"/>
        <v>4.7101286972462519E-2</v>
      </c>
      <c r="H37" s="31">
        <f t="shared" si="12"/>
        <v>5.2334763302736127E-2</v>
      </c>
      <c r="I37" s="31">
        <f t="shared" si="14"/>
        <v>5.8149737003040138E-2</v>
      </c>
      <c r="J37" s="31">
        <f t="shared" si="16"/>
        <v>6.4610818892266816E-2</v>
      </c>
      <c r="K37" s="31">
        <f t="shared" si="18"/>
        <v>7.1789798769185342E-2</v>
      </c>
      <c r="L37" s="31">
        <f t="shared" si="20"/>
        <v>7.9766443076872598E-2</v>
      </c>
      <c r="M37" s="31">
        <f t="shared" si="22"/>
        <v>8.8629381196525109E-2</v>
      </c>
      <c r="N37" s="31">
        <f t="shared" si="24"/>
        <v>9.8477090218361235E-2</v>
      </c>
      <c r="O37" s="31">
        <f t="shared" si="26"/>
        <v>0.10941898913151248</v>
      </c>
      <c r="P37" s="31">
        <f t="shared" si="28"/>
        <v>0.12157665459056941</v>
      </c>
      <c r="Q37" s="31">
        <f t="shared" si="30"/>
        <v>0.13508517176729934</v>
      </c>
      <c r="R37" s="31">
        <f t="shared" si="32"/>
        <v>0.15009463529699923</v>
      </c>
      <c r="S37" s="31">
        <f t="shared" si="34"/>
        <v>0.16677181699666582</v>
      </c>
      <c r="T37" s="31">
        <f t="shared" si="36"/>
        <v>0.18530201888518424</v>
      </c>
      <c r="U37" s="31">
        <f t="shared" si="38"/>
        <v>0.20589113209464913</v>
      </c>
      <c r="V37" s="31">
        <f t="shared" si="40"/>
        <v>0.22876792454961015</v>
      </c>
      <c r="W37" s="31">
        <f t="shared" si="42"/>
        <v>0.25418658283290019</v>
      </c>
      <c r="X37" s="31">
        <f t="shared" si="44"/>
        <v>0.28242953648100017</v>
      </c>
      <c r="Y37" s="31">
        <f t="shared" si="46"/>
        <v>0.31381059609000017</v>
      </c>
      <c r="Z37" s="31">
        <f t="shared" si="48"/>
        <v>0.34867844010000015</v>
      </c>
      <c r="AA37" s="31">
        <f t="shared" si="50"/>
        <v>0.38742048900000015</v>
      </c>
      <c r="AB37" s="31">
        <f t="shared" si="52"/>
        <v>0.43046721000000016</v>
      </c>
      <c r="AC37" s="31">
        <f t="shared" si="54"/>
        <v>0.47829690000000014</v>
      </c>
      <c r="AD37" s="31">
        <f t="shared" si="56"/>
        <v>0.53144100000000016</v>
      </c>
      <c r="AE37" s="31">
        <f t="shared" si="58"/>
        <v>0.59049000000000018</v>
      </c>
      <c r="AF37" s="31">
        <f>POWER(Retention1,$A7-1)</f>
        <v>0.65610000000000013</v>
      </c>
      <c r="AG37" s="31">
        <f>POWER(Retention1,$A6-1)</f>
        <v>0.72900000000000009</v>
      </c>
      <c r="AH37" s="31">
        <f>POWER(Retention1,$A5-1)</f>
        <v>0.81</v>
      </c>
      <c r="AI37" s="31">
        <f>POWER(Retention1,$A4-1)</f>
        <v>0.9</v>
      </c>
      <c r="AJ37">
        <v>0</v>
      </c>
      <c r="AK37">
        <v>0</v>
      </c>
      <c r="AM37" s="43">
        <v>35</v>
      </c>
      <c r="AN37" s="31">
        <f t="shared" si="1"/>
        <v>2.7812838944369395E-2</v>
      </c>
      <c r="AO37" s="31">
        <f t="shared" si="3"/>
        <v>3.090315438263266E-2</v>
      </c>
      <c r="AP37" s="31">
        <f t="shared" si="5"/>
        <v>3.4336838202925178E-2</v>
      </c>
      <c r="AQ37" s="31">
        <f t="shared" si="7"/>
        <v>3.8152042447694635E-2</v>
      </c>
      <c r="AR37" s="31">
        <f t="shared" si="9"/>
        <v>4.2391158275216265E-2</v>
      </c>
      <c r="AS37" s="31">
        <f t="shared" si="11"/>
        <v>4.7101286972462519E-2</v>
      </c>
      <c r="AT37" s="31">
        <f t="shared" si="13"/>
        <v>5.2334763302736127E-2</v>
      </c>
      <c r="AU37" s="31">
        <f t="shared" si="15"/>
        <v>5.8149737003040138E-2</v>
      </c>
      <c r="AV37" s="31">
        <f t="shared" si="17"/>
        <v>6.4610818892266816E-2</v>
      </c>
      <c r="AW37" s="31">
        <f t="shared" si="19"/>
        <v>7.1789798769185342E-2</v>
      </c>
      <c r="AX37" s="31">
        <f t="shared" si="21"/>
        <v>7.9766443076872598E-2</v>
      </c>
      <c r="AY37" s="31">
        <f t="shared" si="23"/>
        <v>8.8629381196525109E-2</v>
      </c>
      <c r="AZ37" s="31">
        <f t="shared" si="25"/>
        <v>9.8477090218361235E-2</v>
      </c>
      <c r="BA37" s="31">
        <f t="shared" si="27"/>
        <v>0.10941898913151248</v>
      </c>
      <c r="BB37" s="31">
        <f t="shared" si="29"/>
        <v>0.12157665459056941</v>
      </c>
      <c r="BC37" s="31">
        <f t="shared" si="31"/>
        <v>0.13508517176729934</v>
      </c>
      <c r="BD37" s="31">
        <f t="shared" si="33"/>
        <v>0.15009463529699923</v>
      </c>
      <c r="BE37" s="31">
        <f t="shared" si="35"/>
        <v>0.16677181699666582</v>
      </c>
      <c r="BF37" s="31">
        <f t="shared" si="37"/>
        <v>0.18530201888518424</v>
      </c>
      <c r="BG37" s="31">
        <f t="shared" si="39"/>
        <v>0.20589113209464913</v>
      </c>
      <c r="BH37" s="31">
        <f t="shared" si="41"/>
        <v>0.22876792454961015</v>
      </c>
      <c r="BI37" s="31">
        <f t="shared" si="43"/>
        <v>0.25418658283290019</v>
      </c>
      <c r="BJ37" s="31">
        <f t="shared" si="45"/>
        <v>0.28242953648100017</v>
      </c>
      <c r="BK37" s="31">
        <f t="shared" si="47"/>
        <v>0.31381059609000017</v>
      </c>
      <c r="BL37" s="31">
        <f t="shared" si="49"/>
        <v>0.34867844010000015</v>
      </c>
      <c r="BM37" s="31">
        <f t="shared" si="51"/>
        <v>0.38742048900000015</v>
      </c>
      <c r="BN37" s="31">
        <f t="shared" si="53"/>
        <v>0.43046721000000016</v>
      </c>
      <c r="BO37" s="31">
        <f t="shared" si="55"/>
        <v>0.47829690000000014</v>
      </c>
      <c r="BP37" s="31">
        <f t="shared" si="57"/>
        <v>0.53144100000000016</v>
      </c>
      <c r="BQ37" s="31">
        <f t="shared" si="59"/>
        <v>0.59049000000000018</v>
      </c>
      <c r="BR37" s="31">
        <f>POWER(Retention2,$A7-1)</f>
        <v>0.65610000000000013</v>
      </c>
      <c r="BS37" s="31">
        <f>POWER(Retention2,$A6-1)</f>
        <v>0.72900000000000009</v>
      </c>
      <c r="BT37" s="31">
        <f>POWER(Retention2,$A5-1)</f>
        <v>0.81</v>
      </c>
      <c r="BU37" s="31">
        <f>POWER(Retention2,$A4-1)</f>
        <v>0.9</v>
      </c>
      <c r="BV37">
        <v>0</v>
      </c>
      <c r="BW37">
        <v>0</v>
      </c>
    </row>
    <row r="38" spans="1:75" x14ac:dyDescent="0.2">
      <c r="A38" s="43">
        <v>36</v>
      </c>
      <c r="B38" s="31">
        <f t="shared" si="0"/>
        <v>2.5031555049932458E-2</v>
      </c>
      <c r="C38" s="31">
        <f t="shared" si="2"/>
        <v>2.7812838944369395E-2</v>
      </c>
      <c r="D38" s="31">
        <f t="shared" si="4"/>
        <v>3.090315438263266E-2</v>
      </c>
      <c r="E38" s="31">
        <f t="shared" si="6"/>
        <v>3.4336838202925178E-2</v>
      </c>
      <c r="F38" s="31">
        <f t="shared" si="8"/>
        <v>3.8152042447694635E-2</v>
      </c>
      <c r="G38" s="31">
        <f t="shared" si="10"/>
        <v>4.2391158275216265E-2</v>
      </c>
      <c r="H38" s="31">
        <f t="shared" si="12"/>
        <v>4.7101286972462519E-2</v>
      </c>
      <c r="I38" s="31">
        <f t="shared" si="14"/>
        <v>5.2334763302736127E-2</v>
      </c>
      <c r="J38" s="31">
        <f t="shared" si="16"/>
        <v>5.8149737003040138E-2</v>
      </c>
      <c r="K38" s="31">
        <f t="shared" si="18"/>
        <v>6.4610818892266816E-2</v>
      </c>
      <c r="L38" s="31">
        <f t="shared" si="20"/>
        <v>7.1789798769185342E-2</v>
      </c>
      <c r="M38" s="31">
        <f t="shared" si="22"/>
        <v>7.9766443076872598E-2</v>
      </c>
      <c r="N38" s="31">
        <f t="shared" si="24"/>
        <v>8.8629381196525109E-2</v>
      </c>
      <c r="O38" s="31">
        <f t="shared" si="26"/>
        <v>9.8477090218361235E-2</v>
      </c>
      <c r="P38" s="31">
        <f t="shared" si="28"/>
        <v>0.10941898913151248</v>
      </c>
      <c r="Q38" s="31">
        <f t="shared" si="30"/>
        <v>0.12157665459056941</v>
      </c>
      <c r="R38" s="31">
        <f t="shared" si="32"/>
        <v>0.13508517176729934</v>
      </c>
      <c r="S38" s="31">
        <f t="shared" si="34"/>
        <v>0.15009463529699923</v>
      </c>
      <c r="T38" s="31">
        <f t="shared" si="36"/>
        <v>0.16677181699666582</v>
      </c>
      <c r="U38" s="31">
        <f t="shared" si="38"/>
        <v>0.18530201888518424</v>
      </c>
      <c r="V38" s="31">
        <f t="shared" si="40"/>
        <v>0.20589113209464913</v>
      </c>
      <c r="W38" s="31">
        <f t="shared" si="42"/>
        <v>0.22876792454961015</v>
      </c>
      <c r="X38" s="31">
        <f t="shared" si="44"/>
        <v>0.25418658283290019</v>
      </c>
      <c r="Y38" s="31">
        <f t="shared" si="46"/>
        <v>0.28242953648100017</v>
      </c>
      <c r="Z38" s="31">
        <f t="shared" si="48"/>
        <v>0.31381059609000017</v>
      </c>
      <c r="AA38" s="31">
        <f t="shared" si="50"/>
        <v>0.34867844010000015</v>
      </c>
      <c r="AB38" s="31">
        <f t="shared" si="52"/>
        <v>0.38742048900000015</v>
      </c>
      <c r="AC38" s="31">
        <f t="shared" si="54"/>
        <v>0.43046721000000016</v>
      </c>
      <c r="AD38" s="31">
        <f t="shared" si="56"/>
        <v>0.47829690000000014</v>
      </c>
      <c r="AE38" s="31">
        <f t="shared" si="58"/>
        <v>0.53144100000000016</v>
      </c>
      <c r="AF38" s="31">
        <f>POWER(Retention1,$A8-1)</f>
        <v>0.59049000000000018</v>
      </c>
      <c r="AG38" s="31">
        <f>POWER(Retention1,$A7-1)</f>
        <v>0.65610000000000013</v>
      </c>
      <c r="AH38" s="31">
        <f>POWER(Retention1,$A6-1)</f>
        <v>0.72900000000000009</v>
      </c>
      <c r="AI38" s="31">
        <f>POWER(Retention1,$A5-1)</f>
        <v>0.81</v>
      </c>
      <c r="AJ38" s="31">
        <f>POWER(Retention1,$A4-1)</f>
        <v>0.9</v>
      </c>
      <c r="AK38">
        <v>0</v>
      </c>
      <c r="AM38" s="43">
        <v>36</v>
      </c>
      <c r="AN38" s="31">
        <f t="shared" si="1"/>
        <v>2.5031555049932458E-2</v>
      </c>
      <c r="AO38" s="31">
        <f t="shared" si="3"/>
        <v>2.7812838944369395E-2</v>
      </c>
      <c r="AP38" s="31">
        <f t="shared" si="5"/>
        <v>3.090315438263266E-2</v>
      </c>
      <c r="AQ38" s="31">
        <f t="shared" si="7"/>
        <v>3.4336838202925178E-2</v>
      </c>
      <c r="AR38" s="31">
        <f t="shared" si="9"/>
        <v>3.8152042447694635E-2</v>
      </c>
      <c r="AS38" s="31">
        <f t="shared" si="11"/>
        <v>4.2391158275216265E-2</v>
      </c>
      <c r="AT38" s="31">
        <f t="shared" si="13"/>
        <v>4.7101286972462519E-2</v>
      </c>
      <c r="AU38" s="31">
        <f t="shared" si="15"/>
        <v>5.2334763302736127E-2</v>
      </c>
      <c r="AV38" s="31">
        <f t="shared" si="17"/>
        <v>5.8149737003040138E-2</v>
      </c>
      <c r="AW38" s="31">
        <f t="shared" si="19"/>
        <v>6.4610818892266816E-2</v>
      </c>
      <c r="AX38" s="31">
        <f t="shared" si="21"/>
        <v>7.1789798769185342E-2</v>
      </c>
      <c r="AY38" s="31">
        <f t="shared" si="23"/>
        <v>7.9766443076872598E-2</v>
      </c>
      <c r="AZ38" s="31">
        <f t="shared" si="25"/>
        <v>8.8629381196525109E-2</v>
      </c>
      <c r="BA38" s="31">
        <f t="shared" si="27"/>
        <v>9.8477090218361235E-2</v>
      </c>
      <c r="BB38" s="31">
        <f t="shared" si="29"/>
        <v>0.10941898913151248</v>
      </c>
      <c r="BC38" s="31">
        <f t="shared" si="31"/>
        <v>0.12157665459056941</v>
      </c>
      <c r="BD38" s="31">
        <f t="shared" si="33"/>
        <v>0.13508517176729934</v>
      </c>
      <c r="BE38" s="31">
        <f t="shared" si="35"/>
        <v>0.15009463529699923</v>
      </c>
      <c r="BF38" s="31">
        <f t="shared" si="37"/>
        <v>0.16677181699666582</v>
      </c>
      <c r="BG38" s="31">
        <f t="shared" si="39"/>
        <v>0.18530201888518424</v>
      </c>
      <c r="BH38" s="31">
        <f t="shared" si="41"/>
        <v>0.20589113209464913</v>
      </c>
      <c r="BI38" s="31">
        <f t="shared" si="43"/>
        <v>0.22876792454961015</v>
      </c>
      <c r="BJ38" s="31">
        <f t="shared" si="45"/>
        <v>0.25418658283290019</v>
      </c>
      <c r="BK38" s="31">
        <f t="shared" si="47"/>
        <v>0.28242953648100017</v>
      </c>
      <c r="BL38" s="31">
        <f t="shared" si="49"/>
        <v>0.31381059609000017</v>
      </c>
      <c r="BM38" s="31">
        <f t="shared" si="51"/>
        <v>0.34867844010000015</v>
      </c>
      <c r="BN38" s="31">
        <f t="shared" si="53"/>
        <v>0.38742048900000015</v>
      </c>
      <c r="BO38" s="31">
        <f t="shared" si="55"/>
        <v>0.43046721000000016</v>
      </c>
      <c r="BP38" s="31">
        <f t="shared" si="57"/>
        <v>0.47829690000000014</v>
      </c>
      <c r="BQ38" s="31">
        <f t="shared" si="59"/>
        <v>0.53144100000000016</v>
      </c>
      <c r="BR38" s="31">
        <f>POWER(Retention2,$A8-1)</f>
        <v>0.59049000000000018</v>
      </c>
      <c r="BS38" s="31">
        <f>POWER(Retention2,$A7-1)</f>
        <v>0.65610000000000013</v>
      </c>
      <c r="BT38" s="31">
        <f>POWER(Retention2,$A6-1)</f>
        <v>0.72900000000000009</v>
      </c>
      <c r="BU38" s="31">
        <f>POWER(Retention2,$A5-1)</f>
        <v>0.81</v>
      </c>
      <c r="BV38" s="31">
        <f>POWER(Retention2,$A4-1)</f>
        <v>0.9</v>
      </c>
      <c r="BW38">
        <v>0</v>
      </c>
    </row>
    <row r="39" spans="1:75" x14ac:dyDescent="0.2">
      <c r="A39" s="56" t="s">
        <v>50</v>
      </c>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row>
    <row r="40" spans="1:75" x14ac:dyDescent="0.2">
      <c r="B40" s="42">
        <v>1</v>
      </c>
      <c r="C40" s="42">
        <v>2</v>
      </c>
      <c r="D40" s="42">
        <v>3</v>
      </c>
      <c r="E40" s="42">
        <v>4</v>
      </c>
      <c r="F40" s="42">
        <v>5</v>
      </c>
      <c r="G40" s="42">
        <v>6</v>
      </c>
      <c r="H40" s="42">
        <v>7</v>
      </c>
      <c r="I40" s="42">
        <v>8</v>
      </c>
      <c r="J40" s="42">
        <v>9</v>
      </c>
      <c r="K40" s="42">
        <v>10</v>
      </c>
      <c r="L40" s="42">
        <v>11</v>
      </c>
      <c r="M40" s="42">
        <v>12</v>
      </c>
      <c r="N40" s="42">
        <v>13</v>
      </c>
      <c r="O40" s="42">
        <v>14</v>
      </c>
      <c r="P40" s="42">
        <v>15</v>
      </c>
      <c r="Q40" s="42">
        <v>16</v>
      </c>
      <c r="R40" s="42">
        <v>17</v>
      </c>
      <c r="S40" s="42">
        <v>18</v>
      </c>
      <c r="T40" s="42">
        <v>19</v>
      </c>
      <c r="U40" s="42">
        <v>20</v>
      </c>
      <c r="V40" s="42">
        <v>21</v>
      </c>
      <c r="W40" s="42">
        <v>22</v>
      </c>
      <c r="X40" s="42">
        <v>23</v>
      </c>
      <c r="Y40" s="42">
        <v>24</v>
      </c>
      <c r="Z40" s="42">
        <v>25</v>
      </c>
      <c r="AA40" s="42">
        <v>26</v>
      </c>
      <c r="AB40" s="42">
        <v>27</v>
      </c>
      <c r="AC40" s="42">
        <v>28</v>
      </c>
      <c r="AD40" s="42">
        <v>29</v>
      </c>
      <c r="AE40" s="42">
        <v>30</v>
      </c>
      <c r="AF40" s="42">
        <v>31</v>
      </c>
      <c r="AG40" s="42">
        <v>32</v>
      </c>
      <c r="AH40" s="42">
        <v>33</v>
      </c>
      <c r="AI40" s="42">
        <v>34</v>
      </c>
      <c r="AJ40" s="42">
        <v>35</v>
      </c>
      <c r="AK40" s="42">
        <v>36</v>
      </c>
      <c r="AM40" s="19"/>
      <c r="AN40" s="42">
        <v>1</v>
      </c>
      <c r="AO40" s="42">
        <v>2</v>
      </c>
      <c r="AP40" s="42">
        <v>3</v>
      </c>
      <c r="AQ40" s="42">
        <v>4</v>
      </c>
      <c r="AR40" s="42">
        <v>5</v>
      </c>
      <c r="AS40" s="42">
        <v>6</v>
      </c>
      <c r="AT40" s="42">
        <v>7</v>
      </c>
      <c r="AU40" s="42">
        <v>8</v>
      </c>
      <c r="AV40" s="42">
        <v>9</v>
      </c>
      <c r="AW40" s="42">
        <v>10</v>
      </c>
      <c r="AX40" s="42">
        <v>11</v>
      </c>
      <c r="AY40" s="42">
        <v>12</v>
      </c>
      <c r="AZ40" s="42">
        <v>13</v>
      </c>
      <c r="BA40" s="42">
        <v>14</v>
      </c>
      <c r="BB40" s="42">
        <v>15</v>
      </c>
      <c r="BC40" s="42">
        <v>16</v>
      </c>
      <c r="BD40" s="42">
        <v>17</v>
      </c>
      <c r="BE40" s="42">
        <v>18</v>
      </c>
      <c r="BF40" s="42">
        <v>19</v>
      </c>
      <c r="BG40" s="42">
        <v>20</v>
      </c>
      <c r="BH40" s="42">
        <v>21</v>
      </c>
      <c r="BI40" s="42">
        <v>22</v>
      </c>
      <c r="BJ40" s="42">
        <v>23</v>
      </c>
      <c r="BK40" s="42">
        <v>24</v>
      </c>
      <c r="BL40" s="42">
        <v>25</v>
      </c>
      <c r="BM40" s="42">
        <v>26</v>
      </c>
      <c r="BN40" s="42">
        <v>27</v>
      </c>
      <c r="BO40" s="42">
        <v>28</v>
      </c>
      <c r="BP40" s="42">
        <v>29</v>
      </c>
      <c r="BQ40" s="42">
        <v>30</v>
      </c>
      <c r="BR40" s="42">
        <v>31</v>
      </c>
      <c r="BS40" s="42">
        <v>32</v>
      </c>
      <c r="BT40" s="42">
        <v>33</v>
      </c>
      <c r="BU40" s="42">
        <v>34</v>
      </c>
      <c r="BV40" s="42">
        <v>35</v>
      </c>
      <c r="BW40" s="42">
        <v>36</v>
      </c>
    </row>
    <row r="41" spans="1:75" x14ac:dyDescent="0.2">
      <c r="A41" s="43">
        <v>1</v>
      </c>
      <c r="B41" s="41">
        <v>0</v>
      </c>
      <c r="C41" s="41">
        <v>0</v>
      </c>
      <c r="D41" s="41">
        <v>0</v>
      </c>
      <c r="E41" s="41">
        <v>0</v>
      </c>
      <c r="F41" s="41">
        <v>0</v>
      </c>
      <c r="G41" s="41">
        <v>0</v>
      </c>
      <c r="H41" s="41">
        <v>0</v>
      </c>
      <c r="I41" s="41">
        <v>0</v>
      </c>
      <c r="J41" s="41">
        <v>0</v>
      </c>
      <c r="K41" s="41">
        <v>0</v>
      </c>
      <c r="L41" s="41">
        <v>0</v>
      </c>
      <c r="M41" s="41">
        <v>0</v>
      </c>
      <c r="N41" s="41">
        <v>0</v>
      </c>
      <c r="O41" s="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M41" s="43">
        <v>1</v>
      </c>
      <c r="AN41" s="41">
        <v>0</v>
      </c>
      <c r="AO41" s="41">
        <v>0</v>
      </c>
      <c r="AP41" s="41">
        <v>0</v>
      </c>
      <c r="AQ41" s="41">
        <v>0</v>
      </c>
      <c r="AR41" s="41">
        <v>0</v>
      </c>
      <c r="AS41" s="41">
        <v>0</v>
      </c>
      <c r="AT41" s="41">
        <v>0</v>
      </c>
      <c r="AU41" s="41">
        <v>0</v>
      </c>
      <c r="AV41" s="41">
        <v>0</v>
      </c>
      <c r="AW41" s="41">
        <v>0</v>
      </c>
      <c r="AX41" s="41">
        <v>0</v>
      </c>
      <c r="AY41" s="41">
        <v>0</v>
      </c>
      <c r="AZ41" s="41">
        <v>0</v>
      </c>
      <c r="BA41" s="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row>
    <row r="42" spans="1:75" x14ac:dyDescent="0.2">
      <c r="A42" s="43">
        <v>2</v>
      </c>
      <c r="B42" s="41">
        <v>0</v>
      </c>
      <c r="C42" s="41">
        <v>0</v>
      </c>
      <c r="D42" s="41">
        <v>0</v>
      </c>
      <c r="E42" s="41">
        <v>0</v>
      </c>
      <c r="F42" s="41">
        <v>0</v>
      </c>
      <c r="G42" s="41">
        <v>0</v>
      </c>
      <c r="H42" s="41">
        <v>0</v>
      </c>
      <c r="I42" s="41">
        <v>0</v>
      </c>
      <c r="J42" s="41">
        <v>0</v>
      </c>
      <c r="K42" s="41">
        <v>0</v>
      </c>
      <c r="L42" s="41">
        <v>0</v>
      </c>
      <c r="M42" s="41">
        <v>0</v>
      </c>
      <c r="N42" s="41">
        <v>0</v>
      </c>
      <c r="O42" s="41">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M42" s="43">
        <v>2</v>
      </c>
      <c r="AN42" s="41">
        <v>0</v>
      </c>
      <c r="AO42" s="41">
        <v>0</v>
      </c>
      <c r="AP42" s="41">
        <v>0</v>
      </c>
      <c r="AQ42" s="41">
        <v>0</v>
      </c>
      <c r="AR42" s="41">
        <v>0</v>
      </c>
      <c r="AS42" s="41">
        <v>0</v>
      </c>
      <c r="AT42" s="41">
        <v>0</v>
      </c>
      <c r="AU42" s="41">
        <v>0</v>
      </c>
      <c r="AV42" s="41">
        <v>0</v>
      </c>
      <c r="AW42" s="41">
        <v>0</v>
      </c>
      <c r="AX42" s="41">
        <v>0</v>
      </c>
      <c r="AY42" s="41">
        <v>0</v>
      </c>
      <c r="AZ42" s="41">
        <v>0</v>
      </c>
      <c r="BA42" s="41">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row>
    <row r="43" spans="1:75" x14ac:dyDescent="0.2">
      <c r="A43" s="43">
        <v>3</v>
      </c>
      <c r="B43" s="41">
        <v>0</v>
      </c>
      <c r="C43" s="41">
        <v>0</v>
      </c>
      <c r="D43" s="41">
        <v>0</v>
      </c>
      <c r="E43" s="41">
        <v>0</v>
      </c>
      <c r="F43" s="41">
        <v>0</v>
      </c>
      <c r="G43" s="41">
        <v>0</v>
      </c>
      <c r="H43" s="41">
        <v>0</v>
      </c>
      <c r="I43" s="41">
        <v>0</v>
      </c>
      <c r="J43" s="41">
        <v>0</v>
      </c>
      <c r="K43" s="41">
        <v>0</v>
      </c>
      <c r="L43" s="41">
        <v>0</v>
      </c>
      <c r="M43" s="41">
        <v>0</v>
      </c>
      <c r="N43" s="41">
        <v>0</v>
      </c>
      <c r="O43" s="41">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M43" s="43">
        <v>3</v>
      </c>
      <c r="AN43" s="41">
        <v>0</v>
      </c>
      <c r="AO43" s="41">
        <v>0</v>
      </c>
      <c r="AP43" s="41">
        <v>0</v>
      </c>
      <c r="AQ43" s="41">
        <v>0</v>
      </c>
      <c r="AR43" s="41">
        <v>0</v>
      </c>
      <c r="AS43" s="41">
        <v>0</v>
      </c>
      <c r="AT43" s="41">
        <v>0</v>
      </c>
      <c r="AU43" s="41">
        <v>0</v>
      </c>
      <c r="AV43" s="41">
        <v>0</v>
      </c>
      <c r="AW43" s="41">
        <v>0</v>
      </c>
      <c r="AX43" s="41">
        <v>0</v>
      </c>
      <c r="AY43" s="41">
        <v>0</v>
      </c>
      <c r="AZ43" s="41">
        <v>0</v>
      </c>
      <c r="BA43" s="41">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row>
    <row r="44" spans="1:75" x14ac:dyDescent="0.2">
      <c r="A44" s="43">
        <v>4</v>
      </c>
      <c r="B44" s="41">
        <v>0</v>
      </c>
      <c r="C44" s="41">
        <v>0</v>
      </c>
      <c r="D44" s="41">
        <v>0</v>
      </c>
      <c r="E44" s="41">
        <v>0</v>
      </c>
      <c r="F44" s="41">
        <v>0</v>
      </c>
      <c r="G44" s="41">
        <v>0</v>
      </c>
      <c r="H44" s="41">
        <v>0</v>
      </c>
      <c r="I44" s="41">
        <v>0</v>
      </c>
      <c r="J44" s="41">
        <v>0</v>
      </c>
      <c r="K44" s="41">
        <v>0</v>
      </c>
      <c r="L44" s="41">
        <v>0</v>
      </c>
      <c r="M44" s="41">
        <v>0</v>
      </c>
      <c r="N44" s="41">
        <v>0</v>
      </c>
      <c r="O44" s="41">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M44" s="43">
        <v>4</v>
      </c>
      <c r="AN44" s="41">
        <v>0</v>
      </c>
      <c r="AO44" s="41">
        <v>0</v>
      </c>
      <c r="AP44" s="41">
        <v>0</v>
      </c>
      <c r="AQ44" s="41">
        <v>0</v>
      </c>
      <c r="AR44" s="41">
        <v>0</v>
      </c>
      <c r="AS44" s="41">
        <v>0</v>
      </c>
      <c r="AT44" s="41">
        <v>0</v>
      </c>
      <c r="AU44" s="41">
        <v>0</v>
      </c>
      <c r="AV44" s="41">
        <v>0</v>
      </c>
      <c r="AW44" s="41">
        <v>0</v>
      </c>
      <c r="AX44" s="41">
        <v>0</v>
      </c>
      <c r="AY44" s="41">
        <v>0</v>
      </c>
      <c r="AZ44" s="41">
        <v>0</v>
      </c>
      <c r="BA44" s="41">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row>
    <row r="45" spans="1:75" x14ac:dyDescent="0.2">
      <c r="A45" s="43">
        <v>5</v>
      </c>
      <c r="B45" s="41">
        <v>0</v>
      </c>
      <c r="C45" s="41">
        <v>0</v>
      </c>
      <c r="D45" s="41">
        <v>0</v>
      </c>
      <c r="E45" s="41">
        <v>0</v>
      </c>
      <c r="F45" s="41">
        <v>0</v>
      </c>
      <c r="G45" s="41">
        <v>0</v>
      </c>
      <c r="H45" s="41">
        <v>0</v>
      </c>
      <c r="I45" s="41">
        <v>0</v>
      </c>
      <c r="J45" s="41">
        <v>0</v>
      </c>
      <c r="K45" s="41">
        <v>0</v>
      </c>
      <c r="L45" s="41">
        <v>0</v>
      </c>
      <c r="M45" s="41">
        <v>0</v>
      </c>
      <c r="N45" s="41">
        <v>0</v>
      </c>
      <c r="O45" s="41">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M45" s="43">
        <v>5</v>
      </c>
      <c r="AN45" s="41">
        <v>0</v>
      </c>
      <c r="AO45" s="41">
        <v>0</v>
      </c>
      <c r="AP45" s="41">
        <v>0</v>
      </c>
      <c r="AQ45" s="41">
        <v>0</v>
      </c>
      <c r="AR45" s="41">
        <v>0</v>
      </c>
      <c r="AS45" s="41">
        <v>0</v>
      </c>
      <c r="AT45" s="41">
        <v>0</v>
      </c>
      <c r="AU45" s="41">
        <v>0</v>
      </c>
      <c r="AV45" s="41">
        <v>0</v>
      </c>
      <c r="AW45" s="41">
        <v>0</v>
      </c>
      <c r="AX45" s="41">
        <v>0</v>
      </c>
      <c r="AY45" s="41">
        <v>0</v>
      </c>
      <c r="AZ45" s="41">
        <v>0</v>
      </c>
      <c r="BA45" s="41">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row>
    <row r="46" spans="1:75" x14ac:dyDescent="0.2">
      <c r="A46" s="43">
        <v>6</v>
      </c>
      <c r="B46" s="41">
        <v>0</v>
      </c>
      <c r="C46" s="41">
        <v>0</v>
      </c>
      <c r="D46" s="41">
        <v>0</v>
      </c>
      <c r="E46" s="41">
        <v>0</v>
      </c>
      <c r="F46" s="41">
        <v>0</v>
      </c>
      <c r="G46" s="41">
        <v>0</v>
      </c>
      <c r="H46" s="41">
        <v>0</v>
      </c>
      <c r="I46" s="41">
        <v>0</v>
      </c>
      <c r="J46" s="41">
        <v>0</v>
      </c>
      <c r="K46" s="41">
        <v>0</v>
      </c>
      <c r="L46" s="41">
        <v>0</v>
      </c>
      <c r="M46" s="41">
        <v>0</v>
      </c>
      <c r="N46" s="41">
        <v>0</v>
      </c>
      <c r="O46" s="41">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M46" s="43">
        <v>6</v>
      </c>
      <c r="AN46" s="41">
        <v>0</v>
      </c>
      <c r="AO46" s="41">
        <v>0</v>
      </c>
      <c r="AP46" s="41">
        <v>0</v>
      </c>
      <c r="AQ46" s="41">
        <v>0</v>
      </c>
      <c r="AR46" s="41">
        <v>0</v>
      </c>
      <c r="AS46" s="41">
        <v>0</v>
      </c>
      <c r="AT46" s="41">
        <v>0</v>
      </c>
      <c r="AU46" s="41">
        <v>0</v>
      </c>
      <c r="AV46" s="41">
        <v>0</v>
      </c>
      <c r="AW46" s="41">
        <v>0</v>
      </c>
      <c r="AX46" s="41">
        <v>0</v>
      </c>
      <c r="AY46" s="41">
        <v>0</v>
      </c>
      <c r="AZ46" s="41">
        <v>0</v>
      </c>
      <c r="BA46" s="41">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row>
    <row r="47" spans="1:75" x14ac:dyDescent="0.2">
      <c r="A47" s="43">
        <v>7</v>
      </c>
      <c r="B47" s="41">
        <v>0</v>
      </c>
      <c r="C47" s="41">
        <v>0</v>
      </c>
      <c r="D47" s="41">
        <v>0</v>
      </c>
      <c r="E47" s="41">
        <v>0</v>
      </c>
      <c r="F47" s="41">
        <v>0</v>
      </c>
      <c r="G47" s="41">
        <v>0</v>
      </c>
      <c r="H47" s="41">
        <v>0</v>
      </c>
      <c r="I47" s="41">
        <v>0</v>
      </c>
      <c r="J47" s="41">
        <v>0</v>
      </c>
      <c r="K47" s="41">
        <v>0</v>
      </c>
      <c r="L47" s="41">
        <v>0</v>
      </c>
      <c r="M47" s="41">
        <v>0</v>
      </c>
      <c r="N47" s="41">
        <v>0</v>
      </c>
      <c r="O47" s="41">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M47" s="43">
        <v>7</v>
      </c>
      <c r="AN47" s="41">
        <v>0</v>
      </c>
      <c r="AO47" s="41">
        <v>0</v>
      </c>
      <c r="AP47" s="41">
        <v>0</v>
      </c>
      <c r="AQ47" s="41">
        <v>0</v>
      </c>
      <c r="AR47" s="41">
        <v>0</v>
      </c>
      <c r="AS47" s="41">
        <v>0</v>
      </c>
      <c r="AT47" s="41">
        <v>0</v>
      </c>
      <c r="AU47" s="41">
        <v>0</v>
      </c>
      <c r="AV47" s="41">
        <v>0</v>
      </c>
      <c r="AW47" s="41">
        <v>0</v>
      </c>
      <c r="AX47" s="41">
        <v>0</v>
      </c>
      <c r="AY47" s="41">
        <v>0</v>
      </c>
      <c r="AZ47" s="41">
        <v>0</v>
      </c>
      <c r="BA47" s="41">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row>
    <row r="48" spans="1:75" x14ac:dyDescent="0.2">
      <c r="A48" s="43">
        <v>8</v>
      </c>
      <c r="B48" s="41">
        <v>0</v>
      </c>
      <c r="C48" s="41">
        <v>0</v>
      </c>
      <c r="D48" s="41">
        <v>0</v>
      </c>
      <c r="E48" s="41">
        <v>0</v>
      </c>
      <c r="F48" s="41">
        <v>0</v>
      </c>
      <c r="G48" s="41">
        <v>0</v>
      </c>
      <c r="H48" s="41">
        <v>0</v>
      </c>
      <c r="I48" s="41">
        <v>0</v>
      </c>
      <c r="J48" s="41">
        <v>0</v>
      </c>
      <c r="K48" s="41">
        <v>0</v>
      </c>
      <c r="L48" s="41">
        <v>0</v>
      </c>
      <c r="M48" s="41">
        <v>0</v>
      </c>
      <c r="N48" s="41">
        <v>0</v>
      </c>
      <c r="O48" s="41">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M48" s="43">
        <v>8</v>
      </c>
      <c r="AN48" s="41">
        <v>0</v>
      </c>
      <c r="AO48" s="41">
        <v>0</v>
      </c>
      <c r="AP48" s="41">
        <v>0</v>
      </c>
      <c r="AQ48" s="41">
        <v>0</v>
      </c>
      <c r="AR48" s="41">
        <v>0</v>
      </c>
      <c r="AS48" s="41">
        <v>0</v>
      </c>
      <c r="AT48" s="41">
        <v>0</v>
      </c>
      <c r="AU48" s="41">
        <v>0</v>
      </c>
      <c r="AV48" s="41">
        <v>0</v>
      </c>
      <c r="AW48" s="41">
        <v>0</v>
      </c>
      <c r="AX48" s="41">
        <v>0</v>
      </c>
      <c r="AY48" s="41">
        <v>0</v>
      </c>
      <c r="AZ48" s="41">
        <v>0</v>
      </c>
      <c r="BA48" s="41">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row>
    <row r="49" spans="1:75" x14ac:dyDescent="0.2">
      <c r="A49" s="43">
        <v>9</v>
      </c>
      <c r="B49" s="41">
        <v>0</v>
      </c>
      <c r="C49" s="41">
        <v>0</v>
      </c>
      <c r="D49" s="41">
        <v>0</v>
      </c>
      <c r="E49" s="41">
        <v>0</v>
      </c>
      <c r="F49" s="41">
        <v>0</v>
      </c>
      <c r="G49" s="41">
        <v>0</v>
      </c>
      <c r="H49" s="41">
        <v>0</v>
      </c>
      <c r="I49" s="41">
        <v>0</v>
      </c>
      <c r="J49" s="41">
        <v>0</v>
      </c>
      <c r="K49" s="41">
        <v>0</v>
      </c>
      <c r="L49" s="41">
        <v>0</v>
      </c>
      <c r="M49" s="41">
        <v>0</v>
      </c>
      <c r="N49" s="41">
        <v>0</v>
      </c>
      <c r="O49" s="41">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M49" s="43">
        <v>9</v>
      </c>
      <c r="AN49" s="41">
        <v>0</v>
      </c>
      <c r="AO49" s="41">
        <v>0</v>
      </c>
      <c r="AP49" s="41">
        <v>0</v>
      </c>
      <c r="AQ49" s="41">
        <v>0</v>
      </c>
      <c r="AR49" s="41">
        <v>0</v>
      </c>
      <c r="AS49" s="41">
        <v>0</v>
      </c>
      <c r="AT49" s="41">
        <v>0</v>
      </c>
      <c r="AU49" s="41">
        <v>0</v>
      </c>
      <c r="AV49" s="41">
        <v>0</v>
      </c>
      <c r="AW49" s="41">
        <v>0</v>
      </c>
      <c r="AX49" s="41">
        <v>0</v>
      </c>
      <c r="AY49" s="41">
        <v>0</v>
      </c>
      <c r="AZ49" s="41">
        <v>0</v>
      </c>
      <c r="BA49" s="41">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row>
    <row r="50" spans="1:75" x14ac:dyDescent="0.2">
      <c r="A50" s="43">
        <v>10</v>
      </c>
      <c r="B50" s="41">
        <v>0</v>
      </c>
      <c r="C50" s="41">
        <v>0</v>
      </c>
      <c r="D50" s="41">
        <v>0</v>
      </c>
      <c r="E50" s="41">
        <v>0</v>
      </c>
      <c r="F50" s="41">
        <v>0</v>
      </c>
      <c r="G50" s="41">
        <v>0</v>
      </c>
      <c r="H50" s="41">
        <v>0</v>
      </c>
      <c r="I50" s="41">
        <v>0</v>
      </c>
      <c r="J50" s="41">
        <v>0</v>
      </c>
      <c r="K50" s="41">
        <v>0</v>
      </c>
      <c r="L50" s="41">
        <v>0</v>
      </c>
      <c r="M50" s="41">
        <v>0</v>
      </c>
      <c r="N50" s="41">
        <v>0</v>
      </c>
      <c r="O50" s="41">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M50" s="43">
        <v>10</v>
      </c>
      <c r="AN50" s="41">
        <v>0</v>
      </c>
      <c r="AO50" s="41">
        <v>0</v>
      </c>
      <c r="AP50" s="41">
        <v>0</v>
      </c>
      <c r="AQ50" s="41">
        <v>0</v>
      </c>
      <c r="AR50" s="41">
        <v>0</v>
      </c>
      <c r="AS50" s="41">
        <v>0</v>
      </c>
      <c r="AT50" s="41">
        <v>0</v>
      </c>
      <c r="AU50" s="41">
        <v>0</v>
      </c>
      <c r="AV50" s="41">
        <v>0</v>
      </c>
      <c r="AW50" s="41">
        <v>0</v>
      </c>
      <c r="AX50" s="41">
        <v>0</v>
      </c>
      <c r="AY50" s="41">
        <v>0</v>
      </c>
      <c r="AZ50" s="41">
        <v>0</v>
      </c>
      <c r="BA50" s="41">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row>
    <row r="51" spans="1:75" x14ac:dyDescent="0.2">
      <c r="A51" s="43">
        <v>11</v>
      </c>
      <c r="B51" s="41">
        <v>0</v>
      </c>
      <c r="C51" s="41">
        <v>0</v>
      </c>
      <c r="D51" s="41">
        <v>0</v>
      </c>
      <c r="E51" s="41">
        <v>0</v>
      </c>
      <c r="F51" s="41">
        <v>0</v>
      </c>
      <c r="G51" s="41">
        <v>0</v>
      </c>
      <c r="H51" s="41">
        <v>0</v>
      </c>
      <c r="I51" s="41">
        <v>0</v>
      </c>
      <c r="J51" s="41">
        <v>0</v>
      </c>
      <c r="K51" s="41">
        <v>0</v>
      </c>
      <c r="L51" s="41">
        <v>0</v>
      </c>
      <c r="M51" s="41">
        <v>0</v>
      </c>
      <c r="N51" s="41">
        <v>0</v>
      </c>
      <c r="O51" s="41">
        <v>0</v>
      </c>
      <c r="P51" s="41">
        <v>0</v>
      </c>
      <c r="Q51" s="41">
        <v>0</v>
      </c>
      <c r="R51" s="41">
        <v>0</v>
      </c>
      <c r="S51">
        <v>0</v>
      </c>
      <c r="T51">
        <v>0</v>
      </c>
      <c r="U51">
        <v>0</v>
      </c>
      <c r="V51">
        <v>0</v>
      </c>
      <c r="W51">
        <v>0</v>
      </c>
      <c r="X51">
        <v>0</v>
      </c>
      <c r="Y51">
        <v>0</v>
      </c>
      <c r="Z51">
        <v>0</v>
      </c>
      <c r="AA51">
        <v>0</v>
      </c>
      <c r="AB51">
        <v>0</v>
      </c>
      <c r="AC51">
        <v>0</v>
      </c>
      <c r="AD51">
        <v>0</v>
      </c>
      <c r="AE51">
        <v>0</v>
      </c>
      <c r="AF51">
        <v>0</v>
      </c>
      <c r="AG51">
        <v>0</v>
      </c>
      <c r="AH51">
        <v>0</v>
      </c>
      <c r="AI51">
        <v>0</v>
      </c>
      <c r="AJ51">
        <v>0</v>
      </c>
      <c r="AK51">
        <v>0</v>
      </c>
      <c r="AM51" s="43">
        <v>11</v>
      </c>
      <c r="AN51" s="41">
        <v>0</v>
      </c>
      <c r="AO51" s="41">
        <v>0</v>
      </c>
      <c r="AP51" s="41">
        <v>0</v>
      </c>
      <c r="AQ51" s="41">
        <v>0</v>
      </c>
      <c r="AR51" s="41">
        <v>0</v>
      </c>
      <c r="AS51" s="41">
        <v>0</v>
      </c>
      <c r="AT51" s="41">
        <v>0</v>
      </c>
      <c r="AU51" s="41">
        <v>0</v>
      </c>
      <c r="AV51" s="41">
        <v>0</v>
      </c>
      <c r="AW51" s="41">
        <v>0</v>
      </c>
      <c r="AX51" s="41">
        <v>0</v>
      </c>
      <c r="AY51" s="41">
        <v>0</v>
      </c>
      <c r="AZ51" s="41">
        <v>0</v>
      </c>
      <c r="BA51" s="41">
        <v>0</v>
      </c>
      <c r="BB51" s="41">
        <v>0</v>
      </c>
      <c r="BC51" s="41">
        <v>0</v>
      </c>
      <c r="BD51" s="41">
        <v>0</v>
      </c>
      <c r="BE51">
        <v>0</v>
      </c>
      <c r="BF51">
        <v>0</v>
      </c>
      <c r="BG51">
        <v>0</v>
      </c>
      <c r="BH51">
        <v>0</v>
      </c>
      <c r="BI51">
        <v>0</v>
      </c>
      <c r="BJ51">
        <v>0</v>
      </c>
      <c r="BK51">
        <v>0</v>
      </c>
      <c r="BL51">
        <v>0</v>
      </c>
      <c r="BM51">
        <v>0</v>
      </c>
      <c r="BN51">
        <v>0</v>
      </c>
      <c r="BO51">
        <v>0</v>
      </c>
      <c r="BP51">
        <v>0</v>
      </c>
      <c r="BQ51">
        <v>0</v>
      </c>
      <c r="BR51">
        <v>0</v>
      </c>
      <c r="BS51">
        <v>0</v>
      </c>
      <c r="BT51">
        <v>0</v>
      </c>
      <c r="BU51">
        <v>0</v>
      </c>
      <c r="BV51">
        <v>0</v>
      </c>
      <c r="BW51">
        <v>0</v>
      </c>
    </row>
    <row r="52" spans="1:75" x14ac:dyDescent="0.2">
      <c r="A52" s="43">
        <v>12</v>
      </c>
      <c r="B52" s="41">
        <v>0</v>
      </c>
      <c r="C52" s="41">
        <v>0</v>
      </c>
      <c r="D52" s="41">
        <v>0</v>
      </c>
      <c r="E52" s="41">
        <v>0</v>
      </c>
      <c r="F52" s="41">
        <v>0</v>
      </c>
      <c r="G52" s="41">
        <v>0</v>
      </c>
      <c r="H52" s="41">
        <v>0</v>
      </c>
      <c r="I52" s="41">
        <v>0</v>
      </c>
      <c r="J52" s="41">
        <v>0</v>
      </c>
      <c r="K52" s="41">
        <v>0</v>
      </c>
      <c r="L52" s="41">
        <v>0</v>
      </c>
      <c r="M52" s="41">
        <v>0</v>
      </c>
      <c r="N52" s="41">
        <v>0</v>
      </c>
      <c r="O52" s="41">
        <v>0</v>
      </c>
      <c r="P52" s="41">
        <v>0</v>
      </c>
      <c r="Q52" s="41">
        <v>0</v>
      </c>
      <c r="R52" s="41">
        <v>0</v>
      </c>
      <c r="S52">
        <v>0</v>
      </c>
      <c r="T52">
        <v>0</v>
      </c>
      <c r="U52">
        <v>0</v>
      </c>
      <c r="V52">
        <v>0</v>
      </c>
      <c r="W52">
        <v>0</v>
      </c>
      <c r="X52">
        <v>0</v>
      </c>
      <c r="Y52">
        <v>0</v>
      </c>
      <c r="Z52">
        <v>0</v>
      </c>
      <c r="AA52">
        <v>0</v>
      </c>
      <c r="AB52">
        <v>0</v>
      </c>
      <c r="AC52">
        <v>0</v>
      </c>
      <c r="AD52">
        <v>0</v>
      </c>
      <c r="AE52">
        <v>0</v>
      </c>
      <c r="AF52">
        <v>0</v>
      </c>
      <c r="AG52">
        <v>0</v>
      </c>
      <c r="AH52">
        <v>0</v>
      </c>
      <c r="AI52">
        <v>0</v>
      </c>
      <c r="AJ52">
        <v>0</v>
      </c>
      <c r="AK52">
        <v>0</v>
      </c>
      <c r="AM52" s="43">
        <v>12</v>
      </c>
      <c r="AN52" s="41">
        <v>0</v>
      </c>
      <c r="AO52" s="41">
        <v>0</v>
      </c>
      <c r="AP52" s="41">
        <v>0</v>
      </c>
      <c r="AQ52" s="41">
        <v>0</v>
      </c>
      <c r="AR52" s="41">
        <v>0</v>
      </c>
      <c r="AS52" s="41">
        <v>0</v>
      </c>
      <c r="AT52" s="41">
        <v>0</v>
      </c>
      <c r="AU52" s="41">
        <v>0</v>
      </c>
      <c r="AV52" s="41">
        <v>0</v>
      </c>
      <c r="AW52" s="41">
        <v>0</v>
      </c>
      <c r="AX52" s="41">
        <v>0</v>
      </c>
      <c r="AY52" s="41">
        <v>0</v>
      </c>
      <c r="AZ52" s="41">
        <v>0</v>
      </c>
      <c r="BA52" s="41">
        <v>0</v>
      </c>
      <c r="BB52" s="41">
        <v>0</v>
      </c>
      <c r="BC52" s="41">
        <v>0</v>
      </c>
      <c r="BD52" s="41">
        <v>0</v>
      </c>
      <c r="BE52">
        <v>0</v>
      </c>
      <c r="BF52">
        <v>0</v>
      </c>
      <c r="BG52">
        <v>0</v>
      </c>
      <c r="BH52">
        <v>0</v>
      </c>
      <c r="BI52">
        <v>0</v>
      </c>
      <c r="BJ52">
        <v>0</v>
      </c>
      <c r="BK52">
        <v>0</v>
      </c>
      <c r="BL52">
        <v>0</v>
      </c>
      <c r="BM52">
        <v>0</v>
      </c>
      <c r="BN52">
        <v>0</v>
      </c>
      <c r="BO52">
        <v>0</v>
      </c>
      <c r="BP52">
        <v>0</v>
      </c>
      <c r="BQ52">
        <v>0</v>
      </c>
      <c r="BR52">
        <v>0</v>
      </c>
      <c r="BS52">
        <v>0</v>
      </c>
      <c r="BT52">
        <v>0</v>
      </c>
      <c r="BU52">
        <v>0</v>
      </c>
      <c r="BV52">
        <v>0</v>
      </c>
      <c r="BW52">
        <v>0</v>
      </c>
    </row>
    <row r="53" spans="1:75" x14ac:dyDescent="0.2">
      <c r="A53" s="43">
        <v>13</v>
      </c>
      <c r="B53" s="31">
        <f>POWER(Retention1,1)</f>
        <v>0.9</v>
      </c>
      <c r="C53" s="41">
        <v>0</v>
      </c>
      <c r="D53" s="41">
        <v>0</v>
      </c>
      <c r="E53" s="41">
        <v>0</v>
      </c>
      <c r="F53" s="41">
        <v>0</v>
      </c>
      <c r="G53" s="41">
        <v>0</v>
      </c>
      <c r="H53" s="41">
        <v>0</v>
      </c>
      <c r="I53" s="41">
        <v>0</v>
      </c>
      <c r="J53" s="41">
        <v>0</v>
      </c>
      <c r="K53" s="41">
        <v>0</v>
      </c>
      <c r="L53" s="41">
        <v>0</v>
      </c>
      <c r="M53" s="41">
        <v>0</v>
      </c>
      <c r="N53" s="41">
        <v>0</v>
      </c>
      <c r="O53" s="41">
        <v>0</v>
      </c>
      <c r="P53" s="41">
        <v>0</v>
      </c>
      <c r="Q53" s="41">
        <v>0</v>
      </c>
      <c r="R53" s="41">
        <v>0</v>
      </c>
      <c r="S53">
        <v>0</v>
      </c>
      <c r="T53">
        <v>0</v>
      </c>
      <c r="U53">
        <v>0</v>
      </c>
      <c r="V53">
        <v>0</v>
      </c>
      <c r="W53">
        <v>0</v>
      </c>
      <c r="X53">
        <v>0</v>
      </c>
      <c r="Y53">
        <v>0</v>
      </c>
      <c r="Z53">
        <v>0</v>
      </c>
      <c r="AA53">
        <v>0</v>
      </c>
      <c r="AB53">
        <v>0</v>
      </c>
      <c r="AC53">
        <v>0</v>
      </c>
      <c r="AD53">
        <v>0</v>
      </c>
      <c r="AE53">
        <v>0</v>
      </c>
      <c r="AF53">
        <v>0</v>
      </c>
      <c r="AG53">
        <v>0</v>
      </c>
      <c r="AH53">
        <v>0</v>
      </c>
      <c r="AI53">
        <v>0</v>
      </c>
      <c r="AJ53">
        <v>0</v>
      </c>
      <c r="AK53">
        <v>0</v>
      </c>
      <c r="AM53" s="43">
        <v>13</v>
      </c>
      <c r="AN53" s="31">
        <f>POWER(Retention2,1)</f>
        <v>0.9</v>
      </c>
      <c r="AO53" s="41">
        <v>0</v>
      </c>
      <c r="AP53" s="41">
        <v>0</v>
      </c>
      <c r="AQ53" s="41">
        <v>0</v>
      </c>
      <c r="AR53" s="41">
        <v>0</v>
      </c>
      <c r="AS53" s="41">
        <v>0</v>
      </c>
      <c r="AT53" s="41">
        <v>0</v>
      </c>
      <c r="AU53" s="41">
        <v>0</v>
      </c>
      <c r="AV53" s="41">
        <v>0</v>
      </c>
      <c r="AW53" s="41">
        <v>0</v>
      </c>
      <c r="AX53" s="41">
        <v>0</v>
      </c>
      <c r="AY53" s="41">
        <v>0</v>
      </c>
      <c r="AZ53" s="41">
        <v>0</v>
      </c>
      <c r="BA53" s="41">
        <v>0</v>
      </c>
      <c r="BB53" s="41">
        <v>0</v>
      </c>
      <c r="BC53" s="41">
        <v>0</v>
      </c>
      <c r="BD53" s="41">
        <v>0</v>
      </c>
      <c r="BE53">
        <v>0</v>
      </c>
      <c r="BF53">
        <v>0</v>
      </c>
      <c r="BG53">
        <v>0</v>
      </c>
      <c r="BH53">
        <v>0</v>
      </c>
      <c r="BI53">
        <v>0</v>
      </c>
      <c r="BJ53">
        <v>0</v>
      </c>
      <c r="BK53">
        <v>0</v>
      </c>
      <c r="BL53">
        <v>0</v>
      </c>
      <c r="BM53">
        <v>0</v>
      </c>
      <c r="BN53">
        <v>0</v>
      </c>
      <c r="BO53">
        <v>0</v>
      </c>
      <c r="BP53">
        <v>0</v>
      </c>
      <c r="BQ53">
        <v>0</v>
      </c>
      <c r="BR53">
        <v>0</v>
      </c>
      <c r="BS53">
        <v>0</v>
      </c>
      <c r="BT53">
        <v>0</v>
      </c>
      <c r="BU53">
        <v>0</v>
      </c>
      <c r="BV53">
        <v>0</v>
      </c>
      <c r="BW53">
        <v>0</v>
      </c>
    </row>
    <row r="54" spans="1:75" x14ac:dyDescent="0.2">
      <c r="A54" s="43">
        <v>14</v>
      </c>
      <c r="B54" s="41">
        <v>0</v>
      </c>
      <c r="C54" s="31">
        <f>POWER(Retention1,1)</f>
        <v>0.9</v>
      </c>
      <c r="D54" s="41">
        <v>0</v>
      </c>
      <c r="E54" s="41">
        <v>0</v>
      </c>
      <c r="F54" s="41">
        <v>0</v>
      </c>
      <c r="G54" s="41">
        <v>0</v>
      </c>
      <c r="H54" s="41">
        <v>0</v>
      </c>
      <c r="I54" s="41">
        <v>0</v>
      </c>
      <c r="J54" s="41">
        <v>0</v>
      </c>
      <c r="K54" s="41">
        <v>0</v>
      </c>
      <c r="L54" s="41">
        <v>0</v>
      </c>
      <c r="M54" s="41">
        <v>0</v>
      </c>
      <c r="N54" s="41">
        <v>0</v>
      </c>
      <c r="O54" s="41">
        <v>0</v>
      </c>
      <c r="P54" s="41">
        <v>0</v>
      </c>
      <c r="Q54" s="41">
        <v>0</v>
      </c>
      <c r="R54" s="41">
        <v>0</v>
      </c>
      <c r="S54" s="41">
        <v>0</v>
      </c>
      <c r="T54" s="41">
        <v>0</v>
      </c>
      <c r="U54" s="41">
        <v>0</v>
      </c>
      <c r="V54" s="41">
        <v>0</v>
      </c>
      <c r="W54" s="41">
        <v>0</v>
      </c>
      <c r="X54" s="41">
        <v>0</v>
      </c>
      <c r="Y54" s="41">
        <v>0</v>
      </c>
      <c r="Z54" s="41">
        <v>0</v>
      </c>
      <c r="AA54" s="41">
        <v>0</v>
      </c>
      <c r="AB54" s="41">
        <v>0</v>
      </c>
      <c r="AC54" s="41">
        <v>0</v>
      </c>
      <c r="AD54">
        <v>0</v>
      </c>
      <c r="AE54">
        <v>0</v>
      </c>
      <c r="AF54">
        <v>0</v>
      </c>
      <c r="AG54">
        <v>0</v>
      </c>
      <c r="AH54">
        <v>0</v>
      </c>
      <c r="AI54">
        <v>0</v>
      </c>
      <c r="AJ54">
        <v>0</v>
      </c>
      <c r="AK54">
        <v>0</v>
      </c>
      <c r="AM54" s="43">
        <v>14</v>
      </c>
      <c r="AN54" s="41">
        <v>0</v>
      </c>
      <c r="AO54" s="31">
        <f>POWER(Retention2,1)</f>
        <v>0.9</v>
      </c>
      <c r="AP54" s="41">
        <v>0</v>
      </c>
      <c r="AQ54" s="41">
        <v>0</v>
      </c>
      <c r="AR54" s="41">
        <v>0</v>
      </c>
      <c r="AS54" s="41">
        <v>0</v>
      </c>
      <c r="AT54" s="41">
        <v>0</v>
      </c>
      <c r="AU54" s="41">
        <v>0</v>
      </c>
      <c r="AV54" s="41">
        <v>0</v>
      </c>
      <c r="AW54" s="41">
        <v>0</v>
      </c>
      <c r="AX54" s="41">
        <v>0</v>
      </c>
      <c r="AY54" s="41">
        <v>0</v>
      </c>
      <c r="AZ54" s="41">
        <v>0</v>
      </c>
      <c r="BA54" s="41">
        <v>0</v>
      </c>
      <c r="BB54" s="41">
        <v>0</v>
      </c>
      <c r="BC54" s="41">
        <v>0</v>
      </c>
      <c r="BD54" s="41">
        <v>0</v>
      </c>
      <c r="BE54" s="41">
        <v>0</v>
      </c>
      <c r="BF54" s="41">
        <v>0</v>
      </c>
      <c r="BG54" s="41">
        <v>0</v>
      </c>
      <c r="BH54" s="41">
        <v>0</v>
      </c>
      <c r="BI54" s="41">
        <v>0</v>
      </c>
      <c r="BJ54" s="41">
        <v>0</v>
      </c>
      <c r="BK54" s="41">
        <v>0</v>
      </c>
      <c r="BL54" s="41">
        <v>0</v>
      </c>
      <c r="BM54" s="41">
        <v>0</v>
      </c>
      <c r="BN54" s="41">
        <v>0</v>
      </c>
      <c r="BO54" s="41">
        <v>0</v>
      </c>
      <c r="BP54">
        <v>0</v>
      </c>
      <c r="BQ54">
        <v>0</v>
      </c>
      <c r="BR54">
        <v>0</v>
      </c>
      <c r="BS54">
        <v>0</v>
      </c>
      <c r="BT54">
        <v>0</v>
      </c>
      <c r="BU54">
        <v>0</v>
      </c>
      <c r="BV54">
        <v>0</v>
      </c>
      <c r="BW54">
        <v>0</v>
      </c>
    </row>
    <row r="55" spans="1:75" x14ac:dyDescent="0.2">
      <c r="A55" s="43">
        <v>15</v>
      </c>
      <c r="B55" s="41">
        <v>0</v>
      </c>
      <c r="C55" s="41">
        <v>0</v>
      </c>
      <c r="D55" s="31">
        <f>POWER(Retention1,1)</f>
        <v>0.9</v>
      </c>
      <c r="E55" s="41">
        <v>0</v>
      </c>
      <c r="F55" s="41">
        <v>0</v>
      </c>
      <c r="G55" s="41">
        <v>0</v>
      </c>
      <c r="H55" s="41">
        <v>0</v>
      </c>
      <c r="I55" s="41">
        <v>0</v>
      </c>
      <c r="J55" s="41">
        <v>0</v>
      </c>
      <c r="K55" s="41">
        <v>0</v>
      </c>
      <c r="L55" s="41">
        <v>0</v>
      </c>
      <c r="M55" s="41">
        <v>0</v>
      </c>
      <c r="N55" s="41">
        <v>0</v>
      </c>
      <c r="O55" s="41">
        <v>0</v>
      </c>
      <c r="P55" s="41">
        <v>0</v>
      </c>
      <c r="Q55" s="41">
        <v>0</v>
      </c>
      <c r="R55" s="41">
        <v>0</v>
      </c>
      <c r="S55" s="41">
        <v>0</v>
      </c>
      <c r="T55" s="41">
        <v>0</v>
      </c>
      <c r="U55" s="41">
        <v>0</v>
      </c>
      <c r="V55" s="41">
        <v>0</v>
      </c>
      <c r="W55" s="41">
        <v>0</v>
      </c>
      <c r="X55" s="41">
        <v>0</v>
      </c>
      <c r="Y55" s="41">
        <v>0</v>
      </c>
      <c r="Z55" s="41">
        <v>0</v>
      </c>
      <c r="AA55" s="41">
        <v>0</v>
      </c>
      <c r="AB55" s="41">
        <v>0</v>
      </c>
      <c r="AC55" s="41">
        <v>0</v>
      </c>
      <c r="AD55">
        <v>0</v>
      </c>
      <c r="AE55">
        <v>0</v>
      </c>
      <c r="AF55">
        <v>0</v>
      </c>
      <c r="AG55">
        <v>0</v>
      </c>
      <c r="AH55">
        <v>0</v>
      </c>
      <c r="AI55">
        <v>0</v>
      </c>
      <c r="AJ55">
        <v>0</v>
      </c>
      <c r="AK55">
        <v>0</v>
      </c>
      <c r="AM55" s="43">
        <v>15</v>
      </c>
      <c r="AN55" s="41">
        <v>0</v>
      </c>
      <c r="AO55" s="41">
        <v>0</v>
      </c>
      <c r="AP55" s="31">
        <f>POWER(Retention2,1)</f>
        <v>0.9</v>
      </c>
      <c r="AQ55" s="41">
        <v>0</v>
      </c>
      <c r="AR55" s="41">
        <v>0</v>
      </c>
      <c r="AS55" s="41">
        <v>0</v>
      </c>
      <c r="AT55" s="41">
        <v>0</v>
      </c>
      <c r="AU55" s="41">
        <v>0</v>
      </c>
      <c r="AV55" s="41">
        <v>0</v>
      </c>
      <c r="AW55" s="41">
        <v>0</v>
      </c>
      <c r="AX55" s="41">
        <v>0</v>
      </c>
      <c r="AY55" s="41">
        <v>0</v>
      </c>
      <c r="AZ55" s="41">
        <v>0</v>
      </c>
      <c r="BA55" s="41">
        <v>0</v>
      </c>
      <c r="BB55" s="41">
        <v>0</v>
      </c>
      <c r="BC55" s="41">
        <v>0</v>
      </c>
      <c r="BD55" s="41">
        <v>0</v>
      </c>
      <c r="BE55" s="41">
        <v>0</v>
      </c>
      <c r="BF55" s="41">
        <v>0</v>
      </c>
      <c r="BG55" s="41">
        <v>0</v>
      </c>
      <c r="BH55" s="41">
        <v>0</v>
      </c>
      <c r="BI55" s="41">
        <v>0</v>
      </c>
      <c r="BJ55" s="41">
        <v>0</v>
      </c>
      <c r="BK55" s="41">
        <v>0</v>
      </c>
      <c r="BL55" s="41">
        <v>0</v>
      </c>
      <c r="BM55" s="41">
        <v>0</v>
      </c>
      <c r="BN55" s="41">
        <v>0</v>
      </c>
      <c r="BO55" s="41">
        <v>0</v>
      </c>
      <c r="BP55">
        <v>0</v>
      </c>
      <c r="BQ55">
        <v>0</v>
      </c>
      <c r="BR55">
        <v>0</v>
      </c>
      <c r="BS55">
        <v>0</v>
      </c>
      <c r="BT55">
        <v>0</v>
      </c>
      <c r="BU55">
        <v>0</v>
      </c>
      <c r="BV55">
        <v>0</v>
      </c>
      <c r="BW55">
        <v>0</v>
      </c>
    </row>
    <row r="56" spans="1:75" x14ac:dyDescent="0.2">
      <c r="A56" s="43">
        <v>16</v>
      </c>
      <c r="B56" s="41">
        <v>0</v>
      </c>
      <c r="C56" s="41">
        <v>0</v>
      </c>
      <c r="D56" s="41">
        <v>0</v>
      </c>
      <c r="E56" s="31">
        <f>POWER(Retention1,1)</f>
        <v>0.9</v>
      </c>
      <c r="F56" s="41">
        <v>0</v>
      </c>
      <c r="G56" s="41">
        <v>0</v>
      </c>
      <c r="H56" s="41">
        <v>0</v>
      </c>
      <c r="I56" s="41">
        <v>0</v>
      </c>
      <c r="J56" s="41">
        <v>0</v>
      </c>
      <c r="K56" s="41">
        <v>0</v>
      </c>
      <c r="L56" s="41">
        <v>0</v>
      </c>
      <c r="M56" s="41">
        <v>0</v>
      </c>
      <c r="N56" s="41">
        <v>0</v>
      </c>
      <c r="O56" s="41">
        <v>0</v>
      </c>
      <c r="P56" s="41">
        <v>0</v>
      </c>
      <c r="Q56" s="41">
        <v>0</v>
      </c>
      <c r="R56" s="41">
        <v>0</v>
      </c>
      <c r="S56" s="41">
        <v>0</v>
      </c>
      <c r="T56" s="41">
        <v>0</v>
      </c>
      <c r="U56" s="41">
        <v>0</v>
      </c>
      <c r="V56" s="41">
        <v>0</v>
      </c>
      <c r="W56" s="41">
        <v>0</v>
      </c>
      <c r="X56" s="41">
        <v>0</v>
      </c>
      <c r="Y56" s="41">
        <v>0</v>
      </c>
      <c r="Z56" s="41">
        <v>0</v>
      </c>
      <c r="AA56" s="41">
        <v>0</v>
      </c>
      <c r="AB56" s="41">
        <v>0</v>
      </c>
      <c r="AC56" s="41">
        <v>0</v>
      </c>
      <c r="AD56">
        <v>0</v>
      </c>
      <c r="AE56">
        <v>0</v>
      </c>
      <c r="AF56">
        <v>0</v>
      </c>
      <c r="AG56">
        <v>0</v>
      </c>
      <c r="AH56">
        <v>0</v>
      </c>
      <c r="AI56">
        <v>0</v>
      </c>
      <c r="AJ56">
        <v>0</v>
      </c>
      <c r="AK56">
        <v>0</v>
      </c>
      <c r="AM56" s="43">
        <v>16</v>
      </c>
      <c r="AN56" s="41">
        <v>0</v>
      </c>
      <c r="AO56" s="41">
        <v>0</v>
      </c>
      <c r="AP56" s="41">
        <v>0</v>
      </c>
      <c r="AQ56" s="31">
        <f>POWER(Retention2,1)</f>
        <v>0.9</v>
      </c>
      <c r="AR56" s="41">
        <v>0</v>
      </c>
      <c r="AS56" s="41">
        <v>0</v>
      </c>
      <c r="AT56" s="41">
        <v>0</v>
      </c>
      <c r="AU56" s="41">
        <v>0</v>
      </c>
      <c r="AV56" s="41">
        <v>0</v>
      </c>
      <c r="AW56" s="41">
        <v>0</v>
      </c>
      <c r="AX56" s="41">
        <v>0</v>
      </c>
      <c r="AY56" s="41">
        <v>0</v>
      </c>
      <c r="AZ56" s="41">
        <v>0</v>
      </c>
      <c r="BA56" s="41">
        <v>0</v>
      </c>
      <c r="BB56" s="41">
        <v>0</v>
      </c>
      <c r="BC56" s="41">
        <v>0</v>
      </c>
      <c r="BD56" s="41">
        <v>0</v>
      </c>
      <c r="BE56" s="41">
        <v>0</v>
      </c>
      <c r="BF56" s="41">
        <v>0</v>
      </c>
      <c r="BG56" s="41">
        <v>0</v>
      </c>
      <c r="BH56" s="41">
        <v>0</v>
      </c>
      <c r="BI56" s="41">
        <v>0</v>
      </c>
      <c r="BJ56" s="41">
        <v>0</v>
      </c>
      <c r="BK56" s="41">
        <v>0</v>
      </c>
      <c r="BL56" s="41">
        <v>0</v>
      </c>
      <c r="BM56" s="41">
        <v>0</v>
      </c>
      <c r="BN56" s="41">
        <v>0</v>
      </c>
      <c r="BO56" s="41">
        <v>0</v>
      </c>
      <c r="BP56">
        <v>0</v>
      </c>
      <c r="BQ56">
        <v>0</v>
      </c>
      <c r="BR56">
        <v>0</v>
      </c>
      <c r="BS56">
        <v>0</v>
      </c>
      <c r="BT56">
        <v>0</v>
      </c>
      <c r="BU56">
        <v>0</v>
      </c>
      <c r="BV56">
        <v>0</v>
      </c>
      <c r="BW56">
        <v>0</v>
      </c>
    </row>
    <row r="57" spans="1:75" x14ac:dyDescent="0.2">
      <c r="A57" s="43">
        <v>17</v>
      </c>
      <c r="B57" s="41">
        <v>0</v>
      </c>
      <c r="C57" s="41">
        <v>0</v>
      </c>
      <c r="D57" s="41">
        <v>0</v>
      </c>
      <c r="E57" s="41">
        <v>0</v>
      </c>
      <c r="F57" s="31">
        <f>POWER(Retention1,1)</f>
        <v>0.9</v>
      </c>
      <c r="G57" s="41">
        <v>0</v>
      </c>
      <c r="H57" s="41">
        <v>0</v>
      </c>
      <c r="I57" s="41">
        <v>0</v>
      </c>
      <c r="J57" s="41">
        <v>0</v>
      </c>
      <c r="K57" s="41">
        <v>0</v>
      </c>
      <c r="L57" s="41">
        <v>0</v>
      </c>
      <c r="M57" s="41">
        <v>0</v>
      </c>
      <c r="N57" s="41">
        <v>0</v>
      </c>
      <c r="O57" s="41">
        <v>0</v>
      </c>
      <c r="P57" s="41">
        <v>0</v>
      </c>
      <c r="Q57" s="41">
        <v>0</v>
      </c>
      <c r="R57" s="41">
        <v>0</v>
      </c>
      <c r="S57" s="41">
        <v>0</v>
      </c>
      <c r="T57" s="41">
        <v>0</v>
      </c>
      <c r="U57" s="41">
        <v>0</v>
      </c>
      <c r="V57" s="41">
        <v>0</v>
      </c>
      <c r="W57" s="41">
        <v>0</v>
      </c>
      <c r="X57" s="41">
        <v>0</v>
      </c>
      <c r="Y57" s="41">
        <v>0</v>
      </c>
      <c r="Z57" s="41">
        <v>0</v>
      </c>
      <c r="AA57" s="41">
        <v>0</v>
      </c>
      <c r="AB57" s="41">
        <v>0</v>
      </c>
      <c r="AC57" s="41">
        <v>0</v>
      </c>
      <c r="AD57">
        <v>0</v>
      </c>
      <c r="AE57">
        <v>0</v>
      </c>
      <c r="AF57">
        <v>0</v>
      </c>
      <c r="AG57">
        <v>0</v>
      </c>
      <c r="AH57">
        <v>0</v>
      </c>
      <c r="AI57">
        <v>0</v>
      </c>
      <c r="AJ57">
        <v>0</v>
      </c>
      <c r="AK57">
        <v>0</v>
      </c>
      <c r="AM57" s="43">
        <v>17</v>
      </c>
      <c r="AN57" s="41">
        <v>0</v>
      </c>
      <c r="AO57" s="41">
        <v>0</v>
      </c>
      <c r="AP57" s="41">
        <v>0</v>
      </c>
      <c r="AQ57" s="41">
        <v>0</v>
      </c>
      <c r="AR57" s="31">
        <f>POWER(Retention2,1)</f>
        <v>0.9</v>
      </c>
      <c r="AS57" s="41">
        <v>0</v>
      </c>
      <c r="AT57" s="41">
        <v>0</v>
      </c>
      <c r="AU57" s="41">
        <v>0</v>
      </c>
      <c r="AV57" s="41">
        <v>0</v>
      </c>
      <c r="AW57" s="41">
        <v>0</v>
      </c>
      <c r="AX57" s="41">
        <v>0</v>
      </c>
      <c r="AY57" s="41">
        <v>0</v>
      </c>
      <c r="AZ57" s="41">
        <v>0</v>
      </c>
      <c r="BA57" s="41">
        <v>0</v>
      </c>
      <c r="BB57" s="41">
        <v>0</v>
      </c>
      <c r="BC57" s="41">
        <v>0</v>
      </c>
      <c r="BD57" s="41">
        <v>0</v>
      </c>
      <c r="BE57" s="41">
        <v>0</v>
      </c>
      <c r="BF57" s="41">
        <v>0</v>
      </c>
      <c r="BG57" s="41">
        <v>0</v>
      </c>
      <c r="BH57" s="41">
        <v>0</v>
      </c>
      <c r="BI57" s="41">
        <v>0</v>
      </c>
      <c r="BJ57" s="41">
        <v>0</v>
      </c>
      <c r="BK57" s="41">
        <v>0</v>
      </c>
      <c r="BL57" s="41">
        <v>0</v>
      </c>
      <c r="BM57" s="41">
        <v>0</v>
      </c>
      <c r="BN57" s="41">
        <v>0</v>
      </c>
      <c r="BO57" s="41">
        <v>0</v>
      </c>
      <c r="BP57">
        <v>0</v>
      </c>
      <c r="BQ57">
        <v>0</v>
      </c>
      <c r="BR57">
        <v>0</v>
      </c>
      <c r="BS57">
        <v>0</v>
      </c>
      <c r="BT57">
        <v>0</v>
      </c>
      <c r="BU57">
        <v>0</v>
      </c>
      <c r="BV57">
        <v>0</v>
      </c>
      <c r="BW57">
        <v>0</v>
      </c>
    </row>
    <row r="58" spans="1:75" x14ac:dyDescent="0.2">
      <c r="A58" s="43">
        <v>18</v>
      </c>
      <c r="B58" s="41">
        <v>0</v>
      </c>
      <c r="C58" s="41">
        <v>0</v>
      </c>
      <c r="D58" s="41">
        <v>0</v>
      </c>
      <c r="E58" s="41">
        <v>0</v>
      </c>
      <c r="F58" s="41">
        <v>0</v>
      </c>
      <c r="G58" s="31">
        <f>POWER(Retention1,1)</f>
        <v>0.9</v>
      </c>
      <c r="H58" s="41">
        <v>0</v>
      </c>
      <c r="I58" s="41">
        <v>0</v>
      </c>
      <c r="J58" s="41">
        <v>0</v>
      </c>
      <c r="K58" s="41">
        <v>0</v>
      </c>
      <c r="L58" s="41">
        <v>0</v>
      </c>
      <c r="M58" s="41">
        <v>0</v>
      </c>
      <c r="N58" s="41">
        <v>0</v>
      </c>
      <c r="O58" s="41">
        <v>0</v>
      </c>
      <c r="P58" s="41">
        <v>0</v>
      </c>
      <c r="Q58" s="41">
        <v>0</v>
      </c>
      <c r="R58" s="41">
        <v>0</v>
      </c>
      <c r="S58" s="41">
        <v>0</v>
      </c>
      <c r="T58" s="41">
        <v>0</v>
      </c>
      <c r="U58" s="41">
        <v>0</v>
      </c>
      <c r="V58" s="41">
        <v>0</v>
      </c>
      <c r="W58" s="41">
        <v>0</v>
      </c>
      <c r="X58" s="41">
        <v>0</v>
      </c>
      <c r="Y58" s="41">
        <v>0</v>
      </c>
      <c r="Z58" s="41">
        <v>0</v>
      </c>
      <c r="AA58" s="41">
        <v>0</v>
      </c>
      <c r="AB58" s="41">
        <v>0</v>
      </c>
      <c r="AC58" s="41">
        <v>0</v>
      </c>
      <c r="AD58">
        <v>0</v>
      </c>
      <c r="AE58">
        <v>0</v>
      </c>
      <c r="AF58">
        <v>0</v>
      </c>
      <c r="AG58">
        <v>0</v>
      </c>
      <c r="AH58">
        <v>0</v>
      </c>
      <c r="AI58">
        <v>0</v>
      </c>
      <c r="AJ58">
        <v>0</v>
      </c>
      <c r="AK58">
        <v>0</v>
      </c>
      <c r="AM58" s="43">
        <v>18</v>
      </c>
      <c r="AN58" s="41">
        <v>0</v>
      </c>
      <c r="AO58" s="41">
        <v>0</v>
      </c>
      <c r="AP58" s="41">
        <v>0</v>
      </c>
      <c r="AQ58" s="41">
        <v>0</v>
      </c>
      <c r="AR58" s="41">
        <v>0</v>
      </c>
      <c r="AS58" s="31">
        <f>POWER(Retention2,1)</f>
        <v>0.9</v>
      </c>
      <c r="AT58" s="41">
        <v>0</v>
      </c>
      <c r="AU58" s="41">
        <v>0</v>
      </c>
      <c r="AV58" s="41">
        <v>0</v>
      </c>
      <c r="AW58" s="41">
        <v>0</v>
      </c>
      <c r="AX58" s="41">
        <v>0</v>
      </c>
      <c r="AY58" s="41">
        <v>0</v>
      </c>
      <c r="AZ58" s="41">
        <v>0</v>
      </c>
      <c r="BA58" s="41">
        <v>0</v>
      </c>
      <c r="BB58" s="41">
        <v>0</v>
      </c>
      <c r="BC58" s="41">
        <v>0</v>
      </c>
      <c r="BD58" s="41">
        <v>0</v>
      </c>
      <c r="BE58" s="41">
        <v>0</v>
      </c>
      <c r="BF58" s="41">
        <v>0</v>
      </c>
      <c r="BG58" s="41">
        <v>0</v>
      </c>
      <c r="BH58" s="41">
        <v>0</v>
      </c>
      <c r="BI58" s="41">
        <v>0</v>
      </c>
      <c r="BJ58" s="41">
        <v>0</v>
      </c>
      <c r="BK58" s="41">
        <v>0</v>
      </c>
      <c r="BL58" s="41">
        <v>0</v>
      </c>
      <c r="BM58" s="41">
        <v>0</v>
      </c>
      <c r="BN58" s="41">
        <v>0</v>
      </c>
      <c r="BO58" s="41">
        <v>0</v>
      </c>
      <c r="BP58">
        <v>0</v>
      </c>
      <c r="BQ58">
        <v>0</v>
      </c>
      <c r="BR58">
        <v>0</v>
      </c>
      <c r="BS58">
        <v>0</v>
      </c>
      <c r="BT58">
        <v>0</v>
      </c>
      <c r="BU58">
        <v>0</v>
      </c>
      <c r="BV58">
        <v>0</v>
      </c>
      <c r="BW58">
        <v>0</v>
      </c>
    </row>
    <row r="59" spans="1:75" x14ac:dyDescent="0.2">
      <c r="A59" s="43">
        <v>19</v>
      </c>
      <c r="B59" s="41">
        <v>0</v>
      </c>
      <c r="C59" s="41">
        <v>0</v>
      </c>
      <c r="D59" s="41">
        <v>0</v>
      </c>
      <c r="E59" s="41">
        <v>0</v>
      </c>
      <c r="F59" s="41">
        <v>0</v>
      </c>
      <c r="G59" s="41">
        <v>0</v>
      </c>
      <c r="H59" s="31">
        <f>POWER(Retention1,1)</f>
        <v>0.9</v>
      </c>
      <c r="I59" s="41">
        <v>0</v>
      </c>
      <c r="J59" s="41">
        <v>0</v>
      </c>
      <c r="K59" s="41">
        <v>0</v>
      </c>
      <c r="L59" s="41">
        <v>0</v>
      </c>
      <c r="M59" s="41">
        <v>0</v>
      </c>
      <c r="N59" s="41">
        <v>0</v>
      </c>
      <c r="O59" s="41">
        <v>0</v>
      </c>
      <c r="P59" s="41">
        <v>0</v>
      </c>
      <c r="Q59" s="41">
        <v>0</v>
      </c>
      <c r="R59" s="41">
        <v>0</v>
      </c>
      <c r="S59" s="41">
        <v>0</v>
      </c>
      <c r="T59" s="41">
        <v>0</v>
      </c>
      <c r="U59" s="41">
        <v>0</v>
      </c>
      <c r="V59" s="41">
        <v>0</v>
      </c>
      <c r="W59" s="41">
        <v>0</v>
      </c>
      <c r="X59" s="41">
        <v>0</v>
      </c>
      <c r="Y59" s="41">
        <v>0</v>
      </c>
      <c r="Z59" s="41">
        <v>0</v>
      </c>
      <c r="AA59" s="41">
        <v>0</v>
      </c>
      <c r="AB59" s="41">
        <v>0</v>
      </c>
      <c r="AC59" s="41">
        <v>0</v>
      </c>
      <c r="AD59">
        <v>0</v>
      </c>
      <c r="AE59">
        <v>0</v>
      </c>
      <c r="AF59">
        <v>0</v>
      </c>
      <c r="AG59">
        <v>0</v>
      </c>
      <c r="AH59">
        <v>0</v>
      </c>
      <c r="AI59">
        <v>0</v>
      </c>
      <c r="AJ59">
        <v>0</v>
      </c>
      <c r="AK59">
        <v>0</v>
      </c>
      <c r="AM59" s="43">
        <v>19</v>
      </c>
      <c r="AN59" s="41">
        <v>0</v>
      </c>
      <c r="AO59" s="41">
        <v>0</v>
      </c>
      <c r="AP59" s="41">
        <v>0</v>
      </c>
      <c r="AQ59" s="41">
        <v>0</v>
      </c>
      <c r="AR59" s="41">
        <v>0</v>
      </c>
      <c r="AS59" s="41">
        <v>0</v>
      </c>
      <c r="AT59" s="31">
        <f>POWER(Retention2,1)</f>
        <v>0.9</v>
      </c>
      <c r="AU59" s="41">
        <v>0</v>
      </c>
      <c r="AV59" s="41">
        <v>0</v>
      </c>
      <c r="AW59" s="41">
        <v>0</v>
      </c>
      <c r="AX59" s="41">
        <v>0</v>
      </c>
      <c r="AY59" s="41">
        <v>0</v>
      </c>
      <c r="AZ59" s="41">
        <v>0</v>
      </c>
      <c r="BA59" s="41">
        <v>0</v>
      </c>
      <c r="BB59" s="41">
        <v>0</v>
      </c>
      <c r="BC59" s="41">
        <v>0</v>
      </c>
      <c r="BD59" s="41">
        <v>0</v>
      </c>
      <c r="BE59" s="41">
        <v>0</v>
      </c>
      <c r="BF59" s="41">
        <v>0</v>
      </c>
      <c r="BG59" s="41">
        <v>0</v>
      </c>
      <c r="BH59" s="41">
        <v>0</v>
      </c>
      <c r="BI59" s="41">
        <v>0</v>
      </c>
      <c r="BJ59" s="41">
        <v>0</v>
      </c>
      <c r="BK59" s="41">
        <v>0</v>
      </c>
      <c r="BL59" s="41">
        <v>0</v>
      </c>
      <c r="BM59" s="41">
        <v>0</v>
      </c>
      <c r="BN59" s="41">
        <v>0</v>
      </c>
      <c r="BO59" s="41">
        <v>0</v>
      </c>
      <c r="BP59">
        <v>0</v>
      </c>
      <c r="BQ59">
        <v>0</v>
      </c>
      <c r="BR59">
        <v>0</v>
      </c>
      <c r="BS59">
        <v>0</v>
      </c>
      <c r="BT59">
        <v>0</v>
      </c>
      <c r="BU59">
        <v>0</v>
      </c>
      <c r="BV59">
        <v>0</v>
      </c>
      <c r="BW59">
        <v>0</v>
      </c>
    </row>
    <row r="60" spans="1:75" x14ac:dyDescent="0.2">
      <c r="A60" s="43">
        <v>20</v>
      </c>
      <c r="B60" s="41">
        <v>0</v>
      </c>
      <c r="C60" s="41">
        <v>0</v>
      </c>
      <c r="D60" s="41">
        <v>0</v>
      </c>
      <c r="E60" s="41">
        <v>0</v>
      </c>
      <c r="F60" s="41">
        <v>0</v>
      </c>
      <c r="G60" s="41">
        <v>0</v>
      </c>
      <c r="H60" s="41">
        <v>0</v>
      </c>
      <c r="I60" s="31">
        <f>POWER(Retention1,1)</f>
        <v>0.9</v>
      </c>
      <c r="J60" s="41">
        <v>0</v>
      </c>
      <c r="K60" s="41">
        <v>0</v>
      </c>
      <c r="L60" s="41">
        <v>0</v>
      </c>
      <c r="M60" s="41">
        <v>0</v>
      </c>
      <c r="N60" s="41">
        <v>0</v>
      </c>
      <c r="O60" s="41">
        <v>0</v>
      </c>
      <c r="P60" s="41">
        <v>0</v>
      </c>
      <c r="Q60" s="41">
        <v>0</v>
      </c>
      <c r="R60" s="41">
        <v>0</v>
      </c>
      <c r="S60" s="41">
        <v>0</v>
      </c>
      <c r="T60" s="41">
        <v>0</v>
      </c>
      <c r="U60" s="41">
        <v>0</v>
      </c>
      <c r="V60" s="41">
        <v>0</v>
      </c>
      <c r="W60" s="41">
        <v>0</v>
      </c>
      <c r="X60" s="41">
        <v>0</v>
      </c>
      <c r="Y60" s="41">
        <v>0</v>
      </c>
      <c r="Z60" s="41">
        <v>0</v>
      </c>
      <c r="AA60" s="41">
        <v>0</v>
      </c>
      <c r="AB60" s="41">
        <v>0</v>
      </c>
      <c r="AC60" s="41">
        <v>0</v>
      </c>
      <c r="AD60">
        <v>0</v>
      </c>
      <c r="AE60">
        <v>0</v>
      </c>
      <c r="AF60">
        <v>0</v>
      </c>
      <c r="AG60">
        <v>0</v>
      </c>
      <c r="AH60">
        <v>0</v>
      </c>
      <c r="AI60">
        <v>0</v>
      </c>
      <c r="AJ60">
        <v>0</v>
      </c>
      <c r="AK60">
        <v>0</v>
      </c>
      <c r="AM60" s="43">
        <v>20</v>
      </c>
      <c r="AN60" s="41">
        <v>0</v>
      </c>
      <c r="AO60" s="41">
        <v>0</v>
      </c>
      <c r="AP60" s="41">
        <v>0</v>
      </c>
      <c r="AQ60" s="41">
        <v>0</v>
      </c>
      <c r="AR60" s="41">
        <v>0</v>
      </c>
      <c r="AS60" s="41">
        <v>0</v>
      </c>
      <c r="AT60" s="41">
        <v>0</v>
      </c>
      <c r="AU60" s="31">
        <f>POWER(Retention2,1)</f>
        <v>0.9</v>
      </c>
      <c r="AV60" s="41">
        <v>0</v>
      </c>
      <c r="AW60" s="41">
        <v>0</v>
      </c>
      <c r="AX60" s="41">
        <v>0</v>
      </c>
      <c r="AY60" s="41">
        <v>0</v>
      </c>
      <c r="AZ60" s="41">
        <v>0</v>
      </c>
      <c r="BA60" s="41">
        <v>0</v>
      </c>
      <c r="BB60" s="41">
        <v>0</v>
      </c>
      <c r="BC60" s="41">
        <v>0</v>
      </c>
      <c r="BD60" s="41">
        <v>0</v>
      </c>
      <c r="BE60" s="41">
        <v>0</v>
      </c>
      <c r="BF60" s="41">
        <v>0</v>
      </c>
      <c r="BG60" s="41">
        <v>0</v>
      </c>
      <c r="BH60" s="41">
        <v>0</v>
      </c>
      <c r="BI60" s="41">
        <v>0</v>
      </c>
      <c r="BJ60" s="41">
        <v>0</v>
      </c>
      <c r="BK60" s="41">
        <v>0</v>
      </c>
      <c r="BL60" s="41">
        <v>0</v>
      </c>
      <c r="BM60" s="41">
        <v>0</v>
      </c>
      <c r="BN60" s="41">
        <v>0</v>
      </c>
      <c r="BO60" s="41">
        <v>0</v>
      </c>
      <c r="BP60">
        <v>0</v>
      </c>
      <c r="BQ60">
        <v>0</v>
      </c>
      <c r="BR60">
        <v>0</v>
      </c>
      <c r="BS60">
        <v>0</v>
      </c>
      <c r="BT60">
        <v>0</v>
      </c>
      <c r="BU60">
        <v>0</v>
      </c>
      <c r="BV60">
        <v>0</v>
      </c>
      <c r="BW60">
        <v>0</v>
      </c>
    </row>
    <row r="61" spans="1:75" x14ac:dyDescent="0.2">
      <c r="A61" s="43">
        <v>21</v>
      </c>
      <c r="B61" s="41">
        <v>0</v>
      </c>
      <c r="C61" s="41">
        <v>0</v>
      </c>
      <c r="D61" s="41">
        <v>0</v>
      </c>
      <c r="E61" s="41">
        <v>0</v>
      </c>
      <c r="F61" s="41">
        <v>0</v>
      </c>
      <c r="G61" s="41">
        <v>0</v>
      </c>
      <c r="H61" s="41">
        <v>0</v>
      </c>
      <c r="I61" s="41">
        <v>0</v>
      </c>
      <c r="J61" s="31">
        <f>POWER(Retention1,1)</f>
        <v>0.9</v>
      </c>
      <c r="K61" s="41">
        <v>0</v>
      </c>
      <c r="L61" s="41">
        <v>0</v>
      </c>
      <c r="M61" s="41">
        <v>0</v>
      </c>
      <c r="N61" s="41">
        <v>0</v>
      </c>
      <c r="O61" s="41">
        <v>0</v>
      </c>
      <c r="P61" s="41">
        <v>0</v>
      </c>
      <c r="Q61" s="41">
        <v>0</v>
      </c>
      <c r="R61" s="41">
        <v>0</v>
      </c>
      <c r="S61" s="41">
        <v>0</v>
      </c>
      <c r="T61" s="41">
        <v>0</v>
      </c>
      <c r="U61" s="41">
        <v>0</v>
      </c>
      <c r="V61" s="41">
        <v>0</v>
      </c>
      <c r="W61" s="41">
        <v>0</v>
      </c>
      <c r="X61" s="41">
        <v>0</v>
      </c>
      <c r="Y61" s="41">
        <v>0</v>
      </c>
      <c r="Z61" s="41">
        <v>0</v>
      </c>
      <c r="AA61" s="41">
        <v>0</v>
      </c>
      <c r="AB61" s="41">
        <v>0</v>
      </c>
      <c r="AC61" s="41">
        <v>0</v>
      </c>
      <c r="AD61">
        <v>0</v>
      </c>
      <c r="AE61">
        <v>0</v>
      </c>
      <c r="AF61">
        <v>0</v>
      </c>
      <c r="AG61">
        <v>0</v>
      </c>
      <c r="AH61">
        <v>0</v>
      </c>
      <c r="AI61">
        <v>0</v>
      </c>
      <c r="AJ61">
        <v>0</v>
      </c>
      <c r="AK61">
        <v>0</v>
      </c>
      <c r="AM61" s="43">
        <v>21</v>
      </c>
      <c r="AN61" s="41">
        <v>0</v>
      </c>
      <c r="AO61" s="41">
        <v>0</v>
      </c>
      <c r="AP61" s="41">
        <v>0</v>
      </c>
      <c r="AQ61" s="41">
        <v>0</v>
      </c>
      <c r="AR61" s="41">
        <v>0</v>
      </c>
      <c r="AS61" s="41">
        <v>0</v>
      </c>
      <c r="AT61" s="41">
        <v>0</v>
      </c>
      <c r="AU61" s="41">
        <v>0</v>
      </c>
      <c r="AV61" s="31">
        <f>POWER(Retention2,1)</f>
        <v>0.9</v>
      </c>
      <c r="AW61" s="41">
        <v>0</v>
      </c>
      <c r="AX61" s="41">
        <v>0</v>
      </c>
      <c r="AY61" s="41">
        <v>0</v>
      </c>
      <c r="AZ61" s="41">
        <v>0</v>
      </c>
      <c r="BA61" s="41">
        <v>0</v>
      </c>
      <c r="BB61" s="41">
        <v>0</v>
      </c>
      <c r="BC61" s="41">
        <v>0</v>
      </c>
      <c r="BD61" s="41">
        <v>0</v>
      </c>
      <c r="BE61" s="41">
        <v>0</v>
      </c>
      <c r="BF61" s="41">
        <v>0</v>
      </c>
      <c r="BG61" s="41">
        <v>0</v>
      </c>
      <c r="BH61" s="41">
        <v>0</v>
      </c>
      <c r="BI61" s="41">
        <v>0</v>
      </c>
      <c r="BJ61" s="41">
        <v>0</v>
      </c>
      <c r="BK61" s="41">
        <v>0</v>
      </c>
      <c r="BL61" s="41">
        <v>0</v>
      </c>
      <c r="BM61" s="41">
        <v>0</v>
      </c>
      <c r="BN61" s="41">
        <v>0</v>
      </c>
      <c r="BO61" s="41">
        <v>0</v>
      </c>
      <c r="BP61">
        <v>0</v>
      </c>
      <c r="BQ61">
        <v>0</v>
      </c>
      <c r="BR61">
        <v>0</v>
      </c>
      <c r="BS61">
        <v>0</v>
      </c>
      <c r="BT61">
        <v>0</v>
      </c>
      <c r="BU61">
        <v>0</v>
      </c>
      <c r="BV61">
        <v>0</v>
      </c>
      <c r="BW61">
        <v>0</v>
      </c>
    </row>
    <row r="62" spans="1:75" x14ac:dyDescent="0.2">
      <c r="A62" s="43">
        <v>22</v>
      </c>
      <c r="B62" s="41">
        <v>0</v>
      </c>
      <c r="C62" s="41">
        <v>0</v>
      </c>
      <c r="D62" s="41">
        <v>0</v>
      </c>
      <c r="E62" s="41">
        <v>0</v>
      </c>
      <c r="F62" s="41">
        <v>0</v>
      </c>
      <c r="G62" s="41">
        <v>0</v>
      </c>
      <c r="H62" s="41">
        <v>0</v>
      </c>
      <c r="I62" s="41">
        <v>0</v>
      </c>
      <c r="J62" s="41">
        <v>0</v>
      </c>
      <c r="K62" s="31">
        <f>POWER(Retention1,1)</f>
        <v>0.9</v>
      </c>
      <c r="L62" s="41">
        <v>0</v>
      </c>
      <c r="M62" s="41">
        <v>0</v>
      </c>
      <c r="N62" s="41">
        <v>0</v>
      </c>
      <c r="O62" s="41">
        <v>0</v>
      </c>
      <c r="P62" s="41">
        <v>0</v>
      </c>
      <c r="Q62" s="41">
        <v>0</v>
      </c>
      <c r="R62" s="41">
        <v>0</v>
      </c>
      <c r="S62" s="41">
        <v>0</v>
      </c>
      <c r="T62" s="41">
        <v>0</v>
      </c>
      <c r="U62" s="41">
        <v>0</v>
      </c>
      <c r="V62" s="41">
        <v>0</v>
      </c>
      <c r="W62" s="41">
        <v>0</v>
      </c>
      <c r="X62" s="41">
        <v>0</v>
      </c>
      <c r="Y62" s="41">
        <v>0</v>
      </c>
      <c r="Z62" s="41">
        <v>0</v>
      </c>
      <c r="AA62" s="41">
        <v>0</v>
      </c>
      <c r="AB62" s="41">
        <v>0</v>
      </c>
      <c r="AC62" s="41">
        <v>0</v>
      </c>
      <c r="AD62">
        <v>0</v>
      </c>
      <c r="AE62">
        <v>0</v>
      </c>
      <c r="AF62">
        <v>0</v>
      </c>
      <c r="AG62">
        <v>0</v>
      </c>
      <c r="AH62">
        <v>0</v>
      </c>
      <c r="AI62">
        <v>0</v>
      </c>
      <c r="AJ62">
        <v>0</v>
      </c>
      <c r="AK62">
        <v>0</v>
      </c>
      <c r="AM62" s="43">
        <v>22</v>
      </c>
      <c r="AN62" s="41">
        <v>0</v>
      </c>
      <c r="AO62" s="41">
        <v>0</v>
      </c>
      <c r="AP62" s="41">
        <v>0</v>
      </c>
      <c r="AQ62" s="41">
        <v>0</v>
      </c>
      <c r="AR62" s="41">
        <v>0</v>
      </c>
      <c r="AS62" s="41">
        <v>0</v>
      </c>
      <c r="AT62" s="41">
        <v>0</v>
      </c>
      <c r="AU62" s="41">
        <v>0</v>
      </c>
      <c r="AV62" s="41">
        <v>0</v>
      </c>
      <c r="AW62" s="31">
        <f>POWER(Retention2,1)</f>
        <v>0.9</v>
      </c>
      <c r="AX62" s="41">
        <v>0</v>
      </c>
      <c r="AY62" s="41">
        <v>0</v>
      </c>
      <c r="AZ62" s="41">
        <v>0</v>
      </c>
      <c r="BA62" s="41">
        <v>0</v>
      </c>
      <c r="BB62" s="41">
        <v>0</v>
      </c>
      <c r="BC62" s="41">
        <v>0</v>
      </c>
      <c r="BD62" s="41">
        <v>0</v>
      </c>
      <c r="BE62" s="41">
        <v>0</v>
      </c>
      <c r="BF62" s="41">
        <v>0</v>
      </c>
      <c r="BG62" s="41">
        <v>0</v>
      </c>
      <c r="BH62" s="41">
        <v>0</v>
      </c>
      <c r="BI62" s="41">
        <v>0</v>
      </c>
      <c r="BJ62" s="41">
        <v>0</v>
      </c>
      <c r="BK62" s="41">
        <v>0</v>
      </c>
      <c r="BL62" s="41">
        <v>0</v>
      </c>
      <c r="BM62" s="41">
        <v>0</v>
      </c>
      <c r="BN62" s="41">
        <v>0</v>
      </c>
      <c r="BO62" s="41">
        <v>0</v>
      </c>
      <c r="BP62">
        <v>0</v>
      </c>
      <c r="BQ62">
        <v>0</v>
      </c>
      <c r="BR62">
        <v>0</v>
      </c>
      <c r="BS62">
        <v>0</v>
      </c>
      <c r="BT62">
        <v>0</v>
      </c>
      <c r="BU62">
        <v>0</v>
      </c>
      <c r="BV62">
        <v>0</v>
      </c>
      <c r="BW62">
        <v>0</v>
      </c>
    </row>
    <row r="63" spans="1:75" x14ac:dyDescent="0.2">
      <c r="A63" s="43">
        <v>23</v>
      </c>
      <c r="B63" s="41">
        <v>0</v>
      </c>
      <c r="C63" s="41">
        <v>0</v>
      </c>
      <c r="D63" s="41">
        <v>0</v>
      </c>
      <c r="E63" s="41">
        <v>0</v>
      </c>
      <c r="F63" s="41">
        <v>0</v>
      </c>
      <c r="G63" s="41">
        <v>0</v>
      </c>
      <c r="H63" s="41">
        <v>0</v>
      </c>
      <c r="I63" s="41">
        <v>0</v>
      </c>
      <c r="J63" s="41">
        <v>0</v>
      </c>
      <c r="K63" s="41">
        <v>0</v>
      </c>
      <c r="L63" s="31">
        <f>POWER(Retention1,1)</f>
        <v>0.9</v>
      </c>
      <c r="M63" s="41">
        <v>0</v>
      </c>
      <c r="N63" s="41">
        <v>0</v>
      </c>
      <c r="O63" s="41">
        <v>0</v>
      </c>
      <c r="P63" s="41">
        <v>0</v>
      </c>
      <c r="Q63" s="41">
        <v>0</v>
      </c>
      <c r="R63" s="41">
        <v>0</v>
      </c>
      <c r="S63" s="41">
        <v>0</v>
      </c>
      <c r="T63" s="41">
        <v>0</v>
      </c>
      <c r="U63" s="41">
        <v>0</v>
      </c>
      <c r="V63" s="41">
        <v>0</v>
      </c>
      <c r="W63" s="41">
        <v>0</v>
      </c>
      <c r="X63" s="41">
        <v>0</v>
      </c>
      <c r="Y63" s="41">
        <v>0</v>
      </c>
      <c r="Z63" s="41">
        <v>0</v>
      </c>
      <c r="AA63" s="41">
        <v>0</v>
      </c>
      <c r="AB63" s="41">
        <v>0</v>
      </c>
      <c r="AC63" s="41">
        <v>0</v>
      </c>
      <c r="AD63">
        <v>0</v>
      </c>
      <c r="AE63">
        <v>0</v>
      </c>
      <c r="AF63">
        <v>0</v>
      </c>
      <c r="AG63">
        <v>0</v>
      </c>
      <c r="AH63">
        <v>0</v>
      </c>
      <c r="AI63">
        <v>0</v>
      </c>
      <c r="AJ63">
        <v>0</v>
      </c>
      <c r="AK63">
        <v>0</v>
      </c>
      <c r="AM63" s="43">
        <v>23</v>
      </c>
      <c r="AN63" s="41">
        <v>0</v>
      </c>
      <c r="AO63" s="41">
        <v>0</v>
      </c>
      <c r="AP63" s="41">
        <v>0</v>
      </c>
      <c r="AQ63" s="41">
        <v>0</v>
      </c>
      <c r="AR63" s="41">
        <v>0</v>
      </c>
      <c r="AS63" s="41">
        <v>0</v>
      </c>
      <c r="AT63" s="41">
        <v>0</v>
      </c>
      <c r="AU63" s="41">
        <v>0</v>
      </c>
      <c r="AV63" s="41">
        <v>0</v>
      </c>
      <c r="AW63" s="41">
        <v>0</v>
      </c>
      <c r="AX63" s="31">
        <f>POWER(Retention2,1)</f>
        <v>0.9</v>
      </c>
      <c r="AY63" s="41">
        <v>0</v>
      </c>
      <c r="AZ63" s="41">
        <v>0</v>
      </c>
      <c r="BA63" s="41">
        <v>0</v>
      </c>
      <c r="BB63" s="41">
        <v>0</v>
      </c>
      <c r="BC63" s="41">
        <v>0</v>
      </c>
      <c r="BD63" s="41">
        <v>0</v>
      </c>
      <c r="BE63" s="41">
        <v>0</v>
      </c>
      <c r="BF63" s="41">
        <v>0</v>
      </c>
      <c r="BG63" s="41">
        <v>0</v>
      </c>
      <c r="BH63" s="41">
        <v>0</v>
      </c>
      <c r="BI63" s="41">
        <v>0</v>
      </c>
      <c r="BJ63" s="41">
        <v>0</v>
      </c>
      <c r="BK63" s="41">
        <v>0</v>
      </c>
      <c r="BL63" s="41">
        <v>0</v>
      </c>
      <c r="BM63" s="41">
        <v>0</v>
      </c>
      <c r="BN63" s="41">
        <v>0</v>
      </c>
      <c r="BO63" s="41">
        <v>0</v>
      </c>
      <c r="BP63">
        <v>0</v>
      </c>
      <c r="BQ63">
        <v>0</v>
      </c>
      <c r="BR63">
        <v>0</v>
      </c>
      <c r="BS63">
        <v>0</v>
      </c>
      <c r="BT63">
        <v>0</v>
      </c>
      <c r="BU63">
        <v>0</v>
      </c>
      <c r="BV63">
        <v>0</v>
      </c>
      <c r="BW63">
        <v>0</v>
      </c>
    </row>
    <row r="64" spans="1:75" x14ac:dyDescent="0.2">
      <c r="A64" s="43">
        <v>24</v>
      </c>
      <c r="B64" s="41">
        <v>0</v>
      </c>
      <c r="C64" s="41">
        <v>0</v>
      </c>
      <c r="D64" s="41">
        <v>0</v>
      </c>
      <c r="E64" s="41">
        <v>0</v>
      </c>
      <c r="F64" s="41">
        <v>0</v>
      </c>
      <c r="G64" s="41">
        <v>0</v>
      </c>
      <c r="H64" s="41">
        <v>0</v>
      </c>
      <c r="I64" s="41">
        <v>0</v>
      </c>
      <c r="J64" s="41">
        <v>0</v>
      </c>
      <c r="K64" s="41">
        <v>0</v>
      </c>
      <c r="L64" s="41">
        <v>0</v>
      </c>
      <c r="M64" s="31">
        <f>POWER(Retention1,1)</f>
        <v>0.9</v>
      </c>
      <c r="N64" s="41">
        <v>0</v>
      </c>
      <c r="O64" s="41">
        <v>0</v>
      </c>
      <c r="P64" s="41">
        <v>0</v>
      </c>
      <c r="Q64" s="41">
        <v>0</v>
      </c>
      <c r="R64" s="41">
        <v>0</v>
      </c>
      <c r="S64" s="41">
        <v>0</v>
      </c>
      <c r="T64" s="41">
        <v>0</v>
      </c>
      <c r="U64" s="41">
        <v>0</v>
      </c>
      <c r="V64" s="41">
        <v>0</v>
      </c>
      <c r="W64" s="41">
        <v>0</v>
      </c>
      <c r="X64" s="41">
        <v>0</v>
      </c>
      <c r="Y64" s="41">
        <v>0</v>
      </c>
      <c r="Z64" s="41">
        <v>0</v>
      </c>
      <c r="AA64" s="41">
        <v>0</v>
      </c>
      <c r="AB64" s="41">
        <v>0</v>
      </c>
      <c r="AC64" s="41">
        <v>0</v>
      </c>
      <c r="AD64">
        <v>0</v>
      </c>
      <c r="AE64">
        <v>0</v>
      </c>
      <c r="AF64">
        <v>0</v>
      </c>
      <c r="AG64">
        <v>0</v>
      </c>
      <c r="AH64">
        <v>0</v>
      </c>
      <c r="AI64">
        <v>0</v>
      </c>
      <c r="AJ64">
        <v>0</v>
      </c>
      <c r="AK64">
        <v>0</v>
      </c>
      <c r="AM64" s="43">
        <v>24</v>
      </c>
      <c r="AN64" s="41">
        <v>0</v>
      </c>
      <c r="AO64" s="41">
        <v>0</v>
      </c>
      <c r="AP64" s="41">
        <v>0</v>
      </c>
      <c r="AQ64" s="41">
        <v>0</v>
      </c>
      <c r="AR64" s="41">
        <v>0</v>
      </c>
      <c r="AS64" s="41">
        <v>0</v>
      </c>
      <c r="AT64" s="41">
        <v>0</v>
      </c>
      <c r="AU64" s="41">
        <v>0</v>
      </c>
      <c r="AV64" s="41">
        <v>0</v>
      </c>
      <c r="AW64" s="41">
        <v>0</v>
      </c>
      <c r="AX64" s="41">
        <v>0</v>
      </c>
      <c r="AY64" s="31">
        <f>POWER(Retention2,1)</f>
        <v>0.9</v>
      </c>
      <c r="AZ64" s="41">
        <v>0</v>
      </c>
      <c r="BA64" s="41">
        <v>0</v>
      </c>
      <c r="BB64" s="41">
        <v>0</v>
      </c>
      <c r="BC64" s="41">
        <v>0</v>
      </c>
      <c r="BD64" s="41">
        <v>0</v>
      </c>
      <c r="BE64" s="41">
        <v>0</v>
      </c>
      <c r="BF64" s="41">
        <v>0</v>
      </c>
      <c r="BG64" s="41">
        <v>0</v>
      </c>
      <c r="BH64" s="41">
        <v>0</v>
      </c>
      <c r="BI64" s="41">
        <v>0</v>
      </c>
      <c r="BJ64" s="41">
        <v>0</v>
      </c>
      <c r="BK64" s="41">
        <v>0</v>
      </c>
      <c r="BL64" s="41">
        <v>0</v>
      </c>
      <c r="BM64" s="41">
        <v>0</v>
      </c>
      <c r="BN64" s="41">
        <v>0</v>
      </c>
      <c r="BO64" s="41">
        <v>0</v>
      </c>
      <c r="BP64">
        <v>0</v>
      </c>
      <c r="BQ64">
        <v>0</v>
      </c>
      <c r="BR64">
        <v>0</v>
      </c>
      <c r="BS64">
        <v>0</v>
      </c>
      <c r="BT64">
        <v>0</v>
      </c>
      <c r="BU64">
        <v>0</v>
      </c>
      <c r="BV64">
        <v>0</v>
      </c>
      <c r="BW64">
        <v>0</v>
      </c>
    </row>
    <row r="65" spans="1:75" x14ac:dyDescent="0.2">
      <c r="A65" s="43">
        <v>25</v>
      </c>
      <c r="B65" s="31">
        <f>POWER(Retention1,2)</f>
        <v>0.81</v>
      </c>
      <c r="C65" s="41">
        <v>0</v>
      </c>
      <c r="D65" s="41">
        <v>0</v>
      </c>
      <c r="E65" s="41">
        <v>0</v>
      </c>
      <c r="F65" s="41">
        <v>0</v>
      </c>
      <c r="G65" s="41">
        <v>0</v>
      </c>
      <c r="H65" s="41">
        <v>0</v>
      </c>
      <c r="I65" s="41">
        <v>0</v>
      </c>
      <c r="J65" s="41">
        <v>0</v>
      </c>
      <c r="K65" s="41">
        <v>0</v>
      </c>
      <c r="L65" s="41">
        <v>0</v>
      </c>
      <c r="M65" s="41">
        <v>0</v>
      </c>
      <c r="N65" s="31">
        <f>POWER(Retention1,1)</f>
        <v>0.9</v>
      </c>
      <c r="O65" s="41">
        <v>0</v>
      </c>
      <c r="P65" s="41">
        <v>0</v>
      </c>
      <c r="Q65" s="41">
        <v>0</v>
      </c>
      <c r="R65" s="41">
        <v>0</v>
      </c>
      <c r="S65" s="41">
        <v>0</v>
      </c>
      <c r="T65" s="41">
        <v>0</v>
      </c>
      <c r="U65" s="41">
        <v>0</v>
      </c>
      <c r="V65" s="41">
        <v>0</v>
      </c>
      <c r="W65" s="41">
        <v>0</v>
      </c>
      <c r="X65" s="41">
        <v>0</v>
      </c>
      <c r="Y65" s="41">
        <v>0</v>
      </c>
      <c r="Z65" s="41">
        <v>0</v>
      </c>
      <c r="AA65" s="41">
        <v>0</v>
      </c>
      <c r="AB65" s="41">
        <v>0</v>
      </c>
      <c r="AC65" s="41">
        <v>0</v>
      </c>
      <c r="AD65">
        <v>0</v>
      </c>
      <c r="AE65">
        <v>0</v>
      </c>
      <c r="AF65">
        <v>0</v>
      </c>
      <c r="AG65">
        <v>0</v>
      </c>
      <c r="AH65">
        <v>0</v>
      </c>
      <c r="AI65">
        <v>0</v>
      </c>
      <c r="AJ65">
        <v>0</v>
      </c>
      <c r="AK65">
        <v>0</v>
      </c>
      <c r="AM65" s="43">
        <v>25</v>
      </c>
      <c r="AN65" s="31">
        <f>POWER(Retention2,2)</f>
        <v>0.81</v>
      </c>
      <c r="AO65" s="41">
        <v>0</v>
      </c>
      <c r="AP65" s="41">
        <v>0</v>
      </c>
      <c r="AQ65" s="41">
        <v>0</v>
      </c>
      <c r="AR65" s="41">
        <v>0</v>
      </c>
      <c r="AS65" s="41">
        <v>0</v>
      </c>
      <c r="AT65" s="41">
        <v>0</v>
      </c>
      <c r="AU65" s="41">
        <v>0</v>
      </c>
      <c r="AV65" s="41">
        <v>0</v>
      </c>
      <c r="AW65" s="41">
        <v>0</v>
      </c>
      <c r="AX65" s="41">
        <v>0</v>
      </c>
      <c r="AY65" s="41">
        <v>0</v>
      </c>
      <c r="AZ65" s="31">
        <f>POWER(Retention2,1)</f>
        <v>0.9</v>
      </c>
      <c r="BA65" s="41">
        <v>0</v>
      </c>
      <c r="BB65" s="41">
        <v>0</v>
      </c>
      <c r="BC65" s="41">
        <v>0</v>
      </c>
      <c r="BD65" s="41">
        <v>0</v>
      </c>
      <c r="BE65" s="41">
        <v>0</v>
      </c>
      <c r="BF65" s="41">
        <v>0</v>
      </c>
      <c r="BG65" s="41">
        <v>0</v>
      </c>
      <c r="BH65" s="41">
        <v>0</v>
      </c>
      <c r="BI65" s="41">
        <v>0</v>
      </c>
      <c r="BJ65" s="41">
        <v>0</v>
      </c>
      <c r="BK65" s="41">
        <v>0</v>
      </c>
      <c r="BL65" s="41">
        <v>0</v>
      </c>
      <c r="BM65" s="41">
        <v>0</v>
      </c>
      <c r="BN65" s="41">
        <v>0</v>
      </c>
      <c r="BO65" s="41">
        <v>0</v>
      </c>
      <c r="BP65">
        <v>0</v>
      </c>
      <c r="BQ65">
        <v>0</v>
      </c>
      <c r="BR65">
        <v>0</v>
      </c>
      <c r="BS65">
        <v>0</v>
      </c>
      <c r="BT65">
        <v>0</v>
      </c>
      <c r="BU65">
        <v>0</v>
      </c>
      <c r="BV65">
        <v>0</v>
      </c>
      <c r="BW65">
        <v>0</v>
      </c>
    </row>
    <row r="66" spans="1:75" x14ac:dyDescent="0.2">
      <c r="A66" s="43">
        <v>26</v>
      </c>
      <c r="B66" s="41">
        <v>0</v>
      </c>
      <c r="C66" s="31">
        <f>POWER(Retention1,2)</f>
        <v>0.81</v>
      </c>
      <c r="D66" s="41">
        <v>0</v>
      </c>
      <c r="E66" s="41">
        <v>0</v>
      </c>
      <c r="F66" s="41">
        <v>0</v>
      </c>
      <c r="G66" s="41">
        <v>0</v>
      </c>
      <c r="H66" s="41">
        <v>0</v>
      </c>
      <c r="I66" s="41">
        <v>0</v>
      </c>
      <c r="J66" s="41">
        <v>0</v>
      </c>
      <c r="K66" s="41">
        <v>0</v>
      </c>
      <c r="L66" s="41">
        <v>0</v>
      </c>
      <c r="M66" s="41">
        <v>0</v>
      </c>
      <c r="N66" s="41">
        <v>0</v>
      </c>
      <c r="O66" s="31">
        <f>POWER(Retention1,1)</f>
        <v>0.9</v>
      </c>
      <c r="P66" s="41">
        <v>0</v>
      </c>
      <c r="Q66" s="41">
        <v>0</v>
      </c>
      <c r="R66" s="41">
        <v>0</v>
      </c>
      <c r="S66" s="41">
        <v>0</v>
      </c>
      <c r="T66" s="41">
        <v>0</v>
      </c>
      <c r="U66" s="41">
        <v>0</v>
      </c>
      <c r="V66" s="41">
        <v>0</v>
      </c>
      <c r="W66" s="41">
        <v>0</v>
      </c>
      <c r="X66" s="41">
        <v>0</v>
      </c>
      <c r="Y66" s="41">
        <v>0</v>
      </c>
      <c r="Z66" s="41">
        <v>0</v>
      </c>
      <c r="AA66" s="41">
        <v>0</v>
      </c>
      <c r="AB66" s="41">
        <v>0</v>
      </c>
      <c r="AC66" s="41">
        <v>0</v>
      </c>
      <c r="AD66">
        <v>0</v>
      </c>
      <c r="AE66">
        <v>0</v>
      </c>
      <c r="AF66">
        <v>0</v>
      </c>
      <c r="AG66">
        <v>0</v>
      </c>
      <c r="AH66">
        <v>0</v>
      </c>
      <c r="AI66">
        <v>0</v>
      </c>
      <c r="AJ66">
        <v>0</v>
      </c>
      <c r="AK66">
        <v>0</v>
      </c>
      <c r="AM66" s="43">
        <v>26</v>
      </c>
      <c r="AN66" s="41">
        <v>0</v>
      </c>
      <c r="AO66" s="31">
        <f>POWER(Retention2,2)</f>
        <v>0.81</v>
      </c>
      <c r="AP66" s="41">
        <v>0</v>
      </c>
      <c r="AQ66" s="41">
        <v>0</v>
      </c>
      <c r="AR66" s="41">
        <v>0</v>
      </c>
      <c r="AS66" s="41">
        <v>0</v>
      </c>
      <c r="AT66" s="41">
        <v>0</v>
      </c>
      <c r="AU66" s="41">
        <v>0</v>
      </c>
      <c r="AV66" s="41">
        <v>0</v>
      </c>
      <c r="AW66" s="41">
        <v>0</v>
      </c>
      <c r="AX66" s="41">
        <v>0</v>
      </c>
      <c r="AY66" s="41">
        <v>0</v>
      </c>
      <c r="AZ66" s="41">
        <v>0</v>
      </c>
      <c r="BA66" s="31">
        <f>POWER(Retention2,1)</f>
        <v>0.9</v>
      </c>
      <c r="BB66" s="41">
        <v>0</v>
      </c>
      <c r="BC66" s="41">
        <v>0</v>
      </c>
      <c r="BD66" s="41">
        <v>0</v>
      </c>
      <c r="BE66" s="41">
        <v>0</v>
      </c>
      <c r="BF66" s="41">
        <v>0</v>
      </c>
      <c r="BG66" s="41">
        <v>0</v>
      </c>
      <c r="BH66" s="41">
        <v>0</v>
      </c>
      <c r="BI66" s="41">
        <v>0</v>
      </c>
      <c r="BJ66" s="41">
        <v>0</v>
      </c>
      <c r="BK66" s="41">
        <v>0</v>
      </c>
      <c r="BL66" s="41">
        <v>0</v>
      </c>
      <c r="BM66" s="41">
        <v>0</v>
      </c>
      <c r="BN66" s="41">
        <v>0</v>
      </c>
      <c r="BO66" s="41">
        <v>0</v>
      </c>
      <c r="BP66">
        <v>0</v>
      </c>
      <c r="BQ66">
        <v>0</v>
      </c>
      <c r="BR66">
        <v>0</v>
      </c>
      <c r="BS66">
        <v>0</v>
      </c>
      <c r="BT66">
        <v>0</v>
      </c>
      <c r="BU66">
        <v>0</v>
      </c>
      <c r="BV66">
        <v>0</v>
      </c>
      <c r="BW66">
        <v>0</v>
      </c>
    </row>
    <row r="67" spans="1:75" x14ac:dyDescent="0.2">
      <c r="A67" s="43">
        <v>27</v>
      </c>
      <c r="B67" s="41">
        <v>0</v>
      </c>
      <c r="C67" s="41">
        <v>0</v>
      </c>
      <c r="D67" s="31">
        <f>POWER(Retention1,2)</f>
        <v>0.81</v>
      </c>
      <c r="E67" s="41">
        <v>0</v>
      </c>
      <c r="F67" s="41">
        <v>0</v>
      </c>
      <c r="G67" s="41">
        <v>0</v>
      </c>
      <c r="H67" s="41">
        <v>0</v>
      </c>
      <c r="I67" s="41">
        <v>0</v>
      </c>
      <c r="J67" s="41">
        <v>0</v>
      </c>
      <c r="K67" s="41">
        <v>0</v>
      </c>
      <c r="L67" s="41">
        <v>0</v>
      </c>
      <c r="M67" s="41">
        <v>0</v>
      </c>
      <c r="N67" s="41">
        <v>0</v>
      </c>
      <c r="O67" s="41">
        <v>0</v>
      </c>
      <c r="P67" s="31">
        <f>POWER(Retention1,1)</f>
        <v>0.9</v>
      </c>
      <c r="Q67" s="41">
        <v>0</v>
      </c>
      <c r="R67" s="41">
        <v>0</v>
      </c>
      <c r="S67" s="41">
        <v>0</v>
      </c>
      <c r="T67" s="41">
        <v>0</v>
      </c>
      <c r="U67" s="41">
        <v>0</v>
      </c>
      <c r="V67" s="41">
        <v>0</v>
      </c>
      <c r="W67" s="41">
        <v>0</v>
      </c>
      <c r="X67" s="41">
        <v>0</v>
      </c>
      <c r="Y67" s="41">
        <v>0</v>
      </c>
      <c r="Z67" s="41">
        <v>0</v>
      </c>
      <c r="AA67" s="41">
        <v>0</v>
      </c>
      <c r="AB67">
        <v>0</v>
      </c>
      <c r="AC67">
        <v>0</v>
      </c>
      <c r="AD67">
        <v>0</v>
      </c>
      <c r="AE67">
        <v>0</v>
      </c>
      <c r="AF67">
        <v>0</v>
      </c>
      <c r="AG67">
        <v>0</v>
      </c>
      <c r="AH67">
        <v>0</v>
      </c>
      <c r="AI67">
        <v>0</v>
      </c>
      <c r="AJ67">
        <v>0</v>
      </c>
      <c r="AK67">
        <v>0</v>
      </c>
      <c r="AM67" s="43">
        <v>27</v>
      </c>
      <c r="AN67" s="41">
        <v>0</v>
      </c>
      <c r="AO67" s="41">
        <v>0</v>
      </c>
      <c r="AP67" s="31">
        <f>POWER(Retention2,2)</f>
        <v>0.81</v>
      </c>
      <c r="AQ67" s="41">
        <v>0</v>
      </c>
      <c r="AR67" s="41">
        <v>0</v>
      </c>
      <c r="AS67" s="41">
        <v>0</v>
      </c>
      <c r="AT67" s="41">
        <v>0</v>
      </c>
      <c r="AU67" s="41">
        <v>0</v>
      </c>
      <c r="AV67" s="41">
        <v>0</v>
      </c>
      <c r="AW67" s="41">
        <v>0</v>
      </c>
      <c r="AX67" s="41">
        <v>0</v>
      </c>
      <c r="AY67" s="41">
        <v>0</v>
      </c>
      <c r="AZ67" s="41">
        <v>0</v>
      </c>
      <c r="BA67" s="41">
        <v>0</v>
      </c>
      <c r="BB67" s="31">
        <f>POWER(Retention2,1)</f>
        <v>0.9</v>
      </c>
      <c r="BC67" s="41">
        <v>0</v>
      </c>
      <c r="BD67" s="41">
        <v>0</v>
      </c>
      <c r="BE67" s="41">
        <v>0</v>
      </c>
      <c r="BF67" s="41">
        <v>0</v>
      </c>
      <c r="BG67" s="41">
        <v>0</v>
      </c>
      <c r="BH67" s="41">
        <v>0</v>
      </c>
      <c r="BI67" s="41">
        <v>0</v>
      </c>
      <c r="BJ67" s="41">
        <v>0</v>
      </c>
      <c r="BK67" s="41">
        <v>0</v>
      </c>
      <c r="BL67" s="41">
        <v>0</v>
      </c>
      <c r="BM67" s="41">
        <v>0</v>
      </c>
      <c r="BN67">
        <v>0</v>
      </c>
      <c r="BO67">
        <v>0</v>
      </c>
      <c r="BP67">
        <v>0</v>
      </c>
      <c r="BQ67">
        <v>0</v>
      </c>
      <c r="BR67">
        <v>0</v>
      </c>
      <c r="BS67">
        <v>0</v>
      </c>
      <c r="BT67">
        <v>0</v>
      </c>
      <c r="BU67">
        <v>0</v>
      </c>
      <c r="BV67">
        <v>0</v>
      </c>
      <c r="BW67">
        <v>0</v>
      </c>
    </row>
    <row r="68" spans="1:75" x14ac:dyDescent="0.2">
      <c r="A68" s="43">
        <v>28</v>
      </c>
      <c r="B68" s="41">
        <v>0</v>
      </c>
      <c r="C68" s="41">
        <v>0</v>
      </c>
      <c r="D68" s="41">
        <v>0</v>
      </c>
      <c r="E68" s="31">
        <f>POWER(Retention1,2)</f>
        <v>0.81</v>
      </c>
      <c r="F68" s="41">
        <v>0</v>
      </c>
      <c r="G68" s="41">
        <v>0</v>
      </c>
      <c r="H68" s="41">
        <v>0</v>
      </c>
      <c r="I68" s="41">
        <v>0</v>
      </c>
      <c r="J68" s="41">
        <v>0</v>
      </c>
      <c r="K68" s="41">
        <v>0</v>
      </c>
      <c r="L68" s="41">
        <v>0</v>
      </c>
      <c r="M68" s="41">
        <v>0</v>
      </c>
      <c r="N68" s="41">
        <v>0</v>
      </c>
      <c r="O68" s="41">
        <v>0</v>
      </c>
      <c r="P68" s="41">
        <v>0</v>
      </c>
      <c r="Q68" s="31">
        <f>POWER(Retention1,1)</f>
        <v>0.9</v>
      </c>
      <c r="R68" s="41">
        <v>0</v>
      </c>
      <c r="S68" s="41">
        <v>0</v>
      </c>
      <c r="T68" s="41">
        <v>0</v>
      </c>
      <c r="U68" s="41">
        <v>0</v>
      </c>
      <c r="V68" s="41">
        <v>0</v>
      </c>
      <c r="W68" s="41">
        <v>0</v>
      </c>
      <c r="X68" s="41">
        <v>0</v>
      </c>
      <c r="Y68" s="41">
        <v>0</v>
      </c>
      <c r="Z68" s="41">
        <v>0</v>
      </c>
      <c r="AA68" s="41">
        <v>0</v>
      </c>
      <c r="AB68">
        <v>0</v>
      </c>
      <c r="AC68">
        <v>0</v>
      </c>
      <c r="AD68">
        <v>0</v>
      </c>
      <c r="AE68">
        <v>0</v>
      </c>
      <c r="AF68">
        <v>0</v>
      </c>
      <c r="AG68">
        <v>0</v>
      </c>
      <c r="AH68">
        <v>0</v>
      </c>
      <c r="AI68">
        <v>0</v>
      </c>
      <c r="AJ68">
        <v>0</v>
      </c>
      <c r="AK68">
        <v>0</v>
      </c>
      <c r="AM68" s="43">
        <v>28</v>
      </c>
      <c r="AN68" s="41">
        <v>0</v>
      </c>
      <c r="AO68" s="41">
        <v>0</v>
      </c>
      <c r="AP68" s="41">
        <v>0</v>
      </c>
      <c r="AQ68" s="31">
        <f>POWER(Retention2,2)</f>
        <v>0.81</v>
      </c>
      <c r="AR68" s="41">
        <v>0</v>
      </c>
      <c r="AS68" s="41">
        <v>0</v>
      </c>
      <c r="AT68" s="41">
        <v>0</v>
      </c>
      <c r="AU68" s="41">
        <v>0</v>
      </c>
      <c r="AV68" s="41">
        <v>0</v>
      </c>
      <c r="AW68" s="41">
        <v>0</v>
      </c>
      <c r="AX68" s="41">
        <v>0</v>
      </c>
      <c r="AY68" s="41">
        <v>0</v>
      </c>
      <c r="AZ68" s="41">
        <v>0</v>
      </c>
      <c r="BA68" s="41">
        <v>0</v>
      </c>
      <c r="BB68" s="41">
        <v>0</v>
      </c>
      <c r="BC68" s="31">
        <f>POWER(Retention2,1)</f>
        <v>0.9</v>
      </c>
      <c r="BD68" s="41">
        <v>0</v>
      </c>
      <c r="BE68" s="41">
        <v>0</v>
      </c>
      <c r="BF68" s="41">
        <v>0</v>
      </c>
      <c r="BG68" s="41">
        <v>0</v>
      </c>
      <c r="BH68" s="41">
        <v>0</v>
      </c>
      <c r="BI68" s="41">
        <v>0</v>
      </c>
      <c r="BJ68" s="41">
        <v>0</v>
      </c>
      <c r="BK68" s="41">
        <v>0</v>
      </c>
      <c r="BL68" s="41">
        <v>0</v>
      </c>
      <c r="BM68" s="41">
        <v>0</v>
      </c>
      <c r="BN68">
        <v>0</v>
      </c>
      <c r="BO68">
        <v>0</v>
      </c>
      <c r="BP68">
        <v>0</v>
      </c>
      <c r="BQ68">
        <v>0</v>
      </c>
      <c r="BR68">
        <v>0</v>
      </c>
      <c r="BS68">
        <v>0</v>
      </c>
      <c r="BT68">
        <v>0</v>
      </c>
      <c r="BU68">
        <v>0</v>
      </c>
      <c r="BV68">
        <v>0</v>
      </c>
      <c r="BW68">
        <v>0</v>
      </c>
    </row>
    <row r="69" spans="1:75" x14ac:dyDescent="0.2">
      <c r="A69" s="43">
        <v>29</v>
      </c>
      <c r="B69" s="41">
        <v>0</v>
      </c>
      <c r="C69" s="41">
        <v>0</v>
      </c>
      <c r="D69" s="41">
        <v>0</v>
      </c>
      <c r="E69" s="41">
        <v>0</v>
      </c>
      <c r="F69" s="31">
        <f>POWER(Retention1,2)</f>
        <v>0.81</v>
      </c>
      <c r="G69" s="41">
        <v>0</v>
      </c>
      <c r="H69" s="41">
        <v>0</v>
      </c>
      <c r="I69" s="41">
        <v>0</v>
      </c>
      <c r="J69" s="41">
        <v>0</v>
      </c>
      <c r="K69" s="41">
        <v>0</v>
      </c>
      <c r="L69" s="41">
        <v>0</v>
      </c>
      <c r="M69" s="41">
        <v>0</v>
      </c>
      <c r="N69" s="41">
        <v>0</v>
      </c>
      <c r="O69" s="41">
        <v>0</v>
      </c>
      <c r="P69" s="41">
        <v>0</v>
      </c>
      <c r="Q69" s="41">
        <v>0</v>
      </c>
      <c r="R69" s="31">
        <f>POWER(Retention1,1)</f>
        <v>0.9</v>
      </c>
      <c r="S69" s="41">
        <v>0</v>
      </c>
      <c r="T69" s="41">
        <v>0</v>
      </c>
      <c r="U69" s="41">
        <v>0</v>
      </c>
      <c r="V69" s="41">
        <v>0</v>
      </c>
      <c r="W69" s="41">
        <v>0</v>
      </c>
      <c r="X69" s="41">
        <v>0</v>
      </c>
      <c r="Y69" s="41">
        <v>0</v>
      </c>
      <c r="Z69" s="41">
        <v>0</v>
      </c>
      <c r="AA69" s="41">
        <v>0</v>
      </c>
      <c r="AB69">
        <v>0</v>
      </c>
      <c r="AC69">
        <v>0</v>
      </c>
      <c r="AD69">
        <v>0</v>
      </c>
      <c r="AE69">
        <v>0</v>
      </c>
      <c r="AF69">
        <v>0</v>
      </c>
      <c r="AG69">
        <v>0</v>
      </c>
      <c r="AH69">
        <v>0</v>
      </c>
      <c r="AI69">
        <v>0</v>
      </c>
      <c r="AJ69">
        <v>0</v>
      </c>
      <c r="AK69">
        <v>0</v>
      </c>
      <c r="AM69" s="43">
        <v>29</v>
      </c>
      <c r="AN69" s="41">
        <v>0</v>
      </c>
      <c r="AO69" s="41">
        <v>0</v>
      </c>
      <c r="AP69" s="41">
        <v>0</v>
      </c>
      <c r="AQ69" s="41">
        <v>0</v>
      </c>
      <c r="AR69" s="31">
        <f>POWER(Retention2,2)</f>
        <v>0.81</v>
      </c>
      <c r="AS69" s="41">
        <v>0</v>
      </c>
      <c r="AT69" s="41">
        <v>0</v>
      </c>
      <c r="AU69" s="41">
        <v>0</v>
      </c>
      <c r="AV69" s="41">
        <v>0</v>
      </c>
      <c r="AW69" s="41">
        <v>0</v>
      </c>
      <c r="AX69" s="41">
        <v>0</v>
      </c>
      <c r="AY69" s="41">
        <v>0</v>
      </c>
      <c r="AZ69" s="41">
        <v>0</v>
      </c>
      <c r="BA69" s="41">
        <v>0</v>
      </c>
      <c r="BB69" s="41">
        <v>0</v>
      </c>
      <c r="BC69" s="41">
        <v>0</v>
      </c>
      <c r="BD69" s="31">
        <f>POWER(Retention2,1)</f>
        <v>0.9</v>
      </c>
      <c r="BE69" s="41">
        <v>0</v>
      </c>
      <c r="BF69" s="41">
        <v>0</v>
      </c>
      <c r="BG69" s="41">
        <v>0</v>
      </c>
      <c r="BH69" s="41">
        <v>0</v>
      </c>
      <c r="BI69" s="41">
        <v>0</v>
      </c>
      <c r="BJ69" s="41">
        <v>0</v>
      </c>
      <c r="BK69" s="41">
        <v>0</v>
      </c>
      <c r="BL69" s="41">
        <v>0</v>
      </c>
      <c r="BM69" s="41">
        <v>0</v>
      </c>
      <c r="BN69">
        <v>0</v>
      </c>
      <c r="BO69">
        <v>0</v>
      </c>
      <c r="BP69">
        <v>0</v>
      </c>
      <c r="BQ69">
        <v>0</v>
      </c>
      <c r="BR69">
        <v>0</v>
      </c>
      <c r="BS69">
        <v>0</v>
      </c>
      <c r="BT69">
        <v>0</v>
      </c>
      <c r="BU69">
        <v>0</v>
      </c>
      <c r="BV69">
        <v>0</v>
      </c>
      <c r="BW69">
        <v>0</v>
      </c>
    </row>
    <row r="70" spans="1:75" x14ac:dyDescent="0.2">
      <c r="A70" s="43">
        <v>30</v>
      </c>
      <c r="B70" s="41">
        <v>0</v>
      </c>
      <c r="C70" s="41">
        <v>0</v>
      </c>
      <c r="D70" s="41">
        <v>0</v>
      </c>
      <c r="E70" s="41">
        <v>0</v>
      </c>
      <c r="F70" s="41">
        <v>0</v>
      </c>
      <c r="G70" s="31">
        <f>POWER(Retention1,2)</f>
        <v>0.81</v>
      </c>
      <c r="H70" s="41">
        <v>0</v>
      </c>
      <c r="I70" s="41">
        <v>0</v>
      </c>
      <c r="J70" s="41">
        <v>0</v>
      </c>
      <c r="K70" s="41">
        <v>0</v>
      </c>
      <c r="L70" s="41">
        <v>0</v>
      </c>
      <c r="M70" s="41">
        <v>0</v>
      </c>
      <c r="N70" s="41">
        <v>0</v>
      </c>
      <c r="O70" s="41">
        <v>0</v>
      </c>
      <c r="P70" s="41">
        <v>0</v>
      </c>
      <c r="Q70" s="41">
        <v>0</v>
      </c>
      <c r="R70" s="41">
        <v>0</v>
      </c>
      <c r="S70" s="31">
        <f>POWER(Retention1,1)</f>
        <v>0.9</v>
      </c>
      <c r="T70" s="41">
        <v>0</v>
      </c>
      <c r="U70" s="41">
        <v>0</v>
      </c>
      <c r="V70" s="41">
        <v>0</v>
      </c>
      <c r="W70" s="41">
        <v>0</v>
      </c>
      <c r="X70" s="41">
        <v>0</v>
      </c>
      <c r="Y70" s="41">
        <v>0</v>
      </c>
      <c r="Z70" s="41">
        <v>0</v>
      </c>
      <c r="AA70" s="41">
        <v>0</v>
      </c>
      <c r="AB70">
        <v>0</v>
      </c>
      <c r="AC70">
        <v>0</v>
      </c>
      <c r="AD70">
        <v>0</v>
      </c>
      <c r="AE70">
        <v>0</v>
      </c>
      <c r="AF70">
        <v>0</v>
      </c>
      <c r="AG70">
        <v>0</v>
      </c>
      <c r="AH70">
        <v>0</v>
      </c>
      <c r="AI70">
        <v>0</v>
      </c>
      <c r="AJ70">
        <v>0</v>
      </c>
      <c r="AK70">
        <v>0</v>
      </c>
      <c r="AM70" s="43">
        <v>30</v>
      </c>
      <c r="AN70" s="41">
        <v>0</v>
      </c>
      <c r="AO70" s="41">
        <v>0</v>
      </c>
      <c r="AP70" s="41">
        <v>0</v>
      </c>
      <c r="AQ70" s="41">
        <v>0</v>
      </c>
      <c r="AR70" s="41">
        <v>0</v>
      </c>
      <c r="AS70" s="31">
        <f>POWER(Retention2,2)</f>
        <v>0.81</v>
      </c>
      <c r="AT70" s="41">
        <v>0</v>
      </c>
      <c r="AU70" s="41">
        <v>0</v>
      </c>
      <c r="AV70" s="41">
        <v>0</v>
      </c>
      <c r="AW70" s="41">
        <v>0</v>
      </c>
      <c r="AX70" s="41">
        <v>0</v>
      </c>
      <c r="AY70" s="41">
        <v>0</v>
      </c>
      <c r="AZ70" s="41">
        <v>0</v>
      </c>
      <c r="BA70" s="41">
        <v>0</v>
      </c>
      <c r="BB70" s="41">
        <v>0</v>
      </c>
      <c r="BC70" s="41">
        <v>0</v>
      </c>
      <c r="BD70" s="41">
        <v>0</v>
      </c>
      <c r="BE70" s="31">
        <f>POWER(Retention2,1)</f>
        <v>0.9</v>
      </c>
      <c r="BF70" s="41">
        <v>0</v>
      </c>
      <c r="BG70" s="41">
        <v>0</v>
      </c>
      <c r="BH70" s="41">
        <v>0</v>
      </c>
      <c r="BI70" s="41">
        <v>0</v>
      </c>
      <c r="BJ70" s="41">
        <v>0</v>
      </c>
      <c r="BK70" s="41">
        <v>0</v>
      </c>
      <c r="BL70" s="41">
        <v>0</v>
      </c>
      <c r="BM70" s="41">
        <v>0</v>
      </c>
      <c r="BN70">
        <v>0</v>
      </c>
      <c r="BO70">
        <v>0</v>
      </c>
      <c r="BP70">
        <v>0</v>
      </c>
      <c r="BQ70">
        <v>0</v>
      </c>
      <c r="BR70">
        <v>0</v>
      </c>
      <c r="BS70">
        <v>0</v>
      </c>
      <c r="BT70">
        <v>0</v>
      </c>
      <c r="BU70">
        <v>0</v>
      </c>
      <c r="BV70">
        <v>0</v>
      </c>
      <c r="BW70">
        <v>0</v>
      </c>
    </row>
    <row r="71" spans="1:75" x14ac:dyDescent="0.2">
      <c r="A71" s="43">
        <v>31</v>
      </c>
      <c r="B71" s="41">
        <v>0</v>
      </c>
      <c r="C71" s="41">
        <v>0</v>
      </c>
      <c r="D71" s="41">
        <v>0</v>
      </c>
      <c r="E71" s="41">
        <v>0</v>
      </c>
      <c r="F71" s="41">
        <v>0</v>
      </c>
      <c r="G71" s="41">
        <v>0</v>
      </c>
      <c r="H71" s="31">
        <f>POWER(Retention1,2)</f>
        <v>0.81</v>
      </c>
      <c r="I71" s="41">
        <v>0</v>
      </c>
      <c r="J71" s="41">
        <v>0</v>
      </c>
      <c r="K71" s="41">
        <v>0</v>
      </c>
      <c r="L71" s="41">
        <v>0</v>
      </c>
      <c r="M71" s="41">
        <v>0</v>
      </c>
      <c r="N71" s="41">
        <v>0</v>
      </c>
      <c r="O71" s="41">
        <v>0</v>
      </c>
      <c r="P71" s="41">
        <v>0</v>
      </c>
      <c r="Q71" s="41">
        <v>0</v>
      </c>
      <c r="R71" s="41">
        <v>0</v>
      </c>
      <c r="S71" s="41">
        <v>0</v>
      </c>
      <c r="T71" s="31">
        <f>POWER(Retention1,1)</f>
        <v>0.9</v>
      </c>
      <c r="U71" s="41">
        <v>0</v>
      </c>
      <c r="V71" s="41">
        <v>0</v>
      </c>
      <c r="W71" s="41">
        <v>0</v>
      </c>
      <c r="X71" s="41">
        <v>0</v>
      </c>
      <c r="Y71" s="41">
        <v>0</v>
      </c>
      <c r="Z71" s="41">
        <v>0</v>
      </c>
      <c r="AA71" s="41">
        <v>0</v>
      </c>
      <c r="AB71">
        <v>0</v>
      </c>
      <c r="AC71">
        <v>0</v>
      </c>
      <c r="AD71">
        <v>0</v>
      </c>
      <c r="AE71">
        <v>0</v>
      </c>
      <c r="AF71">
        <v>0</v>
      </c>
      <c r="AG71">
        <v>0</v>
      </c>
      <c r="AH71">
        <v>0</v>
      </c>
      <c r="AI71">
        <v>0</v>
      </c>
      <c r="AJ71">
        <v>0</v>
      </c>
      <c r="AK71">
        <v>0</v>
      </c>
      <c r="AM71" s="43">
        <v>31</v>
      </c>
      <c r="AN71" s="41">
        <v>0</v>
      </c>
      <c r="AO71" s="41">
        <v>0</v>
      </c>
      <c r="AP71" s="41">
        <v>0</v>
      </c>
      <c r="AQ71" s="41">
        <v>0</v>
      </c>
      <c r="AR71" s="41">
        <v>0</v>
      </c>
      <c r="AS71" s="41">
        <v>0</v>
      </c>
      <c r="AT71" s="31">
        <f>POWER(Retention2,2)</f>
        <v>0.81</v>
      </c>
      <c r="AU71" s="41">
        <v>0</v>
      </c>
      <c r="AV71" s="41">
        <v>0</v>
      </c>
      <c r="AW71" s="41">
        <v>0</v>
      </c>
      <c r="AX71" s="41">
        <v>0</v>
      </c>
      <c r="AY71" s="41">
        <v>0</v>
      </c>
      <c r="AZ71" s="41">
        <v>0</v>
      </c>
      <c r="BA71" s="41">
        <v>0</v>
      </c>
      <c r="BB71" s="41">
        <v>0</v>
      </c>
      <c r="BC71" s="41">
        <v>0</v>
      </c>
      <c r="BD71" s="41">
        <v>0</v>
      </c>
      <c r="BE71" s="41">
        <v>0</v>
      </c>
      <c r="BF71" s="31">
        <f>POWER(Retention2,1)</f>
        <v>0.9</v>
      </c>
      <c r="BG71" s="41">
        <v>0</v>
      </c>
      <c r="BH71" s="41">
        <v>0</v>
      </c>
      <c r="BI71" s="41">
        <v>0</v>
      </c>
      <c r="BJ71" s="41">
        <v>0</v>
      </c>
      <c r="BK71" s="41">
        <v>0</v>
      </c>
      <c r="BL71" s="41">
        <v>0</v>
      </c>
      <c r="BM71" s="41">
        <v>0</v>
      </c>
      <c r="BN71">
        <v>0</v>
      </c>
      <c r="BO71">
        <v>0</v>
      </c>
      <c r="BP71">
        <v>0</v>
      </c>
      <c r="BQ71">
        <v>0</v>
      </c>
      <c r="BR71">
        <v>0</v>
      </c>
      <c r="BS71">
        <v>0</v>
      </c>
      <c r="BT71">
        <v>0</v>
      </c>
      <c r="BU71">
        <v>0</v>
      </c>
      <c r="BV71">
        <v>0</v>
      </c>
      <c r="BW71">
        <v>0</v>
      </c>
    </row>
    <row r="72" spans="1:75" x14ac:dyDescent="0.2">
      <c r="A72" s="43">
        <v>32</v>
      </c>
      <c r="B72" s="41">
        <v>0</v>
      </c>
      <c r="C72" s="41">
        <v>0</v>
      </c>
      <c r="D72" s="41">
        <v>0</v>
      </c>
      <c r="E72" s="41">
        <v>0</v>
      </c>
      <c r="F72" s="41">
        <v>0</v>
      </c>
      <c r="G72" s="41">
        <v>0</v>
      </c>
      <c r="H72" s="41">
        <v>0</v>
      </c>
      <c r="I72" s="31">
        <f>POWER(Retention1,2)</f>
        <v>0.81</v>
      </c>
      <c r="J72" s="41">
        <v>0</v>
      </c>
      <c r="K72" s="41">
        <v>0</v>
      </c>
      <c r="L72" s="41">
        <v>0</v>
      </c>
      <c r="M72" s="41">
        <v>0</v>
      </c>
      <c r="N72" s="41">
        <v>0</v>
      </c>
      <c r="O72" s="41">
        <v>0</v>
      </c>
      <c r="P72" s="41">
        <v>0</v>
      </c>
      <c r="Q72" s="41">
        <v>0</v>
      </c>
      <c r="R72" s="41">
        <v>0</v>
      </c>
      <c r="S72" s="41">
        <v>0</v>
      </c>
      <c r="T72" s="41">
        <v>0</v>
      </c>
      <c r="U72" s="31">
        <f>POWER(Retention1,1)</f>
        <v>0.9</v>
      </c>
      <c r="V72" s="41">
        <v>0</v>
      </c>
      <c r="W72" s="41">
        <v>0</v>
      </c>
      <c r="X72" s="41">
        <v>0</v>
      </c>
      <c r="Y72" s="41">
        <v>0</v>
      </c>
      <c r="Z72" s="41">
        <v>0</v>
      </c>
      <c r="AA72" s="41">
        <v>0</v>
      </c>
      <c r="AB72">
        <v>0</v>
      </c>
      <c r="AC72">
        <v>0</v>
      </c>
      <c r="AD72">
        <v>0</v>
      </c>
      <c r="AE72">
        <v>0</v>
      </c>
      <c r="AF72">
        <v>0</v>
      </c>
      <c r="AG72">
        <v>0</v>
      </c>
      <c r="AH72">
        <v>0</v>
      </c>
      <c r="AI72">
        <v>0</v>
      </c>
      <c r="AJ72">
        <v>0</v>
      </c>
      <c r="AK72">
        <v>0</v>
      </c>
      <c r="AM72" s="43">
        <v>32</v>
      </c>
      <c r="AN72" s="41">
        <v>0</v>
      </c>
      <c r="AO72" s="41">
        <v>0</v>
      </c>
      <c r="AP72" s="41">
        <v>0</v>
      </c>
      <c r="AQ72" s="41">
        <v>0</v>
      </c>
      <c r="AR72" s="41">
        <v>0</v>
      </c>
      <c r="AS72" s="41">
        <v>0</v>
      </c>
      <c r="AT72" s="41">
        <v>0</v>
      </c>
      <c r="AU72" s="31">
        <f>POWER(Retention2,2)</f>
        <v>0.81</v>
      </c>
      <c r="AV72" s="41">
        <v>0</v>
      </c>
      <c r="AW72" s="41">
        <v>0</v>
      </c>
      <c r="AX72" s="41">
        <v>0</v>
      </c>
      <c r="AY72" s="41">
        <v>0</v>
      </c>
      <c r="AZ72" s="41">
        <v>0</v>
      </c>
      <c r="BA72" s="41">
        <v>0</v>
      </c>
      <c r="BB72" s="41">
        <v>0</v>
      </c>
      <c r="BC72" s="41">
        <v>0</v>
      </c>
      <c r="BD72" s="41">
        <v>0</v>
      </c>
      <c r="BE72" s="41">
        <v>0</v>
      </c>
      <c r="BF72" s="41">
        <v>0</v>
      </c>
      <c r="BG72" s="31">
        <f>POWER(Retention2,1)</f>
        <v>0.9</v>
      </c>
      <c r="BH72" s="41">
        <v>0</v>
      </c>
      <c r="BI72" s="41">
        <v>0</v>
      </c>
      <c r="BJ72" s="41">
        <v>0</v>
      </c>
      <c r="BK72" s="41">
        <v>0</v>
      </c>
      <c r="BL72" s="41">
        <v>0</v>
      </c>
      <c r="BM72" s="41">
        <v>0</v>
      </c>
      <c r="BN72">
        <v>0</v>
      </c>
      <c r="BO72">
        <v>0</v>
      </c>
      <c r="BP72">
        <v>0</v>
      </c>
      <c r="BQ72">
        <v>0</v>
      </c>
      <c r="BR72">
        <v>0</v>
      </c>
      <c r="BS72">
        <v>0</v>
      </c>
      <c r="BT72">
        <v>0</v>
      </c>
      <c r="BU72">
        <v>0</v>
      </c>
      <c r="BV72">
        <v>0</v>
      </c>
      <c r="BW72">
        <v>0</v>
      </c>
    </row>
    <row r="73" spans="1:75" x14ac:dyDescent="0.2">
      <c r="A73" s="43">
        <v>33</v>
      </c>
      <c r="B73" s="41">
        <v>0</v>
      </c>
      <c r="C73" s="41">
        <v>0</v>
      </c>
      <c r="D73" s="41">
        <v>0</v>
      </c>
      <c r="E73" s="41">
        <v>0</v>
      </c>
      <c r="F73" s="41">
        <v>0</v>
      </c>
      <c r="G73" s="41">
        <v>0</v>
      </c>
      <c r="H73" s="41">
        <v>0</v>
      </c>
      <c r="I73" s="41">
        <v>0</v>
      </c>
      <c r="J73" s="31">
        <f>POWER(Retention1,2)</f>
        <v>0.81</v>
      </c>
      <c r="K73" s="41">
        <v>0</v>
      </c>
      <c r="L73" s="41">
        <v>0</v>
      </c>
      <c r="M73" s="41">
        <v>0</v>
      </c>
      <c r="N73" s="41">
        <v>0</v>
      </c>
      <c r="O73" s="41">
        <v>0</v>
      </c>
      <c r="P73" s="41">
        <v>0</v>
      </c>
      <c r="Q73" s="41">
        <v>0</v>
      </c>
      <c r="R73" s="41">
        <v>0</v>
      </c>
      <c r="S73" s="41">
        <v>0</v>
      </c>
      <c r="T73" s="41">
        <v>0</v>
      </c>
      <c r="U73" s="41">
        <v>0</v>
      </c>
      <c r="V73" s="31">
        <f>POWER(Retention1,1)</f>
        <v>0.9</v>
      </c>
      <c r="W73" s="41">
        <v>0</v>
      </c>
      <c r="X73" s="41">
        <v>0</v>
      </c>
      <c r="Y73" s="41">
        <v>0</v>
      </c>
      <c r="Z73">
        <v>0</v>
      </c>
      <c r="AA73">
        <v>0</v>
      </c>
      <c r="AB73">
        <v>0</v>
      </c>
      <c r="AC73">
        <v>0</v>
      </c>
      <c r="AD73">
        <v>0</v>
      </c>
      <c r="AE73">
        <v>0</v>
      </c>
      <c r="AF73">
        <v>0</v>
      </c>
      <c r="AG73">
        <v>0</v>
      </c>
      <c r="AH73">
        <v>0</v>
      </c>
      <c r="AI73">
        <v>0</v>
      </c>
      <c r="AJ73">
        <v>0</v>
      </c>
      <c r="AK73">
        <v>0</v>
      </c>
      <c r="AM73" s="43">
        <v>33</v>
      </c>
      <c r="AN73" s="41">
        <v>0</v>
      </c>
      <c r="AO73" s="41">
        <v>0</v>
      </c>
      <c r="AP73" s="41">
        <v>0</v>
      </c>
      <c r="AQ73" s="41">
        <v>0</v>
      </c>
      <c r="AR73" s="41">
        <v>0</v>
      </c>
      <c r="AS73" s="41">
        <v>0</v>
      </c>
      <c r="AT73" s="41">
        <v>0</v>
      </c>
      <c r="AU73" s="41">
        <v>0</v>
      </c>
      <c r="AV73" s="31">
        <f>POWER(Retention2,2)</f>
        <v>0.81</v>
      </c>
      <c r="AW73" s="41">
        <v>0</v>
      </c>
      <c r="AX73" s="41">
        <v>0</v>
      </c>
      <c r="AY73" s="41">
        <v>0</v>
      </c>
      <c r="AZ73" s="41">
        <v>0</v>
      </c>
      <c r="BA73" s="41">
        <v>0</v>
      </c>
      <c r="BB73" s="41">
        <v>0</v>
      </c>
      <c r="BC73" s="41">
        <v>0</v>
      </c>
      <c r="BD73" s="41">
        <v>0</v>
      </c>
      <c r="BE73" s="41">
        <v>0</v>
      </c>
      <c r="BF73" s="41">
        <v>0</v>
      </c>
      <c r="BG73" s="41">
        <v>0</v>
      </c>
      <c r="BH73" s="31">
        <f>POWER(Retention2,1)</f>
        <v>0.9</v>
      </c>
      <c r="BI73" s="41">
        <v>0</v>
      </c>
      <c r="BJ73" s="41">
        <v>0</v>
      </c>
      <c r="BK73" s="41">
        <v>0</v>
      </c>
      <c r="BL73">
        <v>0</v>
      </c>
      <c r="BM73">
        <v>0</v>
      </c>
      <c r="BN73">
        <v>0</v>
      </c>
      <c r="BO73">
        <v>0</v>
      </c>
      <c r="BP73">
        <v>0</v>
      </c>
      <c r="BQ73">
        <v>0</v>
      </c>
      <c r="BR73">
        <v>0</v>
      </c>
      <c r="BS73">
        <v>0</v>
      </c>
      <c r="BT73">
        <v>0</v>
      </c>
      <c r="BU73">
        <v>0</v>
      </c>
      <c r="BV73">
        <v>0</v>
      </c>
      <c r="BW73">
        <v>0</v>
      </c>
    </row>
    <row r="74" spans="1:75" x14ac:dyDescent="0.2">
      <c r="A74" s="43">
        <v>34</v>
      </c>
      <c r="B74" s="41">
        <v>0</v>
      </c>
      <c r="C74" s="41">
        <v>0</v>
      </c>
      <c r="D74" s="41">
        <v>0</v>
      </c>
      <c r="E74" s="41">
        <v>0</v>
      </c>
      <c r="F74" s="41">
        <v>0</v>
      </c>
      <c r="G74" s="41">
        <v>0</v>
      </c>
      <c r="H74" s="41">
        <v>0</v>
      </c>
      <c r="I74" s="41">
        <v>0</v>
      </c>
      <c r="J74" s="41">
        <v>0</v>
      </c>
      <c r="K74" s="31">
        <f>POWER(Retention1,2)</f>
        <v>0.81</v>
      </c>
      <c r="L74" s="41">
        <v>0</v>
      </c>
      <c r="M74" s="41">
        <v>0</v>
      </c>
      <c r="N74" s="41">
        <v>0</v>
      </c>
      <c r="O74" s="41">
        <v>0</v>
      </c>
      <c r="P74" s="41">
        <v>0</v>
      </c>
      <c r="Q74" s="41">
        <v>0</v>
      </c>
      <c r="R74" s="41">
        <v>0</v>
      </c>
      <c r="S74" s="41">
        <v>0</v>
      </c>
      <c r="T74" s="41">
        <v>0</v>
      </c>
      <c r="U74" s="41">
        <v>0</v>
      </c>
      <c r="V74" s="41">
        <v>0</v>
      </c>
      <c r="W74" s="31">
        <f>POWER(Retention1,1)</f>
        <v>0.9</v>
      </c>
      <c r="X74" s="41">
        <v>0</v>
      </c>
      <c r="Y74" s="41">
        <v>0</v>
      </c>
      <c r="Z74">
        <v>0</v>
      </c>
      <c r="AA74">
        <v>0</v>
      </c>
      <c r="AB74">
        <v>0</v>
      </c>
      <c r="AC74">
        <v>0</v>
      </c>
      <c r="AD74">
        <v>0</v>
      </c>
      <c r="AE74">
        <v>0</v>
      </c>
      <c r="AF74">
        <v>0</v>
      </c>
      <c r="AG74">
        <v>0</v>
      </c>
      <c r="AH74">
        <v>0</v>
      </c>
      <c r="AI74">
        <v>0</v>
      </c>
      <c r="AJ74">
        <v>0</v>
      </c>
      <c r="AK74">
        <v>0</v>
      </c>
      <c r="AM74" s="43">
        <v>34</v>
      </c>
      <c r="AN74" s="41">
        <v>0</v>
      </c>
      <c r="AO74" s="41">
        <v>0</v>
      </c>
      <c r="AP74" s="41">
        <v>0</v>
      </c>
      <c r="AQ74" s="41">
        <v>0</v>
      </c>
      <c r="AR74" s="41">
        <v>0</v>
      </c>
      <c r="AS74" s="41">
        <v>0</v>
      </c>
      <c r="AT74" s="41">
        <v>0</v>
      </c>
      <c r="AU74" s="41">
        <v>0</v>
      </c>
      <c r="AV74" s="41">
        <v>0</v>
      </c>
      <c r="AW74" s="31">
        <f>POWER(Retention2,2)</f>
        <v>0.81</v>
      </c>
      <c r="AX74" s="41">
        <v>0</v>
      </c>
      <c r="AY74" s="41">
        <v>0</v>
      </c>
      <c r="AZ74" s="41">
        <v>0</v>
      </c>
      <c r="BA74" s="41">
        <v>0</v>
      </c>
      <c r="BB74" s="41">
        <v>0</v>
      </c>
      <c r="BC74" s="41">
        <v>0</v>
      </c>
      <c r="BD74" s="41">
        <v>0</v>
      </c>
      <c r="BE74" s="41">
        <v>0</v>
      </c>
      <c r="BF74" s="41">
        <v>0</v>
      </c>
      <c r="BG74" s="41">
        <v>0</v>
      </c>
      <c r="BH74" s="41">
        <v>0</v>
      </c>
      <c r="BI74" s="31">
        <f>POWER(Retention2,1)</f>
        <v>0.9</v>
      </c>
      <c r="BJ74" s="41">
        <v>0</v>
      </c>
      <c r="BK74" s="41">
        <v>0</v>
      </c>
      <c r="BL74">
        <v>0</v>
      </c>
      <c r="BM74">
        <v>0</v>
      </c>
      <c r="BN74">
        <v>0</v>
      </c>
      <c r="BO74">
        <v>0</v>
      </c>
      <c r="BP74">
        <v>0</v>
      </c>
      <c r="BQ74">
        <v>0</v>
      </c>
      <c r="BR74">
        <v>0</v>
      </c>
      <c r="BS74">
        <v>0</v>
      </c>
      <c r="BT74">
        <v>0</v>
      </c>
      <c r="BU74">
        <v>0</v>
      </c>
      <c r="BV74">
        <v>0</v>
      </c>
      <c r="BW74">
        <v>0</v>
      </c>
    </row>
    <row r="75" spans="1:75" x14ac:dyDescent="0.2">
      <c r="A75" s="43">
        <v>35</v>
      </c>
      <c r="B75" s="41">
        <v>0</v>
      </c>
      <c r="C75" s="41">
        <v>0</v>
      </c>
      <c r="D75" s="41">
        <v>0</v>
      </c>
      <c r="E75" s="41">
        <v>0</v>
      </c>
      <c r="F75" s="41">
        <v>0</v>
      </c>
      <c r="G75" s="41">
        <v>0</v>
      </c>
      <c r="H75" s="41">
        <v>0</v>
      </c>
      <c r="I75" s="41">
        <v>0</v>
      </c>
      <c r="J75" s="41">
        <v>0</v>
      </c>
      <c r="K75" s="41">
        <v>0</v>
      </c>
      <c r="L75" s="31">
        <f>POWER(Retention1,2)</f>
        <v>0.81</v>
      </c>
      <c r="M75" s="41">
        <v>0</v>
      </c>
      <c r="N75" s="41">
        <v>0</v>
      </c>
      <c r="O75" s="41">
        <v>0</v>
      </c>
      <c r="P75" s="41">
        <v>0</v>
      </c>
      <c r="Q75" s="41">
        <v>0</v>
      </c>
      <c r="R75" s="41">
        <v>0</v>
      </c>
      <c r="S75" s="41">
        <v>0</v>
      </c>
      <c r="T75" s="41">
        <v>0</v>
      </c>
      <c r="U75" s="41">
        <v>0</v>
      </c>
      <c r="V75" s="41">
        <v>0</v>
      </c>
      <c r="W75" s="41">
        <v>0</v>
      </c>
      <c r="X75" s="31">
        <f>POWER(Retention1,1)</f>
        <v>0.9</v>
      </c>
      <c r="Y75" s="41">
        <v>0</v>
      </c>
      <c r="Z75">
        <v>0</v>
      </c>
      <c r="AA75">
        <v>0</v>
      </c>
      <c r="AB75">
        <v>0</v>
      </c>
      <c r="AC75">
        <v>0</v>
      </c>
      <c r="AD75">
        <v>0</v>
      </c>
      <c r="AE75">
        <v>0</v>
      </c>
      <c r="AF75">
        <v>0</v>
      </c>
      <c r="AG75">
        <v>0</v>
      </c>
      <c r="AH75">
        <v>0</v>
      </c>
      <c r="AI75">
        <v>0</v>
      </c>
      <c r="AJ75">
        <v>0</v>
      </c>
      <c r="AK75">
        <v>0</v>
      </c>
      <c r="AM75" s="43">
        <v>35</v>
      </c>
      <c r="AN75" s="41">
        <v>0</v>
      </c>
      <c r="AO75" s="41">
        <v>0</v>
      </c>
      <c r="AP75" s="41">
        <v>0</v>
      </c>
      <c r="AQ75" s="41">
        <v>0</v>
      </c>
      <c r="AR75" s="41">
        <v>0</v>
      </c>
      <c r="AS75" s="41">
        <v>0</v>
      </c>
      <c r="AT75" s="41">
        <v>0</v>
      </c>
      <c r="AU75" s="41">
        <v>0</v>
      </c>
      <c r="AV75" s="41">
        <v>0</v>
      </c>
      <c r="AW75" s="41">
        <v>0</v>
      </c>
      <c r="AX75" s="31">
        <f>POWER(Retention2,2)</f>
        <v>0.81</v>
      </c>
      <c r="AY75" s="41">
        <v>0</v>
      </c>
      <c r="AZ75" s="41">
        <v>0</v>
      </c>
      <c r="BA75" s="41">
        <v>0</v>
      </c>
      <c r="BB75" s="41">
        <v>0</v>
      </c>
      <c r="BC75" s="41">
        <v>0</v>
      </c>
      <c r="BD75" s="41">
        <v>0</v>
      </c>
      <c r="BE75" s="41">
        <v>0</v>
      </c>
      <c r="BF75" s="41">
        <v>0</v>
      </c>
      <c r="BG75" s="41">
        <v>0</v>
      </c>
      <c r="BH75" s="41">
        <v>0</v>
      </c>
      <c r="BI75" s="41">
        <v>0</v>
      </c>
      <c r="BJ75" s="31">
        <f>POWER(Retention2,1)</f>
        <v>0.9</v>
      </c>
      <c r="BK75" s="41">
        <v>0</v>
      </c>
      <c r="BL75">
        <v>0</v>
      </c>
      <c r="BM75">
        <v>0</v>
      </c>
      <c r="BN75">
        <v>0</v>
      </c>
      <c r="BO75">
        <v>0</v>
      </c>
      <c r="BP75">
        <v>0</v>
      </c>
      <c r="BQ75">
        <v>0</v>
      </c>
      <c r="BR75">
        <v>0</v>
      </c>
      <c r="BS75">
        <v>0</v>
      </c>
      <c r="BT75">
        <v>0</v>
      </c>
      <c r="BU75">
        <v>0</v>
      </c>
      <c r="BV75">
        <v>0</v>
      </c>
      <c r="BW75">
        <v>0</v>
      </c>
    </row>
    <row r="76" spans="1:75" x14ac:dyDescent="0.2">
      <c r="A76" s="43">
        <v>36</v>
      </c>
      <c r="B76" s="41">
        <v>0</v>
      </c>
      <c r="C76" s="41">
        <v>0</v>
      </c>
      <c r="D76" s="41">
        <v>0</v>
      </c>
      <c r="E76" s="41">
        <v>0</v>
      </c>
      <c r="F76" s="41">
        <v>0</v>
      </c>
      <c r="G76" s="41">
        <v>0</v>
      </c>
      <c r="H76" s="41">
        <v>0</v>
      </c>
      <c r="I76" s="41">
        <v>0</v>
      </c>
      <c r="J76" s="41">
        <v>0</v>
      </c>
      <c r="K76" s="41">
        <v>0</v>
      </c>
      <c r="L76" s="41">
        <v>0</v>
      </c>
      <c r="M76" s="31">
        <f>POWER(Retention1,2)</f>
        <v>0.81</v>
      </c>
      <c r="N76" s="41">
        <v>0</v>
      </c>
      <c r="O76" s="41">
        <v>0</v>
      </c>
      <c r="P76" s="41">
        <v>0</v>
      </c>
      <c r="Q76" s="41">
        <v>0</v>
      </c>
      <c r="R76" s="41">
        <v>0</v>
      </c>
      <c r="S76" s="41">
        <v>0</v>
      </c>
      <c r="T76" s="41">
        <v>0</v>
      </c>
      <c r="U76" s="41">
        <v>0</v>
      </c>
      <c r="V76" s="41">
        <v>0</v>
      </c>
      <c r="W76" s="41">
        <v>0</v>
      </c>
      <c r="X76" s="41">
        <v>0</v>
      </c>
      <c r="Y76" s="31">
        <f>POWER(Retention1,1)</f>
        <v>0.9</v>
      </c>
      <c r="Z76">
        <v>0</v>
      </c>
      <c r="AA76">
        <v>0</v>
      </c>
      <c r="AB76">
        <v>0</v>
      </c>
      <c r="AC76">
        <v>0</v>
      </c>
      <c r="AD76">
        <v>0</v>
      </c>
      <c r="AE76">
        <v>0</v>
      </c>
      <c r="AF76">
        <v>0</v>
      </c>
      <c r="AG76">
        <v>0</v>
      </c>
      <c r="AH76">
        <v>0</v>
      </c>
      <c r="AI76">
        <v>0</v>
      </c>
      <c r="AJ76">
        <v>0</v>
      </c>
      <c r="AK76">
        <v>0</v>
      </c>
      <c r="AM76" s="43">
        <v>36</v>
      </c>
      <c r="AN76" s="41">
        <v>0</v>
      </c>
      <c r="AO76" s="41">
        <v>0</v>
      </c>
      <c r="AP76" s="41">
        <v>0</v>
      </c>
      <c r="AQ76" s="41">
        <v>0</v>
      </c>
      <c r="AR76" s="41">
        <v>0</v>
      </c>
      <c r="AS76" s="41">
        <v>0</v>
      </c>
      <c r="AT76" s="41">
        <v>0</v>
      </c>
      <c r="AU76" s="41">
        <v>0</v>
      </c>
      <c r="AV76" s="41">
        <v>0</v>
      </c>
      <c r="AW76" s="41">
        <v>0</v>
      </c>
      <c r="AX76" s="41">
        <v>0</v>
      </c>
      <c r="AY76" s="31">
        <f>POWER(Retention2,2)</f>
        <v>0.81</v>
      </c>
      <c r="AZ76" s="41">
        <v>0</v>
      </c>
      <c r="BA76" s="41">
        <v>0</v>
      </c>
      <c r="BB76" s="41">
        <v>0</v>
      </c>
      <c r="BC76" s="41">
        <v>0</v>
      </c>
      <c r="BD76" s="41">
        <v>0</v>
      </c>
      <c r="BE76" s="41">
        <v>0</v>
      </c>
      <c r="BF76" s="41">
        <v>0</v>
      </c>
      <c r="BG76" s="41">
        <v>0</v>
      </c>
      <c r="BH76" s="41">
        <v>0</v>
      </c>
      <c r="BI76" s="41">
        <v>0</v>
      </c>
      <c r="BJ76" s="41">
        <v>0</v>
      </c>
      <c r="BK76" s="31">
        <f>POWER(Retention2,1)</f>
        <v>0.9</v>
      </c>
      <c r="BL76">
        <v>0</v>
      </c>
      <c r="BM76">
        <v>0</v>
      </c>
      <c r="BN76">
        <v>0</v>
      </c>
      <c r="BO76">
        <v>0</v>
      </c>
      <c r="BP76">
        <v>0</v>
      </c>
      <c r="BQ76">
        <v>0</v>
      </c>
      <c r="BR76">
        <v>0</v>
      </c>
      <c r="BS76">
        <v>0</v>
      </c>
      <c r="BT76">
        <v>0</v>
      </c>
      <c r="BU76">
        <v>0</v>
      </c>
      <c r="BV76">
        <v>0</v>
      </c>
      <c r="BW76">
        <v>0</v>
      </c>
    </row>
    <row r="77" spans="1:75" x14ac:dyDescent="0.2">
      <c r="A77" s="56" t="s">
        <v>51</v>
      </c>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row>
    <row r="78" spans="1:75" x14ac:dyDescent="0.2">
      <c r="B78" s="42">
        <v>1</v>
      </c>
      <c r="C78" s="42">
        <v>2</v>
      </c>
      <c r="D78" s="42">
        <v>3</v>
      </c>
      <c r="E78" s="42">
        <v>4</v>
      </c>
      <c r="F78" s="42">
        <v>5</v>
      </c>
      <c r="G78" s="42">
        <v>6</v>
      </c>
      <c r="H78" s="42">
        <v>7</v>
      </c>
      <c r="I78" s="42">
        <v>8</v>
      </c>
      <c r="J78" s="42">
        <v>9</v>
      </c>
      <c r="K78" s="42">
        <v>10</v>
      </c>
      <c r="L78" s="42">
        <v>11</v>
      </c>
      <c r="M78" s="42">
        <v>12</v>
      </c>
      <c r="N78" s="42">
        <v>13</v>
      </c>
      <c r="O78" s="42">
        <v>14</v>
      </c>
      <c r="P78" s="42">
        <v>15</v>
      </c>
      <c r="Q78" s="42">
        <v>16</v>
      </c>
      <c r="R78" s="42">
        <v>17</v>
      </c>
      <c r="S78" s="42">
        <v>18</v>
      </c>
      <c r="T78" s="42">
        <v>19</v>
      </c>
      <c r="U78" s="42">
        <v>20</v>
      </c>
      <c r="V78" s="42">
        <v>21</v>
      </c>
      <c r="W78" s="42">
        <v>22</v>
      </c>
      <c r="X78" s="42">
        <v>23</v>
      </c>
      <c r="Y78" s="42">
        <v>24</v>
      </c>
      <c r="Z78" s="42">
        <v>25</v>
      </c>
      <c r="AA78" s="42">
        <v>26</v>
      </c>
      <c r="AB78" s="42">
        <v>27</v>
      </c>
      <c r="AC78" s="42">
        <v>28</v>
      </c>
      <c r="AD78" s="42">
        <v>29</v>
      </c>
      <c r="AE78" s="42">
        <v>30</v>
      </c>
      <c r="AF78" s="42">
        <v>31</v>
      </c>
      <c r="AG78" s="42">
        <v>32</v>
      </c>
      <c r="AH78" s="42">
        <v>33</v>
      </c>
      <c r="AI78" s="42">
        <v>34</v>
      </c>
      <c r="AJ78" s="42">
        <v>35</v>
      </c>
      <c r="AK78" s="42">
        <v>36</v>
      </c>
      <c r="AM78" s="19"/>
      <c r="AN78" s="42">
        <v>1</v>
      </c>
      <c r="AO78" s="42">
        <v>2</v>
      </c>
      <c r="AP78" s="42">
        <v>3</v>
      </c>
      <c r="AQ78" s="42">
        <v>4</v>
      </c>
      <c r="AR78" s="42">
        <v>5</v>
      </c>
      <c r="AS78" s="42">
        <v>6</v>
      </c>
      <c r="AT78" s="42">
        <v>7</v>
      </c>
      <c r="AU78" s="42">
        <v>8</v>
      </c>
      <c r="AV78" s="42">
        <v>9</v>
      </c>
      <c r="AW78" s="42">
        <v>10</v>
      </c>
      <c r="AX78" s="42">
        <v>11</v>
      </c>
      <c r="AY78" s="42">
        <v>12</v>
      </c>
      <c r="AZ78" s="42">
        <v>13</v>
      </c>
      <c r="BA78" s="42">
        <v>14</v>
      </c>
      <c r="BB78" s="42">
        <v>15</v>
      </c>
      <c r="BC78" s="42">
        <v>16</v>
      </c>
      <c r="BD78" s="42">
        <v>17</v>
      </c>
      <c r="BE78" s="42">
        <v>18</v>
      </c>
      <c r="BF78" s="42">
        <v>19</v>
      </c>
      <c r="BG78" s="42">
        <v>20</v>
      </c>
      <c r="BH78" s="42">
        <v>21</v>
      </c>
      <c r="BI78" s="42">
        <v>22</v>
      </c>
      <c r="BJ78" s="42">
        <v>23</v>
      </c>
      <c r="BK78" s="42">
        <v>24</v>
      </c>
      <c r="BL78" s="42">
        <v>25</v>
      </c>
      <c r="BM78" s="42">
        <v>26</v>
      </c>
      <c r="BN78" s="42">
        <v>27</v>
      </c>
      <c r="BO78" s="42">
        <v>28</v>
      </c>
      <c r="BP78" s="42">
        <v>29</v>
      </c>
      <c r="BQ78" s="42">
        <v>30</v>
      </c>
      <c r="BR78" s="42">
        <v>31</v>
      </c>
      <c r="BS78" s="42">
        <v>32</v>
      </c>
      <c r="BT78" s="42">
        <v>33</v>
      </c>
      <c r="BU78" s="42">
        <v>34</v>
      </c>
      <c r="BV78" s="42">
        <v>35</v>
      </c>
      <c r="BW78" s="42">
        <v>36</v>
      </c>
    </row>
    <row r="79" spans="1:75" x14ac:dyDescent="0.2">
      <c r="A79" s="43">
        <v>1</v>
      </c>
      <c r="B79" s="41">
        <v>0</v>
      </c>
      <c r="C79" s="41">
        <v>0</v>
      </c>
      <c r="D79" s="41">
        <v>0</v>
      </c>
      <c r="E79" s="41">
        <v>0</v>
      </c>
      <c r="F79" s="41">
        <v>0</v>
      </c>
      <c r="G79" s="41">
        <v>0</v>
      </c>
      <c r="H79" s="41">
        <v>0</v>
      </c>
      <c r="I79" s="41">
        <v>0</v>
      </c>
      <c r="J79" s="41">
        <v>0</v>
      </c>
      <c r="K79" s="41">
        <v>0</v>
      </c>
      <c r="L79" s="41">
        <v>0</v>
      </c>
      <c r="M79" s="41">
        <v>0</v>
      </c>
      <c r="N79" s="41">
        <v>0</v>
      </c>
      <c r="O79" s="41">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M79" s="43">
        <v>1</v>
      </c>
      <c r="AN79" s="41">
        <v>0</v>
      </c>
      <c r="AO79" s="41">
        <v>0</v>
      </c>
      <c r="AP79" s="41">
        <v>0</v>
      </c>
      <c r="AQ79" s="41">
        <v>0</v>
      </c>
      <c r="AR79" s="41">
        <v>0</v>
      </c>
      <c r="AS79" s="41">
        <v>0</v>
      </c>
      <c r="AT79" s="41">
        <v>0</v>
      </c>
      <c r="AU79" s="41">
        <v>0</v>
      </c>
      <c r="AV79" s="41">
        <v>0</v>
      </c>
      <c r="AW79" s="41">
        <v>0</v>
      </c>
      <c r="AX79" s="41">
        <v>0</v>
      </c>
      <c r="AY79" s="41">
        <v>0</v>
      </c>
      <c r="AZ79" s="41">
        <v>0</v>
      </c>
      <c r="BA79" s="41">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row>
    <row r="80" spans="1:75" x14ac:dyDescent="0.2">
      <c r="A80" s="43">
        <v>2</v>
      </c>
      <c r="B80" s="41">
        <v>0</v>
      </c>
      <c r="C80" s="41">
        <v>0</v>
      </c>
      <c r="D80" s="41">
        <v>0</v>
      </c>
      <c r="E80" s="41">
        <v>0</v>
      </c>
      <c r="F80" s="41">
        <v>0</v>
      </c>
      <c r="G80" s="41">
        <v>0</v>
      </c>
      <c r="H80" s="41">
        <v>0</v>
      </c>
      <c r="I80" s="41">
        <v>0</v>
      </c>
      <c r="J80" s="41">
        <v>0</v>
      </c>
      <c r="K80" s="41">
        <v>0</v>
      </c>
      <c r="L80" s="41">
        <v>0</v>
      </c>
      <c r="M80" s="41">
        <v>0</v>
      </c>
      <c r="N80" s="41">
        <v>0</v>
      </c>
      <c r="O80" s="41">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M80" s="43">
        <v>2</v>
      </c>
      <c r="AN80" s="41">
        <v>0</v>
      </c>
      <c r="AO80" s="41">
        <v>0</v>
      </c>
      <c r="AP80" s="41">
        <v>0</v>
      </c>
      <c r="AQ80" s="41">
        <v>0</v>
      </c>
      <c r="AR80" s="41">
        <v>0</v>
      </c>
      <c r="AS80" s="41">
        <v>0</v>
      </c>
      <c r="AT80" s="41">
        <v>0</v>
      </c>
      <c r="AU80" s="41">
        <v>0</v>
      </c>
      <c r="AV80" s="41">
        <v>0</v>
      </c>
      <c r="AW80" s="41">
        <v>0</v>
      </c>
      <c r="AX80" s="41">
        <v>0</v>
      </c>
      <c r="AY80" s="41">
        <v>0</v>
      </c>
      <c r="AZ80" s="41">
        <v>0</v>
      </c>
      <c r="BA80" s="41">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row>
    <row r="81" spans="1:75" x14ac:dyDescent="0.2">
      <c r="A81" s="43">
        <v>3</v>
      </c>
      <c r="B81" s="41">
        <v>0</v>
      </c>
      <c r="C81" s="41">
        <v>0</v>
      </c>
      <c r="D81" s="41">
        <v>0</v>
      </c>
      <c r="E81" s="41">
        <v>0</v>
      </c>
      <c r="F81" s="41">
        <v>0</v>
      </c>
      <c r="G81" s="41">
        <v>0</v>
      </c>
      <c r="H81" s="41">
        <v>0</v>
      </c>
      <c r="I81" s="41">
        <v>0</v>
      </c>
      <c r="J81" s="41">
        <v>0</v>
      </c>
      <c r="K81" s="41">
        <v>0</v>
      </c>
      <c r="L81" s="41">
        <v>0</v>
      </c>
      <c r="M81" s="41">
        <v>0</v>
      </c>
      <c r="N81" s="41">
        <v>0</v>
      </c>
      <c r="O81" s="4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M81" s="43">
        <v>3</v>
      </c>
      <c r="AN81" s="41">
        <v>0</v>
      </c>
      <c r="AO81" s="41">
        <v>0</v>
      </c>
      <c r="AP81" s="41">
        <v>0</v>
      </c>
      <c r="AQ81" s="41">
        <v>0</v>
      </c>
      <c r="AR81" s="41">
        <v>0</v>
      </c>
      <c r="AS81" s="41">
        <v>0</v>
      </c>
      <c r="AT81" s="41">
        <v>0</v>
      </c>
      <c r="AU81" s="41">
        <v>0</v>
      </c>
      <c r="AV81" s="41">
        <v>0</v>
      </c>
      <c r="AW81" s="41">
        <v>0</v>
      </c>
      <c r="AX81" s="41">
        <v>0</v>
      </c>
      <c r="AY81" s="41">
        <v>0</v>
      </c>
      <c r="AZ81" s="41">
        <v>0</v>
      </c>
      <c r="BA81" s="4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row>
    <row r="82" spans="1:75" x14ac:dyDescent="0.2">
      <c r="A82" s="43">
        <v>4</v>
      </c>
      <c r="B82" s="31">
        <f>POWER(Retention1,1)</f>
        <v>0.9</v>
      </c>
      <c r="C82" s="41">
        <v>0</v>
      </c>
      <c r="D82" s="41">
        <v>0</v>
      </c>
      <c r="E82" s="41">
        <v>0</v>
      </c>
      <c r="F82" s="41">
        <v>0</v>
      </c>
      <c r="G82" s="41">
        <v>0</v>
      </c>
      <c r="H82" s="41">
        <v>0</v>
      </c>
      <c r="I82" s="41">
        <v>0</v>
      </c>
      <c r="J82" s="41">
        <v>0</v>
      </c>
      <c r="K82" s="41">
        <v>0</v>
      </c>
      <c r="L82" s="41">
        <v>0</v>
      </c>
      <c r="M82" s="41">
        <v>0</v>
      </c>
      <c r="N82" s="41">
        <v>0</v>
      </c>
      <c r="O82" s="41">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M82" s="43">
        <v>4</v>
      </c>
      <c r="AN82" s="31">
        <f>POWER(Retention2,1)</f>
        <v>0.9</v>
      </c>
      <c r="AO82" s="41">
        <v>0</v>
      </c>
      <c r="AP82" s="41">
        <v>0</v>
      </c>
      <c r="AQ82" s="41">
        <v>0</v>
      </c>
      <c r="AR82" s="41">
        <v>0</v>
      </c>
      <c r="AS82" s="41">
        <v>0</v>
      </c>
      <c r="AT82" s="41">
        <v>0</v>
      </c>
      <c r="AU82" s="41">
        <v>0</v>
      </c>
      <c r="AV82" s="41">
        <v>0</v>
      </c>
      <c r="AW82" s="41">
        <v>0</v>
      </c>
      <c r="AX82" s="41">
        <v>0</v>
      </c>
      <c r="AY82" s="41">
        <v>0</v>
      </c>
      <c r="AZ82" s="41">
        <v>0</v>
      </c>
      <c r="BA82" s="41">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row>
    <row r="83" spans="1:75" x14ac:dyDescent="0.2">
      <c r="A83" s="43">
        <v>5</v>
      </c>
      <c r="B83" s="41">
        <v>0</v>
      </c>
      <c r="C83" s="31">
        <f>POWER(Retention1,1)</f>
        <v>0.9</v>
      </c>
      <c r="D83" s="41">
        <v>0</v>
      </c>
      <c r="E83" s="41">
        <v>0</v>
      </c>
      <c r="F83" s="41">
        <v>0</v>
      </c>
      <c r="G83" s="41">
        <v>0</v>
      </c>
      <c r="H83" s="41">
        <v>0</v>
      </c>
      <c r="I83" s="41">
        <v>0</v>
      </c>
      <c r="J83" s="41">
        <v>0</v>
      </c>
      <c r="K83" s="41">
        <v>0</v>
      </c>
      <c r="L83" s="41">
        <v>0</v>
      </c>
      <c r="M83" s="41">
        <v>0</v>
      </c>
      <c r="N83" s="41">
        <v>0</v>
      </c>
      <c r="O83" s="41">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M83" s="43">
        <v>5</v>
      </c>
      <c r="AN83" s="41">
        <v>0</v>
      </c>
      <c r="AO83" s="31">
        <f>POWER(Retention2,1)</f>
        <v>0.9</v>
      </c>
      <c r="AP83" s="41">
        <v>0</v>
      </c>
      <c r="AQ83" s="41">
        <v>0</v>
      </c>
      <c r="AR83" s="41">
        <v>0</v>
      </c>
      <c r="AS83" s="41">
        <v>0</v>
      </c>
      <c r="AT83" s="41">
        <v>0</v>
      </c>
      <c r="AU83" s="41">
        <v>0</v>
      </c>
      <c r="AV83" s="41">
        <v>0</v>
      </c>
      <c r="AW83" s="41">
        <v>0</v>
      </c>
      <c r="AX83" s="41">
        <v>0</v>
      </c>
      <c r="AY83" s="41">
        <v>0</v>
      </c>
      <c r="AZ83" s="41">
        <v>0</v>
      </c>
      <c r="BA83" s="41">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row>
    <row r="84" spans="1:75" x14ac:dyDescent="0.2">
      <c r="A84" s="43">
        <v>6</v>
      </c>
      <c r="B84" s="41">
        <v>0</v>
      </c>
      <c r="C84" s="41">
        <v>0</v>
      </c>
      <c r="D84" s="31">
        <f>POWER(Retention1,1)</f>
        <v>0.9</v>
      </c>
      <c r="E84" s="41">
        <v>0</v>
      </c>
      <c r="F84" s="41">
        <v>0</v>
      </c>
      <c r="G84" s="41">
        <v>0</v>
      </c>
      <c r="H84" s="41">
        <v>0</v>
      </c>
      <c r="I84" s="41">
        <v>0</v>
      </c>
      <c r="J84" s="41">
        <v>0</v>
      </c>
      <c r="K84" s="41">
        <v>0</v>
      </c>
      <c r="L84" s="41">
        <v>0</v>
      </c>
      <c r="M84" s="41">
        <v>0</v>
      </c>
      <c r="N84" s="41">
        <v>0</v>
      </c>
      <c r="O84" s="41">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M84" s="43">
        <v>6</v>
      </c>
      <c r="AN84" s="41">
        <v>0</v>
      </c>
      <c r="AO84" s="41">
        <v>0</v>
      </c>
      <c r="AP84" s="31">
        <f>POWER(Retention2,1)</f>
        <v>0.9</v>
      </c>
      <c r="AQ84" s="41">
        <v>0</v>
      </c>
      <c r="AR84" s="41">
        <v>0</v>
      </c>
      <c r="AS84" s="41">
        <v>0</v>
      </c>
      <c r="AT84" s="41">
        <v>0</v>
      </c>
      <c r="AU84" s="41">
        <v>0</v>
      </c>
      <c r="AV84" s="41">
        <v>0</v>
      </c>
      <c r="AW84" s="41">
        <v>0</v>
      </c>
      <c r="AX84" s="41">
        <v>0</v>
      </c>
      <c r="AY84" s="41">
        <v>0</v>
      </c>
      <c r="AZ84" s="41">
        <v>0</v>
      </c>
      <c r="BA84" s="41">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row>
    <row r="85" spans="1:75" x14ac:dyDescent="0.2">
      <c r="A85" s="43">
        <v>7</v>
      </c>
      <c r="B85" s="31">
        <f>POWER(Retention1,2)</f>
        <v>0.81</v>
      </c>
      <c r="C85" s="41">
        <v>0</v>
      </c>
      <c r="D85" s="41">
        <v>0</v>
      </c>
      <c r="E85" s="31">
        <f>POWER(Retention1,1)</f>
        <v>0.9</v>
      </c>
      <c r="F85" s="41">
        <v>0</v>
      </c>
      <c r="G85" s="41">
        <v>0</v>
      </c>
      <c r="H85" s="41">
        <v>0</v>
      </c>
      <c r="I85" s="41">
        <v>0</v>
      </c>
      <c r="J85" s="41">
        <v>0</v>
      </c>
      <c r="K85" s="41">
        <v>0</v>
      </c>
      <c r="L85" s="41">
        <v>0</v>
      </c>
      <c r="M85" s="41">
        <v>0</v>
      </c>
      <c r="N85" s="41">
        <v>0</v>
      </c>
      <c r="O85" s="41">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M85" s="43">
        <v>7</v>
      </c>
      <c r="AN85" s="31">
        <f>POWER(Retention2,2)</f>
        <v>0.81</v>
      </c>
      <c r="AO85" s="41">
        <v>0</v>
      </c>
      <c r="AP85" s="41">
        <v>0</v>
      </c>
      <c r="AQ85" s="31">
        <f>POWER(Retention2,1)</f>
        <v>0.9</v>
      </c>
      <c r="AR85" s="41">
        <v>0</v>
      </c>
      <c r="AS85" s="41">
        <v>0</v>
      </c>
      <c r="AT85" s="41">
        <v>0</v>
      </c>
      <c r="AU85" s="41">
        <v>0</v>
      </c>
      <c r="AV85" s="41">
        <v>0</v>
      </c>
      <c r="AW85" s="41">
        <v>0</v>
      </c>
      <c r="AX85" s="41">
        <v>0</v>
      </c>
      <c r="AY85" s="41">
        <v>0</v>
      </c>
      <c r="AZ85" s="41">
        <v>0</v>
      </c>
      <c r="BA85" s="41">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row>
    <row r="86" spans="1:75" x14ac:dyDescent="0.2">
      <c r="A86" s="43">
        <v>8</v>
      </c>
      <c r="B86" s="41">
        <v>0</v>
      </c>
      <c r="C86" s="31">
        <f>POWER(Retention1,2)</f>
        <v>0.81</v>
      </c>
      <c r="D86" s="41">
        <v>0</v>
      </c>
      <c r="E86" s="41">
        <v>0</v>
      </c>
      <c r="F86" s="31">
        <f>POWER(Retention1,1)</f>
        <v>0.9</v>
      </c>
      <c r="G86" s="41">
        <v>0</v>
      </c>
      <c r="H86" s="41">
        <v>0</v>
      </c>
      <c r="I86" s="41">
        <v>0</v>
      </c>
      <c r="J86" s="41">
        <v>0</v>
      </c>
      <c r="K86" s="41">
        <v>0</v>
      </c>
      <c r="L86" s="41">
        <v>0</v>
      </c>
      <c r="M86" s="41">
        <v>0</v>
      </c>
      <c r="N86" s="41">
        <v>0</v>
      </c>
      <c r="O86" s="41">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M86" s="43">
        <v>8</v>
      </c>
      <c r="AN86" s="41">
        <v>0</v>
      </c>
      <c r="AO86" s="31">
        <f>POWER(Retention2,2)</f>
        <v>0.81</v>
      </c>
      <c r="AP86" s="41">
        <v>0</v>
      </c>
      <c r="AQ86" s="41">
        <v>0</v>
      </c>
      <c r="AR86" s="31">
        <f>POWER(Retention2,1)</f>
        <v>0.9</v>
      </c>
      <c r="AS86" s="41">
        <v>0</v>
      </c>
      <c r="AT86" s="41">
        <v>0</v>
      </c>
      <c r="AU86" s="41">
        <v>0</v>
      </c>
      <c r="AV86" s="41">
        <v>0</v>
      </c>
      <c r="AW86" s="41">
        <v>0</v>
      </c>
      <c r="AX86" s="41">
        <v>0</v>
      </c>
      <c r="AY86" s="41">
        <v>0</v>
      </c>
      <c r="AZ86" s="41">
        <v>0</v>
      </c>
      <c r="BA86" s="41">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row>
    <row r="87" spans="1:75" x14ac:dyDescent="0.2">
      <c r="A87" s="43">
        <v>9</v>
      </c>
      <c r="B87" s="41">
        <v>0</v>
      </c>
      <c r="C87" s="41">
        <v>0</v>
      </c>
      <c r="D87" s="31">
        <f>POWER(Retention1,2)</f>
        <v>0.81</v>
      </c>
      <c r="E87" s="41">
        <v>0</v>
      </c>
      <c r="F87" s="41">
        <v>0</v>
      </c>
      <c r="G87" s="31">
        <f>POWER(Retention1,1)</f>
        <v>0.9</v>
      </c>
      <c r="H87" s="41">
        <v>0</v>
      </c>
      <c r="I87" s="41">
        <v>0</v>
      </c>
      <c r="J87" s="41">
        <v>0</v>
      </c>
      <c r="K87" s="41">
        <v>0</v>
      </c>
      <c r="L87" s="41">
        <v>0</v>
      </c>
      <c r="M87" s="41">
        <v>0</v>
      </c>
      <c r="N87" s="41">
        <v>0</v>
      </c>
      <c r="O87" s="41">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M87" s="43">
        <v>9</v>
      </c>
      <c r="AN87" s="41">
        <v>0</v>
      </c>
      <c r="AO87" s="41">
        <v>0</v>
      </c>
      <c r="AP87" s="31">
        <f>POWER(Retention2,2)</f>
        <v>0.81</v>
      </c>
      <c r="AQ87" s="41">
        <v>0</v>
      </c>
      <c r="AR87" s="41">
        <v>0</v>
      </c>
      <c r="AS87" s="31">
        <f>POWER(Retention2,1)</f>
        <v>0.9</v>
      </c>
      <c r="AT87" s="41">
        <v>0</v>
      </c>
      <c r="AU87" s="41">
        <v>0</v>
      </c>
      <c r="AV87" s="41">
        <v>0</v>
      </c>
      <c r="AW87" s="41">
        <v>0</v>
      </c>
      <c r="AX87" s="41">
        <v>0</v>
      </c>
      <c r="AY87" s="41">
        <v>0</v>
      </c>
      <c r="AZ87" s="41">
        <v>0</v>
      </c>
      <c r="BA87" s="41">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row>
    <row r="88" spans="1:75" x14ac:dyDescent="0.2">
      <c r="A88" s="43">
        <v>10</v>
      </c>
      <c r="B88" s="31">
        <f>POWER(Retention1,3)</f>
        <v>0.72900000000000009</v>
      </c>
      <c r="C88" s="41">
        <v>0</v>
      </c>
      <c r="D88" s="41">
        <v>0</v>
      </c>
      <c r="E88" s="31">
        <f>POWER(Retention1,2)</f>
        <v>0.81</v>
      </c>
      <c r="F88" s="41">
        <v>0</v>
      </c>
      <c r="G88" s="41">
        <v>0</v>
      </c>
      <c r="H88" s="31">
        <f>POWER(Retention1,1)</f>
        <v>0.9</v>
      </c>
      <c r="I88" s="41">
        <v>0</v>
      </c>
      <c r="J88" s="41">
        <v>0</v>
      </c>
      <c r="K88" s="41">
        <v>0</v>
      </c>
      <c r="L88" s="41">
        <v>0</v>
      </c>
      <c r="M88" s="41">
        <v>0</v>
      </c>
      <c r="N88" s="41">
        <v>0</v>
      </c>
      <c r="O88" s="41">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M88" s="43">
        <v>10</v>
      </c>
      <c r="AN88" s="31">
        <f>POWER(Retention2,3)</f>
        <v>0.72900000000000009</v>
      </c>
      <c r="AO88" s="41">
        <v>0</v>
      </c>
      <c r="AP88" s="41">
        <v>0</v>
      </c>
      <c r="AQ88" s="31">
        <f>POWER(Retention2,2)</f>
        <v>0.81</v>
      </c>
      <c r="AR88" s="41">
        <v>0</v>
      </c>
      <c r="AS88" s="41">
        <v>0</v>
      </c>
      <c r="AT88" s="31">
        <f>POWER(Retention2,1)</f>
        <v>0.9</v>
      </c>
      <c r="AU88" s="41">
        <v>0</v>
      </c>
      <c r="AV88" s="41">
        <v>0</v>
      </c>
      <c r="AW88" s="41">
        <v>0</v>
      </c>
      <c r="AX88" s="41">
        <v>0</v>
      </c>
      <c r="AY88" s="41">
        <v>0</v>
      </c>
      <c r="AZ88" s="41">
        <v>0</v>
      </c>
      <c r="BA88" s="41">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row>
    <row r="89" spans="1:75" x14ac:dyDescent="0.2">
      <c r="A89" s="43">
        <v>11</v>
      </c>
      <c r="B89" s="41">
        <v>0</v>
      </c>
      <c r="C89" s="31">
        <f>POWER(Retention1,3)</f>
        <v>0.72900000000000009</v>
      </c>
      <c r="D89" s="41">
        <v>0</v>
      </c>
      <c r="E89" s="41">
        <v>0</v>
      </c>
      <c r="F89" s="31">
        <f>POWER(Retention1,2)</f>
        <v>0.81</v>
      </c>
      <c r="G89" s="41">
        <v>0</v>
      </c>
      <c r="H89" s="41">
        <v>0</v>
      </c>
      <c r="I89" s="31">
        <f>POWER(Retention1,1)</f>
        <v>0.9</v>
      </c>
      <c r="J89" s="41">
        <v>0</v>
      </c>
      <c r="K89" s="41">
        <v>0</v>
      </c>
      <c r="L89" s="41">
        <v>0</v>
      </c>
      <c r="M89" s="41">
        <v>0</v>
      </c>
      <c r="N89" s="41">
        <v>0</v>
      </c>
      <c r="O89" s="41">
        <v>0</v>
      </c>
      <c r="P89" s="41">
        <v>0</v>
      </c>
      <c r="Q89" s="41">
        <v>0</v>
      </c>
      <c r="R89" s="41">
        <v>0</v>
      </c>
      <c r="S89">
        <v>0</v>
      </c>
      <c r="T89">
        <v>0</v>
      </c>
      <c r="U89">
        <v>0</v>
      </c>
      <c r="V89">
        <v>0</v>
      </c>
      <c r="W89">
        <v>0</v>
      </c>
      <c r="X89">
        <v>0</v>
      </c>
      <c r="Y89">
        <v>0</v>
      </c>
      <c r="Z89">
        <v>0</v>
      </c>
      <c r="AA89">
        <v>0</v>
      </c>
      <c r="AB89">
        <v>0</v>
      </c>
      <c r="AC89">
        <v>0</v>
      </c>
      <c r="AD89">
        <v>0</v>
      </c>
      <c r="AE89">
        <v>0</v>
      </c>
      <c r="AF89">
        <v>0</v>
      </c>
      <c r="AG89">
        <v>0</v>
      </c>
      <c r="AH89">
        <v>0</v>
      </c>
      <c r="AI89">
        <v>0</v>
      </c>
      <c r="AJ89">
        <v>0</v>
      </c>
      <c r="AK89">
        <v>0</v>
      </c>
      <c r="AM89" s="43">
        <v>11</v>
      </c>
      <c r="AN89" s="41">
        <v>0</v>
      </c>
      <c r="AO89" s="31">
        <f>POWER(Retention2,3)</f>
        <v>0.72900000000000009</v>
      </c>
      <c r="AP89" s="41">
        <v>0</v>
      </c>
      <c r="AQ89" s="41">
        <v>0</v>
      </c>
      <c r="AR89" s="31">
        <f>POWER(Retention2,2)</f>
        <v>0.81</v>
      </c>
      <c r="AS89" s="41">
        <v>0</v>
      </c>
      <c r="AT89" s="41">
        <v>0</v>
      </c>
      <c r="AU89" s="31">
        <f>POWER(Retention2,1)</f>
        <v>0.9</v>
      </c>
      <c r="AV89" s="41">
        <v>0</v>
      </c>
      <c r="AW89" s="41">
        <v>0</v>
      </c>
      <c r="AX89" s="41">
        <v>0</v>
      </c>
      <c r="AY89" s="41">
        <v>0</v>
      </c>
      <c r="AZ89" s="41">
        <v>0</v>
      </c>
      <c r="BA89" s="41">
        <v>0</v>
      </c>
      <c r="BB89" s="41">
        <v>0</v>
      </c>
      <c r="BC89" s="41">
        <v>0</v>
      </c>
      <c r="BD89" s="41">
        <v>0</v>
      </c>
      <c r="BE89">
        <v>0</v>
      </c>
      <c r="BF89">
        <v>0</v>
      </c>
      <c r="BG89">
        <v>0</v>
      </c>
      <c r="BH89">
        <v>0</v>
      </c>
      <c r="BI89">
        <v>0</v>
      </c>
      <c r="BJ89">
        <v>0</v>
      </c>
      <c r="BK89">
        <v>0</v>
      </c>
      <c r="BL89">
        <v>0</v>
      </c>
      <c r="BM89">
        <v>0</v>
      </c>
      <c r="BN89">
        <v>0</v>
      </c>
      <c r="BO89">
        <v>0</v>
      </c>
      <c r="BP89">
        <v>0</v>
      </c>
      <c r="BQ89">
        <v>0</v>
      </c>
      <c r="BR89">
        <v>0</v>
      </c>
      <c r="BS89">
        <v>0</v>
      </c>
      <c r="BT89">
        <v>0</v>
      </c>
      <c r="BU89">
        <v>0</v>
      </c>
      <c r="BV89">
        <v>0</v>
      </c>
      <c r="BW89">
        <v>0</v>
      </c>
    </row>
    <row r="90" spans="1:75" x14ac:dyDescent="0.2">
      <c r="A90" s="43">
        <v>12</v>
      </c>
      <c r="B90" s="41">
        <v>0</v>
      </c>
      <c r="C90" s="41">
        <v>0</v>
      </c>
      <c r="D90" s="31">
        <f>POWER(Retention1,3)</f>
        <v>0.72900000000000009</v>
      </c>
      <c r="E90" s="41">
        <v>0</v>
      </c>
      <c r="F90" s="41">
        <v>0</v>
      </c>
      <c r="G90" s="31">
        <f>POWER(Retention1,2)</f>
        <v>0.81</v>
      </c>
      <c r="H90" s="41">
        <v>0</v>
      </c>
      <c r="I90" s="41">
        <v>0</v>
      </c>
      <c r="J90" s="31">
        <f>POWER(Retention1,1)</f>
        <v>0.9</v>
      </c>
      <c r="K90" s="41">
        <v>0</v>
      </c>
      <c r="L90" s="41">
        <v>0</v>
      </c>
      <c r="M90" s="41">
        <v>0</v>
      </c>
      <c r="N90" s="41">
        <v>0</v>
      </c>
      <c r="O90" s="41">
        <v>0</v>
      </c>
      <c r="P90" s="41">
        <v>0</v>
      </c>
      <c r="Q90" s="41">
        <v>0</v>
      </c>
      <c r="R90" s="41">
        <v>0</v>
      </c>
      <c r="S90">
        <v>0</v>
      </c>
      <c r="T90">
        <v>0</v>
      </c>
      <c r="U90">
        <v>0</v>
      </c>
      <c r="V90">
        <v>0</v>
      </c>
      <c r="W90">
        <v>0</v>
      </c>
      <c r="X90">
        <v>0</v>
      </c>
      <c r="Y90">
        <v>0</v>
      </c>
      <c r="Z90">
        <v>0</v>
      </c>
      <c r="AA90">
        <v>0</v>
      </c>
      <c r="AB90">
        <v>0</v>
      </c>
      <c r="AC90">
        <v>0</v>
      </c>
      <c r="AD90">
        <v>0</v>
      </c>
      <c r="AE90">
        <v>0</v>
      </c>
      <c r="AF90">
        <v>0</v>
      </c>
      <c r="AG90">
        <v>0</v>
      </c>
      <c r="AH90">
        <v>0</v>
      </c>
      <c r="AI90">
        <v>0</v>
      </c>
      <c r="AJ90">
        <v>0</v>
      </c>
      <c r="AK90">
        <v>0</v>
      </c>
      <c r="AM90" s="43">
        <v>12</v>
      </c>
      <c r="AN90" s="41">
        <v>0</v>
      </c>
      <c r="AO90" s="41">
        <v>0</v>
      </c>
      <c r="AP90" s="31">
        <f>POWER(Retention2,3)</f>
        <v>0.72900000000000009</v>
      </c>
      <c r="AQ90" s="41">
        <v>0</v>
      </c>
      <c r="AR90" s="41">
        <v>0</v>
      </c>
      <c r="AS90" s="31">
        <f>POWER(Retention2,2)</f>
        <v>0.81</v>
      </c>
      <c r="AT90" s="41">
        <v>0</v>
      </c>
      <c r="AU90" s="41">
        <v>0</v>
      </c>
      <c r="AV90" s="31">
        <f>POWER(Retention2,1)</f>
        <v>0.9</v>
      </c>
      <c r="AW90" s="41">
        <v>0</v>
      </c>
      <c r="AX90" s="41">
        <v>0</v>
      </c>
      <c r="AY90" s="41">
        <v>0</v>
      </c>
      <c r="AZ90" s="41">
        <v>0</v>
      </c>
      <c r="BA90" s="41">
        <v>0</v>
      </c>
      <c r="BB90" s="41">
        <v>0</v>
      </c>
      <c r="BC90" s="41">
        <v>0</v>
      </c>
      <c r="BD90" s="41">
        <v>0</v>
      </c>
      <c r="BE90">
        <v>0</v>
      </c>
      <c r="BF90">
        <v>0</v>
      </c>
      <c r="BG90">
        <v>0</v>
      </c>
      <c r="BH90">
        <v>0</v>
      </c>
      <c r="BI90">
        <v>0</v>
      </c>
      <c r="BJ90">
        <v>0</v>
      </c>
      <c r="BK90">
        <v>0</v>
      </c>
      <c r="BL90">
        <v>0</v>
      </c>
      <c r="BM90">
        <v>0</v>
      </c>
      <c r="BN90">
        <v>0</v>
      </c>
      <c r="BO90">
        <v>0</v>
      </c>
      <c r="BP90">
        <v>0</v>
      </c>
      <c r="BQ90">
        <v>0</v>
      </c>
      <c r="BR90">
        <v>0</v>
      </c>
      <c r="BS90">
        <v>0</v>
      </c>
      <c r="BT90">
        <v>0</v>
      </c>
      <c r="BU90">
        <v>0</v>
      </c>
      <c r="BV90">
        <v>0</v>
      </c>
      <c r="BW90">
        <v>0</v>
      </c>
    </row>
    <row r="91" spans="1:75" x14ac:dyDescent="0.2">
      <c r="A91" s="43">
        <v>13</v>
      </c>
      <c r="B91" s="31">
        <f>POWER(Retention1,4)</f>
        <v>0.65610000000000013</v>
      </c>
      <c r="C91" s="41">
        <v>0</v>
      </c>
      <c r="D91" s="41">
        <v>0</v>
      </c>
      <c r="E91" s="31">
        <f>POWER(Retention1,3)</f>
        <v>0.72900000000000009</v>
      </c>
      <c r="F91" s="41">
        <v>0</v>
      </c>
      <c r="G91" s="41">
        <v>0</v>
      </c>
      <c r="H91" s="31">
        <f>POWER(Retention1,2)</f>
        <v>0.81</v>
      </c>
      <c r="I91" s="41">
        <v>0</v>
      </c>
      <c r="J91" s="41">
        <v>0</v>
      </c>
      <c r="K91" s="31">
        <f>POWER(Retention1,1)</f>
        <v>0.9</v>
      </c>
      <c r="L91" s="41">
        <v>0</v>
      </c>
      <c r="M91" s="41">
        <v>0</v>
      </c>
      <c r="N91" s="41">
        <v>0</v>
      </c>
      <c r="O91" s="41">
        <v>0</v>
      </c>
      <c r="P91" s="41">
        <v>0</v>
      </c>
      <c r="Q91" s="41">
        <v>0</v>
      </c>
      <c r="R91" s="41">
        <v>0</v>
      </c>
      <c r="S91">
        <v>0</v>
      </c>
      <c r="T91">
        <v>0</v>
      </c>
      <c r="U91">
        <v>0</v>
      </c>
      <c r="V91">
        <v>0</v>
      </c>
      <c r="W91">
        <v>0</v>
      </c>
      <c r="X91">
        <v>0</v>
      </c>
      <c r="Y91">
        <v>0</v>
      </c>
      <c r="Z91">
        <v>0</v>
      </c>
      <c r="AA91">
        <v>0</v>
      </c>
      <c r="AB91">
        <v>0</v>
      </c>
      <c r="AC91">
        <v>0</v>
      </c>
      <c r="AD91">
        <v>0</v>
      </c>
      <c r="AE91">
        <v>0</v>
      </c>
      <c r="AF91">
        <v>0</v>
      </c>
      <c r="AG91">
        <v>0</v>
      </c>
      <c r="AH91">
        <v>0</v>
      </c>
      <c r="AI91">
        <v>0</v>
      </c>
      <c r="AJ91">
        <v>0</v>
      </c>
      <c r="AK91">
        <v>0</v>
      </c>
      <c r="AM91" s="43">
        <v>13</v>
      </c>
      <c r="AN91" s="31">
        <f>POWER(Retention2,4)</f>
        <v>0.65610000000000013</v>
      </c>
      <c r="AO91" s="41">
        <v>0</v>
      </c>
      <c r="AP91" s="41">
        <v>0</v>
      </c>
      <c r="AQ91" s="31">
        <f>POWER(Retention2,3)</f>
        <v>0.72900000000000009</v>
      </c>
      <c r="AR91" s="41">
        <v>0</v>
      </c>
      <c r="AS91" s="41">
        <v>0</v>
      </c>
      <c r="AT91" s="31">
        <f>POWER(Retention2,2)</f>
        <v>0.81</v>
      </c>
      <c r="AU91" s="41">
        <v>0</v>
      </c>
      <c r="AV91" s="41">
        <v>0</v>
      </c>
      <c r="AW91" s="31">
        <f>POWER(Retention2,1)</f>
        <v>0.9</v>
      </c>
      <c r="AX91" s="41">
        <v>0</v>
      </c>
      <c r="AY91" s="41">
        <v>0</v>
      </c>
      <c r="AZ91" s="41">
        <v>0</v>
      </c>
      <c r="BA91" s="41">
        <v>0</v>
      </c>
      <c r="BB91" s="41">
        <v>0</v>
      </c>
      <c r="BC91" s="41">
        <v>0</v>
      </c>
      <c r="BD91" s="41">
        <v>0</v>
      </c>
      <c r="BE91">
        <v>0</v>
      </c>
      <c r="BF91">
        <v>0</v>
      </c>
      <c r="BG91">
        <v>0</v>
      </c>
      <c r="BH91">
        <v>0</v>
      </c>
      <c r="BI91">
        <v>0</v>
      </c>
      <c r="BJ91">
        <v>0</v>
      </c>
      <c r="BK91">
        <v>0</v>
      </c>
      <c r="BL91">
        <v>0</v>
      </c>
      <c r="BM91">
        <v>0</v>
      </c>
      <c r="BN91">
        <v>0</v>
      </c>
      <c r="BO91">
        <v>0</v>
      </c>
      <c r="BP91">
        <v>0</v>
      </c>
      <c r="BQ91">
        <v>0</v>
      </c>
      <c r="BR91">
        <v>0</v>
      </c>
      <c r="BS91">
        <v>0</v>
      </c>
      <c r="BT91">
        <v>0</v>
      </c>
      <c r="BU91">
        <v>0</v>
      </c>
      <c r="BV91">
        <v>0</v>
      </c>
      <c r="BW91">
        <v>0</v>
      </c>
    </row>
    <row r="92" spans="1:75" x14ac:dyDescent="0.2">
      <c r="A92" s="43">
        <v>14</v>
      </c>
      <c r="B92" s="41">
        <v>0</v>
      </c>
      <c r="C92" s="31">
        <f>POWER(Retention1,4)</f>
        <v>0.65610000000000013</v>
      </c>
      <c r="D92" s="41">
        <v>0</v>
      </c>
      <c r="E92" s="41">
        <v>0</v>
      </c>
      <c r="F92" s="31">
        <f>POWER(Retention1,3)</f>
        <v>0.72900000000000009</v>
      </c>
      <c r="G92" s="41">
        <v>0</v>
      </c>
      <c r="H92" s="41">
        <v>0</v>
      </c>
      <c r="I92" s="31">
        <f>POWER(Retention1,2)</f>
        <v>0.81</v>
      </c>
      <c r="J92" s="41">
        <v>0</v>
      </c>
      <c r="K92" s="41">
        <v>0</v>
      </c>
      <c r="L92" s="31">
        <f>POWER(Retention1,1)</f>
        <v>0.9</v>
      </c>
      <c r="M92" s="41">
        <v>0</v>
      </c>
      <c r="N92" s="41">
        <v>0</v>
      </c>
      <c r="O92" s="41">
        <v>0</v>
      </c>
      <c r="P92" s="41">
        <v>0</v>
      </c>
      <c r="Q92" s="41">
        <v>0</v>
      </c>
      <c r="R92" s="41">
        <v>0</v>
      </c>
      <c r="S92" s="41">
        <v>0</v>
      </c>
      <c r="T92" s="41">
        <v>0</v>
      </c>
      <c r="U92" s="41">
        <v>0</v>
      </c>
      <c r="V92" s="41">
        <v>0</v>
      </c>
      <c r="W92" s="41">
        <v>0</v>
      </c>
      <c r="X92" s="41">
        <v>0</v>
      </c>
      <c r="Y92" s="41">
        <v>0</v>
      </c>
      <c r="Z92" s="41">
        <v>0</v>
      </c>
      <c r="AA92" s="41">
        <v>0</v>
      </c>
      <c r="AB92" s="41">
        <v>0</v>
      </c>
      <c r="AC92" s="41">
        <v>0</v>
      </c>
      <c r="AD92">
        <v>0</v>
      </c>
      <c r="AE92">
        <v>0</v>
      </c>
      <c r="AF92">
        <v>0</v>
      </c>
      <c r="AG92">
        <v>0</v>
      </c>
      <c r="AH92">
        <v>0</v>
      </c>
      <c r="AI92">
        <v>0</v>
      </c>
      <c r="AJ92">
        <v>0</v>
      </c>
      <c r="AK92">
        <v>0</v>
      </c>
      <c r="AM92" s="43">
        <v>14</v>
      </c>
      <c r="AN92" s="41">
        <v>0</v>
      </c>
      <c r="AO92" s="31">
        <f>POWER(Retention2,4)</f>
        <v>0.65610000000000013</v>
      </c>
      <c r="AP92" s="41">
        <v>0</v>
      </c>
      <c r="AQ92" s="41">
        <v>0</v>
      </c>
      <c r="AR92" s="31">
        <f>POWER(Retention2,3)</f>
        <v>0.72900000000000009</v>
      </c>
      <c r="AS92" s="41">
        <v>0</v>
      </c>
      <c r="AT92" s="41">
        <v>0</v>
      </c>
      <c r="AU92" s="31">
        <f>POWER(Retention2,2)</f>
        <v>0.81</v>
      </c>
      <c r="AV92" s="41">
        <v>0</v>
      </c>
      <c r="AW92" s="41">
        <v>0</v>
      </c>
      <c r="AX92" s="31">
        <f>POWER(Retention2,1)</f>
        <v>0.9</v>
      </c>
      <c r="AY92" s="41">
        <v>0</v>
      </c>
      <c r="AZ92" s="41">
        <v>0</v>
      </c>
      <c r="BA92" s="41">
        <v>0</v>
      </c>
      <c r="BB92" s="41">
        <v>0</v>
      </c>
      <c r="BC92" s="41">
        <v>0</v>
      </c>
      <c r="BD92" s="41">
        <v>0</v>
      </c>
      <c r="BE92" s="41">
        <v>0</v>
      </c>
      <c r="BF92" s="41">
        <v>0</v>
      </c>
      <c r="BG92" s="41">
        <v>0</v>
      </c>
      <c r="BH92" s="41">
        <v>0</v>
      </c>
      <c r="BI92" s="41">
        <v>0</v>
      </c>
      <c r="BJ92" s="41">
        <v>0</v>
      </c>
      <c r="BK92" s="41">
        <v>0</v>
      </c>
      <c r="BL92" s="41">
        <v>0</v>
      </c>
      <c r="BM92" s="41">
        <v>0</v>
      </c>
      <c r="BN92" s="41">
        <v>0</v>
      </c>
      <c r="BO92" s="41">
        <v>0</v>
      </c>
      <c r="BP92">
        <v>0</v>
      </c>
      <c r="BQ92">
        <v>0</v>
      </c>
      <c r="BR92">
        <v>0</v>
      </c>
      <c r="BS92">
        <v>0</v>
      </c>
      <c r="BT92">
        <v>0</v>
      </c>
      <c r="BU92">
        <v>0</v>
      </c>
      <c r="BV92">
        <v>0</v>
      </c>
      <c r="BW92">
        <v>0</v>
      </c>
    </row>
    <row r="93" spans="1:75" x14ac:dyDescent="0.2">
      <c r="A93" s="43">
        <v>15</v>
      </c>
      <c r="B93" s="41">
        <v>0</v>
      </c>
      <c r="C93" s="41">
        <v>0</v>
      </c>
      <c r="D93" s="31">
        <f>POWER(Retention1,4)</f>
        <v>0.65610000000000013</v>
      </c>
      <c r="E93" s="41">
        <v>0</v>
      </c>
      <c r="F93" s="41">
        <v>0</v>
      </c>
      <c r="G93" s="31">
        <f>POWER(Retention1,3)</f>
        <v>0.72900000000000009</v>
      </c>
      <c r="H93" s="41">
        <v>0</v>
      </c>
      <c r="I93" s="41">
        <v>0</v>
      </c>
      <c r="J93" s="31">
        <f>POWER(Retention1,2)</f>
        <v>0.81</v>
      </c>
      <c r="K93" s="41">
        <v>0</v>
      </c>
      <c r="L93" s="41">
        <v>0</v>
      </c>
      <c r="M93" s="31">
        <f>POWER(Retention1,1)</f>
        <v>0.9</v>
      </c>
      <c r="N93" s="41">
        <v>0</v>
      </c>
      <c r="O93" s="41">
        <v>0</v>
      </c>
      <c r="P93" s="41">
        <v>0</v>
      </c>
      <c r="Q93" s="41">
        <v>0</v>
      </c>
      <c r="R93" s="41">
        <v>0</v>
      </c>
      <c r="S93" s="41">
        <v>0</v>
      </c>
      <c r="T93" s="41">
        <v>0</v>
      </c>
      <c r="U93" s="41">
        <v>0</v>
      </c>
      <c r="V93" s="41">
        <v>0</v>
      </c>
      <c r="W93" s="41">
        <v>0</v>
      </c>
      <c r="X93" s="41">
        <v>0</v>
      </c>
      <c r="Y93" s="41">
        <v>0</v>
      </c>
      <c r="Z93" s="41">
        <v>0</v>
      </c>
      <c r="AA93" s="41">
        <v>0</v>
      </c>
      <c r="AB93" s="41">
        <v>0</v>
      </c>
      <c r="AC93" s="41">
        <v>0</v>
      </c>
      <c r="AD93">
        <v>0</v>
      </c>
      <c r="AE93">
        <v>0</v>
      </c>
      <c r="AF93">
        <v>0</v>
      </c>
      <c r="AG93">
        <v>0</v>
      </c>
      <c r="AH93">
        <v>0</v>
      </c>
      <c r="AI93">
        <v>0</v>
      </c>
      <c r="AJ93">
        <v>0</v>
      </c>
      <c r="AK93">
        <v>0</v>
      </c>
      <c r="AM93" s="43">
        <v>15</v>
      </c>
      <c r="AN93" s="41">
        <v>0</v>
      </c>
      <c r="AO93" s="41">
        <v>0</v>
      </c>
      <c r="AP93" s="31">
        <f>POWER(Retention2,4)</f>
        <v>0.65610000000000013</v>
      </c>
      <c r="AQ93" s="41">
        <v>0</v>
      </c>
      <c r="AR93" s="41">
        <v>0</v>
      </c>
      <c r="AS93" s="31">
        <f>POWER(Retention2,3)</f>
        <v>0.72900000000000009</v>
      </c>
      <c r="AT93" s="41">
        <v>0</v>
      </c>
      <c r="AU93" s="41">
        <v>0</v>
      </c>
      <c r="AV93" s="31">
        <f>POWER(Retention2,2)</f>
        <v>0.81</v>
      </c>
      <c r="AW93" s="41">
        <v>0</v>
      </c>
      <c r="AX93" s="41">
        <v>0</v>
      </c>
      <c r="AY93" s="31">
        <f>POWER(Retention2,1)</f>
        <v>0.9</v>
      </c>
      <c r="AZ93" s="41">
        <v>0</v>
      </c>
      <c r="BA93" s="41">
        <v>0</v>
      </c>
      <c r="BB93" s="41">
        <v>0</v>
      </c>
      <c r="BC93" s="41">
        <v>0</v>
      </c>
      <c r="BD93" s="41">
        <v>0</v>
      </c>
      <c r="BE93" s="41">
        <v>0</v>
      </c>
      <c r="BF93" s="41">
        <v>0</v>
      </c>
      <c r="BG93" s="41">
        <v>0</v>
      </c>
      <c r="BH93" s="41">
        <v>0</v>
      </c>
      <c r="BI93" s="41">
        <v>0</v>
      </c>
      <c r="BJ93" s="41">
        <v>0</v>
      </c>
      <c r="BK93" s="41">
        <v>0</v>
      </c>
      <c r="BL93" s="41">
        <v>0</v>
      </c>
      <c r="BM93" s="41">
        <v>0</v>
      </c>
      <c r="BN93" s="41">
        <v>0</v>
      </c>
      <c r="BO93" s="41">
        <v>0</v>
      </c>
      <c r="BP93">
        <v>0</v>
      </c>
      <c r="BQ93">
        <v>0</v>
      </c>
      <c r="BR93">
        <v>0</v>
      </c>
      <c r="BS93">
        <v>0</v>
      </c>
      <c r="BT93">
        <v>0</v>
      </c>
      <c r="BU93">
        <v>0</v>
      </c>
      <c r="BV93">
        <v>0</v>
      </c>
      <c r="BW93">
        <v>0</v>
      </c>
    </row>
    <row r="94" spans="1:75" x14ac:dyDescent="0.2">
      <c r="A94" s="43">
        <v>16</v>
      </c>
      <c r="B94" s="31">
        <f>POWER(Retention1,5)</f>
        <v>0.59049000000000018</v>
      </c>
      <c r="C94" s="41">
        <v>0</v>
      </c>
      <c r="D94" s="41">
        <v>0</v>
      </c>
      <c r="E94" s="31">
        <f>POWER(Retention1,4)</f>
        <v>0.65610000000000013</v>
      </c>
      <c r="F94" s="41">
        <v>0</v>
      </c>
      <c r="G94" s="41">
        <v>0</v>
      </c>
      <c r="H94" s="31">
        <f>POWER(Retention1,3)</f>
        <v>0.72900000000000009</v>
      </c>
      <c r="I94" s="41">
        <v>0</v>
      </c>
      <c r="J94" s="41">
        <v>0</v>
      </c>
      <c r="K94" s="31">
        <f>POWER(Retention1,2)</f>
        <v>0.81</v>
      </c>
      <c r="L94" s="41">
        <v>0</v>
      </c>
      <c r="M94" s="41">
        <v>0</v>
      </c>
      <c r="N94" s="31">
        <f>POWER(Retention1,1)</f>
        <v>0.9</v>
      </c>
      <c r="O94" s="41">
        <v>0</v>
      </c>
      <c r="P94" s="41">
        <v>0</v>
      </c>
      <c r="Q94" s="41">
        <v>0</v>
      </c>
      <c r="R94" s="41">
        <v>0</v>
      </c>
      <c r="S94" s="41">
        <v>0</v>
      </c>
      <c r="T94" s="41">
        <v>0</v>
      </c>
      <c r="U94" s="41">
        <v>0</v>
      </c>
      <c r="V94" s="41">
        <v>0</v>
      </c>
      <c r="W94" s="41">
        <v>0</v>
      </c>
      <c r="X94" s="41">
        <v>0</v>
      </c>
      <c r="Y94" s="41">
        <v>0</v>
      </c>
      <c r="Z94" s="41">
        <v>0</v>
      </c>
      <c r="AA94" s="41">
        <v>0</v>
      </c>
      <c r="AB94" s="41">
        <v>0</v>
      </c>
      <c r="AC94" s="41">
        <v>0</v>
      </c>
      <c r="AD94">
        <v>0</v>
      </c>
      <c r="AE94">
        <v>0</v>
      </c>
      <c r="AF94">
        <v>0</v>
      </c>
      <c r="AG94">
        <v>0</v>
      </c>
      <c r="AH94">
        <v>0</v>
      </c>
      <c r="AI94">
        <v>0</v>
      </c>
      <c r="AJ94">
        <v>0</v>
      </c>
      <c r="AK94">
        <v>0</v>
      </c>
      <c r="AM94" s="43">
        <v>16</v>
      </c>
      <c r="AN94" s="31">
        <f>POWER(Retention2,5)</f>
        <v>0.59049000000000018</v>
      </c>
      <c r="AO94" s="41">
        <v>0</v>
      </c>
      <c r="AP94" s="41">
        <v>0</v>
      </c>
      <c r="AQ94" s="31">
        <f>POWER(Retention2,4)</f>
        <v>0.65610000000000013</v>
      </c>
      <c r="AR94" s="41">
        <v>0</v>
      </c>
      <c r="AS94" s="41">
        <v>0</v>
      </c>
      <c r="AT94" s="31">
        <f>POWER(Retention2,3)</f>
        <v>0.72900000000000009</v>
      </c>
      <c r="AU94" s="41">
        <v>0</v>
      </c>
      <c r="AV94" s="41">
        <v>0</v>
      </c>
      <c r="AW94" s="31">
        <f>POWER(Retention2,2)</f>
        <v>0.81</v>
      </c>
      <c r="AX94" s="41">
        <v>0</v>
      </c>
      <c r="AY94" s="41">
        <v>0</v>
      </c>
      <c r="AZ94" s="31">
        <f>POWER(Retention2,1)</f>
        <v>0.9</v>
      </c>
      <c r="BA94" s="41">
        <v>0</v>
      </c>
      <c r="BB94" s="41">
        <v>0</v>
      </c>
      <c r="BC94" s="41">
        <v>0</v>
      </c>
      <c r="BD94" s="41">
        <v>0</v>
      </c>
      <c r="BE94" s="41">
        <v>0</v>
      </c>
      <c r="BF94" s="41">
        <v>0</v>
      </c>
      <c r="BG94" s="41">
        <v>0</v>
      </c>
      <c r="BH94" s="41">
        <v>0</v>
      </c>
      <c r="BI94" s="41">
        <v>0</v>
      </c>
      <c r="BJ94" s="41">
        <v>0</v>
      </c>
      <c r="BK94" s="41">
        <v>0</v>
      </c>
      <c r="BL94" s="41">
        <v>0</v>
      </c>
      <c r="BM94" s="41">
        <v>0</v>
      </c>
      <c r="BN94" s="41">
        <v>0</v>
      </c>
      <c r="BO94" s="41">
        <v>0</v>
      </c>
      <c r="BP94">
        <v>0</v>
      </c>
      <c r="BQ94">
        <v>0</v>
      </c>
      <c r="BR94">
        <v>0</v>
      </c>
      <c r="BS94">
        <v>0</v>
      </c>
      <c r="BT94">
        <v>0</v>
      </c>
      <c r="BU94">
        <v>0</v>
      </c>
      <c r="BV94">
        <v>0</v>
      </c>
      <c r="BW94">
        <v>0</v>
      </c>
    </row>
    <row r="95" spans="1:75" x14ac:dyDescent="0.2">
      <c r="A95" s="43">
        <v>17</v>
      </c>
      <c r="B95" s="41">
        <v>0</v>
      </c>
      <c r="C95" s="31">
        <f>POWER(Retention1,5)</f>
        <v>0.59049000000000018</v>
      </c>
      <c r="D95" s="41">
        <v>0</v>
      </c>
      <c r="E95" s="41">
        <v>0</v>
      </c>
      <c r="F95" s="31">
        <f>POWER(Retention1,4)</f>
        <v>0.65610000000000013</v>
      </c>
      <c r="G95" s="41">
        <v>0</v>
      </c>
      <c r="H95" s="41">
        <v>0</v>
      </c>
      <c r="I95" s="31">
        <f>POWER(Retention1,3)</f>
        <v>0.72900000000000009</v>
      </c>
      <c r="J95" s="41">
        <v>0</v>
      </c>
      <c r="K95" s="41">
        <v>0</v>
      </c>
      <c r="L95" s="31">
        <f>POWER(Retention1,2)</f>
        <v>0.81</v>
      </c>
      <c r="M95" s="41">
        <v>0</v>
      </c>
      <c r="N95" s="41">
        <v>0</v>
      </c>
      <c r="O95" s="31">
        <f>POWER(Retention1,1)</f>
        <v>0.9</v>
      </c>
      <c r="P95" s="41">
        <v>0</v>
      </c>
      <c r="Q95" s="41">
        <v>0</v>
      </c>
      <c r="R95" s="41">
        <v>0</v>
      </c>
      <c r="S95" s="41">
        <v>0</v>
      </c>
      <c r="T95" s="41">
        <v>0</v>
      </c>
      <c r="U95" s="41">
        <v>0</v>
      </c>
      <c r="V95" s="41">
        <v>0</v>
      </c>
      <c r="W95" s="41">
        <v>0</v>
      </c>
      <c r="X95" s="41">
        <v>0</v>
      </c>
      <c r="Y95" s="41">
        <v>0</v>
      </c>
      <c r="Z95" s="41">
        <v>0</v>
      </c>
      <c r="AA95" s="41">
        <v>0</v>
      </c>
      <c r="AB95" s="41">
        <v>0</v>
      </c>
      <c r="AC95" s="41">
        <v>0</v>
      </c>
      <c r="AD95">
        <v>0</v>
      </c>
      <c r="AE95">
        <v>0</v>
      </c>
      <c r="AF95">
        <v>0</v>
      </c>
      <c r="AG95">
        <v>0</v>
      </c>
      <c r="AH95">
        <v>0</v>
      </c>
      <c r="AI95">
        <v>0</v>
      </c>
      <c r="AJ95">
        <v>0</v>
      </c>
      <c r="AK95">
        <v>0</v>
      </c>
      <c r="AM95" s="43">
        <v>17</v>
      </c>
      <c r="AN95" s="41">
        <v>0</v>
      </c>
      <c r="AO95" s="31">
        <f>POWER(Retention2,5)</f>
        <v>0.59049000000000018</v>
      </c>
      <c r="AP95" s="41">
        <v>0</v>
      </c>
      <c r="AQ95" s="41">
        <v>0</v>
      </c>
      <c r="AR95" s="31">
        <f>POWER(Retention2,4)</f>
        <v>0.65610000000000013</v>
      </c>
      <c r="AS95" s="41">
        <v>0</v>
      </c>
      <c r="AT95" s="41">
        <v>0</v>
      </c>
      <c r="AU95" s="31">
        <f>POWER(Retention2,3)</f>
        <v>0.72900000000000009</v>
      </c>
      <c r="AV95" s="41">
        <v>0</v>
      </c>
      <c r="AW95" s="41">
        <v>0</v>
      </c>
      <c r="AX95" s="31">
        <f>POWER(Retention2,2)</f>
        <v>0.81</v>
      </c>
      <c r="AY95" s="41">
        <v>0</v>
      </c>
      <c r="AZ95" s="41">
        <v>0</v>
      </c>
      <c r="BA95" s="31">
        <f>POWER(Retention2,1)</f>
        <v>0.9</v>
      </c>
      <c r="BB95" s="41">
        <v>0</v>
      </c>
      <c r="BC95" s="41">
        <v>0</v>
      </c>
      <c r="BD95" s="41">
        <v>0</v>
      </c>
      <c r="BE95" s="41">
        <v>0</v>
      </c>
      <c r="BF95" s="41">
        <v>0</v>
      </c>
      <c r="BG95" s="41">
        <v>0</v>
      </c>
      <c r="BH95" s="41">
        <v>0</v>
      </c>
      <c r="BI95" s="41">
        <v>0</v>
      </c>
      <c r="BJ95" s="41">
        <v>0</v>
      </c>
      <c r="BK95" s="41">
        <v>0</v>
      </c>
      <c r="BL95" s="41">
        <v>0</v>
      </c>
      <c r="BM95" s="41">
        <v>0</v>
      </c>
      <c r="BN95" s="41">
        <v>0</v>
      </c>
      <c r="BO95" s="41">
        <v>0</v>
      </c>
      <c r="BP95">
        <v>0</v>
      </c>
      <c r="BQ95">
        <v>0</v>
      </c>
      <c r="BR95">
        <v>0</v>
      </c>
      <c r="BS95">
        <v>0</v>
      </c>
      <c r="BT95">
        <v>0</v>
      </c>
      <c r="BU95">
        <v>0</v>
      </c>
      <c r="BV95">
        <v>0</v>
      </c>
      <c r="BW95">
        <v>0</v>
      </c>
    </row>
    <row r="96" spans="1:75" x14ac:dyDescent="0.2">
      <c r="A96" s="43">
        <v>18</v>
      </c>
      <c r="B96" s="41">
        <v>0</v>
      </c>
      <c r="C96" s="41">
        <v>0</v>
      </c>
      <c r="D96" s="31">
        <f>POWER(Retention1,5)</f>
        <v>0.59049000000000018</v>
      </c>
      <c r="E96" s="41">
        <v>0</v>
      </c>
      <c r="F96" s="41">
        <v>0</v>
      </c>
      <c r="G96" s="31">
        <f>POWER(Retention1,4)</f>
        <v>0.65610000000000013</v>
      </c>
      <c r="H96" s="41">
        <v>0</v>
      </c>
      <c r="I96" s="41">
        <v>0</v>
      </c>
      <c r="J96" s="31">
        <f>POWER(Retention1,3)</f>
        <v>0.72900000000000009</v>
      </c>
      <c r="K96" s="41">
        <v>0</v>
      </c>
      <c r="L96" s="41">
        <v>0</v>
      </c>
      <c r="M96" s="31">
        <f>POWER(Retention1,2)</f>
        <v>0.81</v>
      </c>
      <c r="N96" s="41">
        <v>0</v>
      </c>
      <c r="O96" s="41">
        <v>0</v>
      </c>
      <c r="P96" s="31">
        <f>POWER(Retention1,1)</f>
        <v>0.9</v>
      </c>
      <c r="Q96" s="41">
        <v>0</v>
      </c>
      <c r="R96" s="41">
        <v>0</v>
      </c>
      <c r="S96" s="41">
        <v>0</v>
      </c>
      <c r="T96" s="41">
        <v>0</v>
      </c>
      <c r="U96" s="41">
        <v>0</v>
      </c>
      <c r="V96" s="41">
        <v>0</v>
      </c>
      <c r="W96" s="41">
        <v>0</v>
      </c>
      <c r="X96" s="41">
        <v>0</v>
      </c>
      <c r="Y96" s="41">
        <v>0</v>
      </c>
      <c r="Z96" s="41">
        <v>0</v>
      </c>
      <c r="AA96" s="41">
        <v>0</v>
      </c>
      <c r="AB96" s="41">
        <v>0</v>
      </c>
      <c r="AC96" s="41">
        <v>0</v>
      </c>
      <c r="AD96">
        <v>0</v>
      </c>
      <c r="AE96">
        <v>0</v>
      </c>
      <c r="AF96">
        <v>0</v>
      </c>
      <c r="AG96">
        <v>0</v>
      </c>
      <c r="AH96">
        <v>0</v>
      </c>
      <c r="AI96">
        <v>0</v>
      </c>
      <c r="AJ96">
        <v>0</v>
      </c>
      <c r="AK96">
        <v>0</v>
      </c>
      <c r="AM96" s="43">
        <v>18</v>
      </c>
      <c r="AN96" s="41">
        <v>0</v>
      </c>
      <c r="AO96" s="41">
        <v>0</v>
      </c>
      <c r="AP96" s="31">
        <f>POWER(Retention2,5)</f>
        <v>0.59049000000000018</v>
      </c>
      <c r="AQ96" s="41">
        <v>0</v>
      </c>
      <c r="AR96" s="41">
        <v>0</v>
      </c>
      <c r="AS96" s="31">
        <f>POWER(Retention2,4)</f>
        <v>0.65610000000000013</v>
      </c>
      <c r="AT96" s="41">
        <v>0</v>
      </c>
      <c r="AU96" s="41">
        <v>0</v>
      </c>
      <c r="AV96" s="31">
        <f>POWER(Retention2,3)</f>
        <v>0.72900000000000009</v>
      </c>
      <c r="AW96" s="41">
        <v>0</v>
      </c>
      <c r="AX96" s="41">
        <v>0</v>
      </c>
      <c r="AY96" s="31">
        <f>POWER(Retention2,2)</f>
        <v>0.81</v>
      </c>
      <c r="AZ96" s="41">
        <v>0</v>
      </c>
      <c r="BA96" s="41">
        <v>0</v>
      </c>
      <c r="BB96" s="31">
        <f>POWER(Retention2,1)</f>
        <v>0.9</v>
      </c>
      <c r="BC96" s="41">
        <v>0</v>
      </c>
      <c r="BD96" s="41">
        <v>0</v>
      </c>
      <c r="BE96" s="41">
        <v>0</v>
      </c>
      <c r="BF96" s="41">
        <v>0</v>
      </c>
      <c r="BG96" s="41">
        <v>0</v>
      </c>
      <c r="BH96" s="41">
        <v>0</v>
      </c>
      <c r="BI96" s="41">
        <v>0</v>
      </c>
      <c r="BJ96" s="41">
        <v>0</v>
      </c>
      <c r="BK96" s="41">
        <v>0</v>
      </c>
      <c r="BL96" s="41">
        <v>0</v>
      </c>
      <c r="BM96" s="41">
        <v>0</v>
      </c>
      <c r="BN96" s="41">
        <v>0</v>
      </c>
      <c r="BO96" s="41">
        <v>0</v>
      </c>
      <c r="BP96">
        <v>0</v>
      </c>
      <c r="BQ96">
        <v>0</v>
      </c>
      <c r="BR96">
        <v>0</v>
      </c>
      <c r="BS96">
        <v>0</v>
      </c>
      <c r="BT96">
        <v>0</v>
      </c>
      <c r="BU96">
        <v>0</v>
      </c>
      <c r="BV96">
        <v>0</v>
      </c>
      <c r="BW96">
        <v>0</v>
      </c>
    </row>
    <row r="97" spans="1:75" x14ac:dyDescent="0.2">
      <c r="A97" s="43">
        <v>19</v>
      </c>
      <c r="B97" s="31">
        <f>POWER(Retention1,6)</f>
        <v>0.53144100000000016</v>
      </c>
      <c r="C97" s="41">
        <v>0</v>
      </c>
      <c r="D97" s="41">
        <v>0</v>
      </c>
      <c r="E97" s="31">
        <f>POWER(Retention1,5)</f>
        <v>0.59049000000000018</v>
      </c>
      <c r="F97" s="41">
        <v>0</v>
      </c>
      <c r="G97" s="41">
        <v>0</v>
      </c>
      <c r="H97" s="31">
        <f>POWER(Retention1,4)</f>
        <v>0.65610000000000013</v>
      </c>
      <c r="I97" s="41">
        <v>0</v>
      </c>
      <c r="J97" s="41">
        <v>0</v>
      </c>
      <c r="K97" s="31">
        <f>POWER(Retention1,3)</f>
        <v>0.72900000000000009</v>
      </c>
      <c r="L97" s="41">
        <v>0</v>
      </c>
      <c r="M97" s="41">
        <v>0</v>
      </c>
      <c r="N97" s="31">
        <f>POWER(Retention1,2)</f>
        <v>0.81</v>
      </c>
      <c r="O97" s="41">
        <v>0</v>
      </c>
      <c r="P97" s="41">
        <v>0</v>
      </c>
      <c r="Q97" s="31">
        <f>POWER(Retention1,1)</f>
        <v>0.9</v>
      </c>
      <c r="R97" s="41">
        <v>0</v>
      </c>
      <c r="S97" s="41">
        <v>0</v>
      </c>
      <c r="T97" s="41">
        <v>0</v>
      </c>
      <c r="U97" s="41">
        <v>0</v>
      </c>
      <c r="V97" s="41">
        <v>0</v>
      </c>
      <c r="W97" s="41">
        <v>0</v>
      </c>
      <c r="X97" s="41">
        <v>0</v>
      </c>
      <c r="Y97" s="41">
        <v>0</v>
      </c>
      <c r="Z97" s="41">
        <v>0</v>
      </c>
      <c r="AA97" s="41">
        <v>0</v>
      </c>
      <c r="AB97" s="41">
        <v>0</v>
      </c>
      <c r="AC97" s="41">
        <v>0</v>
      </c>
      <c r="AD97">
        <v>0</v>
      </c>
      <c r="AE97">
        <v>0</v>
      </c>
      <c r="AF97">
        <v>0</v>
      </c>
      <c r="AG97">
        <v>0</v>
      </c>
      <c r="AH97">
        <v>0</v>
      </c>
      <c r="AI97">
        <v>0</v>
      </c>
      <c r="AJ97">
        <v>0</v>
      </c>
      <c r="AK97">
        <v>0</v>
      </c>
      <c r="AM97" s="43">
        <v>19</v>
      </c>
      <c r="AN97" s="31">
        <f>POWER(Retention2,6)</f>
        <v>0.53144100000000016</v>
      </c>
      <c r="AO97" s="41">
        <v>0</v>
      </c>
      <c r="AP97" s="41">
        <v>0</v>
      </c>
      <c r="AQ97" s="31">
        <f>POWER(Retention2,5)</f>
        <v>0.59049000000000018</v>
      </c>
      <c r="AR97" s="41">
        <v>0</v>
      </c>
      <c r="AS97" s="41">
        <v>0</v>
      </c>
      <c r="AT97" s="31">
        <f>POWER(Retention2,4)</f>
        <v>0.65610000000000013</v>
      </c>
      <c r="AU97" s="41">
        <v>0</v>
      </c>
      <c r="AV97" s="41">
        <v>0</v>
      </c>
      <c r="AW97" s="31">
        <f>POWER(Retention2,3)</f>
        <v>0.72900000000000009</v>
      </c>
      <c r="AX97" s="41">
        <v>0</v>
      </c>
      <c r="AY97" s="41">
        <v>0</v>
      </c>
      <c r="AZ97" s="31">
        <f>POWER(Retention2,2)</f>
        <v>0.81</v>
      </c>
      <c r="BA97" s="41">
        <v>0</v>
      </c>
      <c r="BB97" s="41">
        <v>0</v>
      </c>
      <c r="BC97" s="31">
        <f>POWER(Retention2,1)</f>
        <v>0.9</v>
      </c>
      <c r="BD97" s="41">
        <v>0</v>
      </c>
      <c r="BE97" s="41">
        <v>0</v>
      </c>
      <c r="BF97" s="41">
        <v>0</v>
      </c>
      <c r="BG97" s="41">
        <v>0</v>
      </c>
      <c r="BH97" s="41">
        <v>0</v>
      </c>
      <c r="BI97" s="41">
        <v>0</v>
      </c>
      <c r="BJ97" s="41">
        <v>0</v>
      </c>
      <c r="BK97" s="41">
        <v>0</v>
      </c>
      <c r="BL97" s="41">
        <v>0</v>
      </c>
      <c r="BM97" s="41">
        <v>0</v>
      </c>
      <c r="BN97" s="41">
        <v>0</v>
      </c>
      <c r="BO97" s="41">
        <v>0</v>
      </c>
      <c r="BP97">
        <v>0</v>
      </c>
      <c r="BQ97">
        <v>0</v>
      </c>
      <c r="BR97">
        <v>0</v>
      </c>
      <c r="BS97">
        <v>0</v>
      </c>
      <c r="BT97">
        <v>0</v>
      </c>
      <c r="BU97">
        <v>0</v>
      </c>
      <c r="BV97">
        <v>0</v>
      </c>
      <c r="BW97">
        <v>0</v>
      </c>
    </row>
    <row r="98" spans="1:75" x14ac:dyDescent="0.2">
      <c r="A98" s="43">
        <v>20</v>
      </c>
      <c r="B98" s="41">
        <v>0</v>
      </c>
      <c r="C98" s="31">
        <f>POWER(Retention1,6)</f>
        <v>0.53144100000000016</v>
      </c>
      <c r="D98" s="41">
        <v>0</v>
      </c>
      <c r="E98" s="41">
        <v>0</v>
      </c>
      <c r="F98" s="31">
        <f>POWER(Retention1,5)</f>
        <v>0.59049000000000018</v>
      </c>
      <c r="G98" s="41">
        <v>0</v>
      </c>
      <c r="H98" s="41">
        <v>0</v>
      </c>
      <c r="I98" s="31">
        <f>POWER(Retention1,4)</f>
        <v>0.65610000000000013</v>
      </c>
      <c r="J98" s="41">
        <v>0</v>
      </c>
      <c r="K98" s="41">
        <v>0</v>
      </c>
      <c r="L98" s="31">
        <f>POWER(Retention1,3)</f>
        <v>0.72900000000000009</v>
      </c>
      <c r="M98" s="41">
        <v>0</v>
      </c>
      <c r="N98" s="41">
        <v>0</v>
      </c>
      <c r="O98" s="31">
        <f>POWER(Retention1,2)</f>
        <v>0.81</v>
      </c>
      <c r="P98" s="41">
        <v>0</v>
      </c>
      <c r="Q98" s="41">
        <v>0</v>
      </c>
      <c r="R98" s="31">
        <f>POWER(Retention1,1)</f>
        <v>0.9</v>
      </c>
      <c r="S98" s="41">
        <v>0</v>
      </c>
      <c r="T98" s="41">
        <v>0</v>
      </c>
      <c r="U98" s="41">
        <v>0</v>
      </c>
      <c r="V98" s="41">
        <v>0</v>
      </c>
      <c r="W98" s="41">
        <v>0</v>
      </c>
      <c r="X98" s="41">
        <v>0</v>
      </c>
      <c r="Y98" s="41">
        <v>0</v>
      </c>
      <c r="Z98" s="41">
        <v>0</v>
      </c>
      <c r="AA98" s="41">
        <v>0</v>
      </c>
      <c r="AB98" s="41">
        <v>0</v>
      </c>
      <c r="AC98" s="41">
        <v>0</v>
      </c>
      <c r="AD98">
        <v>0</v>
      </c>
      <c r="AE98">
        <v>0</v>
      </c>
      <c r="AF98">
        <v>0</v>
      </c>
      <c r="AG98">
        <v>0</v>
      </c>
      <c r="AH98">
        <v>0</v>
      </c>
      <c r="AI98">
        <v>0</v>
      </c>
      <c r="AJ98">
        <v>0</v>
      </c>
      <c r="AK98">
        <v>0</v>
      </c>
      <c r="AM98" s="43">
        <v>20</v>
      </c>
      <c r="AN98" s="41">
        <v>0</v>
      </c>
      <c r="AO98" s="31">
        <f>POWER(Retention2,6)</f>
        <v>0.53144100000000016</v>
      </c>
      <c r="AP98" s="41">
        <v>0</v>
      </c>
      <c r="AQ98" s="41">
        <v>0</v>
      </c>
      <c r="AR98" s="31">
        <f>POWER(Retention2,5)</f>
        <v>0.59049000000000018</v>
      </c>
      <c r="AS98" s="41">
        <v>0</v>
      </c>
      <c r="AT98" s="41">
        <v>0</v>
      </c>
      <c r="AU98" s="31">
        <f>POWER(Retention2,4)</f>
        <v>0.65610000000000013</v>
      </c>
      <c r="AV98" s="41">
        <v>0</v>
      </c>
      <c r="AW98" s="41">
        <v>0</v>
      </c>
      <c r="AX98" s="31">
        <f>POWER(Retention2,3)</f>
        <v>0.72900000000000009</v>
      </c>
      <c r="AY98" s="41">
        <v>0</v>
      </c>
      <c r="AZ98" s="41">
        <v>0</v>
      </c>
      <c r="BA98" s="31">
        <f>POWER(Retention2,2)</f>
        <v>0.81</v>
      </c>
      <c r="BB98" s="41">
        <v>0</v>
      </c>
      <c r="BC98" s="41">
        <v>0</v>
      </c>
      <c r="BD98" s="31">
        <f>POWER(Retention2,1)</f>
        <v>0.9</v>
      </c>
      <c r="BE98" s="41">
        <v>0</v>
      </c>
      <c r="BF98" s="41">
        <v>0</v>
      </c>
      <c r="BG98" s="41">
        <v>0</v>
      </c>
      <c r="BH98" s="41">
        <v>0</v>
      </c>
      <c r="BI98" s="41">
        <v>0</v>
      </c>
      <c r="BJ98" s="41">
        <v>0</v>
      </c>
      <c r="BK98" s="41">
        <v>0</v>
      </c>
      <c r="BL98" s="41">
        <v>0</v>
      </c>
      <c r="BM98" s="41">
        <v>0</v>
      </c>
      <c r="BN98" s="41">
        <v>0</v>
      </c>
      <c r="BO98" s="41">
        <v>0</v>
      </c>
      <c r="BP98">
        <v>0</v>
      </c>
      <c r="BQ98">
        <v>0</v>
      </c>
      <c r="BR98">
        <v>0</v>
      </c>
      <c r="BS98">
        <v>0</v>
      </c>
      <c r="BT98">
        <v>0</v>
      </c>
      <c r="BU98">
        <v>0</v>
      </c>
      <c r="BV98">
        <v>0</v>
      </c>
      <c r="BW98">
        <v>0</v>
      </c>
    </row>
    <row r="99" spans="1:75" x14ac:dyDescent="0.2">
      <c r="A99" s="43">
        <v>21</v>
      </c>
      <c r="B99" s="41">
        <v>0</v>
      </c>
      <c r="C99" s="41">
        <v>0</v>
      </c>
      <c r="D99" s="31">
        <f>POWER(Retention1,6)</f>
        <v>0.53144100000000016</v>
      </c>
      <c r="E99" s="41">
        <v>0</v>
      </c>
      <c r="F99" s="41">
        <v>0</v>
      </c>
      <c r="G99" s="31">
        <f>POWER(Retention1,5)</f>
        <v>0.59049000000000018</v>
      </c>
      <c r="H99" s="41">
        <v>0</v>
      </c>
      <c r="I99" s="41">
        <v>0</v>
      </c>
      <c r="J99" s="31">
        <f>POWER(Retention1,4)</f>
        <v>0.65610000000000013</v>
      </c>
      <c r="K99" s="41">
        <v>0</v>
      </c>
      <c r="L99" s="41">
        <v>0</v>
      </c>
      <c r="M99" s="31">
        <f>POWER(Retention1,3)</f>
        <v>0.72900000000000009</v>
      </c>
      <c r="N99" s="41">
        <v>0</v>
      </c>
      <c r="O99" s="41">
        <v>0</v>
      </c>
      <c r="P99" s="31">
        <f>POWER(Retention1,2)</f>
        <v>0.81</v>
      </c>
      <c r="Q99" s="41">
        <v>0</v>
      </c>
      <c r="R99" s="41">
        <v>0</v>
      </c>
      <c r="S99" s="31">
        <f>POWER(Retention1,1)</f>
        <v>0.9</v>
      </c>
      <c r="T99" s="41">
        <v>0</v>
      </c>
      <c r="U99" s="41">
        <v>0</v>
      </c>
      <c r="V99" s="41">
        <v>0</v>
      </c>
      <c r="W99" s="41">
        <v>0</v>
      </c>
      <c r="X99" s="41">
        <v>0</v>
      </c>
      <c r="Y99" s="41">
        <v>0</v>
      </c>
      <c r="Z99" s="41">
        <v>0</v>
      </c>
      <c r="AA99" s="41">
        <v>0</v>
      </c>
      <c r="AB99" s="41">
        <v>0</v>
      </c>
      <c r="AC99" s="41">
        <v>0</v>
      </c>
      <c r="AD99">
        <v>0</v>
      </c>
      <c r="AE99">
        <v>0</v>
      </c>
      <c r="AF99">
        <v>0</v>
      </c>
      <c r="AG99">
        <v>0</v>
      </c>
      <c r="AH99">
        <v>0</v>
      </c>
      <c r="AI99">
        <v>0</v>
      </c>
      <c r="AJ99">
        <v>0</v>
      </c>
      <c r="AK99">
        <v>0</v>
      </c>
      <c r="AM99" s="43">
        <v>21</v>
      </c>
      <c r="AN99" s="41">
        <v>0</v>
      </c>
      <c r="AO99" s="41">
        <v>0</v>
      </c>
      <c r="AP99" s="31">
        <f>POWER(Retention2,6)</f>
        <v>0.53144100000000016</v>
      </c>
      <c r="AQ99" s="41">
        <v>0</v>
      </c>
      <c r="AR99" s="41">
        <v>0</v>
      </c>
      <c r="AS99" s="31">
        <f>POWER(Retention2,5)</f>
        <v>0.59049000000000018</v>
      </c>
      <c r="AT99" s="41">
        <v>0</v>
      </c>
      <c r="AU99" s="41">
        <v>0</v>
      </c>
      <c r="AV99" s="31">
        <f>POWER(Retention2,4)</f>
        <v>0.65610000000000013</v>
      </c>
      <c r="AW99" s="41">
        <v>0</v>
      </c>
      <c r="AX99" s="41">
        <v>0</v>
      </c>
      <c r="AY99" s="31">
        <f>POWER(Retention2,3)</f>
        <v>0.72900000000000009</v>
      </c>
      <c r="AZ99" s="41">
        <v>0</v>
      </c>
      <c r="BA99" s="41">
        <v>0</v>
      </c>
      <c r="BB99" s="31">
        <f>POWER(Retention2,2)</f>
        <v>0.81</v>
      </c>
      <c r="BC99" s="41">
        <v>0</v>
      </c>
      <c r="BD99" s="41">
        <v>0</v>
      </c>
      <c r="BE99" s="31">
        <f>POWER(Retention2,1)</f>
        <v>0.9</v>
      </c>
      <c r="BF99" s="41">
        <v>0</v>
      </c>
      <c r="BG99" s="41">
        <v>0</v>
      </c>
      <c r="BH99" s="41">
        <v>0</v>
      </c>
      <c r="BI99" s="41">
        <v>0</v>
      </c>
      <c r="BJ99" s="41">
        <v>0</v>
      </c>
      <c r="BK99" s="41">
        <v>0</v>
      </c>
      <c r="BL99" s="41">
        <v>0</v>
      </c>
      <c r="BM99" s="41">
        <v>0</v>
      </c>
      <c r="BN99" s="41">
        <v>0</v>
      </c>
      <c r="BO99" s="41">
        <v>0</v>
      </c>
      <c r="BP99">
        <v>0</v>
      </c>
      <c r="BQ99">
        <v>0</v>
      </c>
      <c r="BR99">
        <v>0</v>
      </c>
      <c r="BS99">
        <v>0</v>
      </c>
      <c r="BT99">
        <v>0</v>
      </c>
      <c r="BU99">
        <v>0</v>
      </c>
      <c r="BV99">
        <v>0</v>
      </c>
      <c r="BW99">
        <v>0</v>
      </c>
    </row>
    <row r="100" spans="1:75" x14ac:dyDescent="0.2">
      <c r="A100" s="43">
        <v>22</v>
      </c>
      <c r="B100" s="31">
        <f>POWER(Retention1,7)</f>
        <v>0.47829690000000014</v>
      </c>
      <c r="C100" s="41">
        <v>0</v>
      </c>
      <c r="D100" s="41">
        <v>0</v>
      </c>
      <c r="E100" s="31">
        <f>POWER(Retention1,6)</f>
        <v>0.53144100000000016</v>
      </c>
      <c r="F100" s="41">
        <v>0</v>
      </c>
      <c r="G100" s="41">
        <v>0</v>
      </c>
      <c r="H100" s="31">
        <f>POWER(Retention1,5)</f>
        <v>0.59049000000000018</v>
      </c>
      <c r="I100" s="41">
        <v>0</v>
      </c>
      <c r="J100" s="41">
        <v>0</v>
      </c>
      <c r="K100" s="31">
        <f>POWER(Retention1,4)</f>
        <v>0.65610000000000013</v>
      </c>
      <c r="L100" s="41">
        <v>0</v>
      </c>
      <c r="M100" s="41">
        <v>0</v>
      </c>
      <c r="N100" s="31">
        <f>POWER(Retention1,3)</f>
        <v>0.72900000000000009</v>
      </c>
      <c r="O100" s="41">
        <v>0</v>
      </c>
      <c r="P100" s="41">
        <v>0</v>
      </c>
      <c r="Q100" s="31">
        <f>POWER(Retention1,2)</f>
        <v>0.81</v>
      </c>
      <c r="R100" s="41">
        <v>0</v>
      </c>
      <c r="S100" s="41">
        <v>0</v>
      </c>
      <c r="T100" s="31">
        <f>POWER(Retention1,1)</f>
        <v>0.9</v>
      </c>
      <c r="U100" s="41">
        <v>0</v>
      </c>
      <c r="V100" s="41">
        <v>0</v>
      </c>
      <c r="W100" s="41">
        <v>0</v>
      </c>
      <c r="X100" s="41">
        <v>0</v>
      </c>
      <c r="Y100" s="41">
        <v>0</v>
      </c>
      <c r="Z100" s="41">
        <v>0</v>
      </c>
      <c r="AA100" s="41">
        <v>0</v>
      </c>
      <c r="AB100" s="41">
        <v>0</v>
      </c>
      <c r="AC100" s="41">
        <v>0</v>
      </c>
      <c r="AD100">
        <v>0</v>
      </c>
      <c r="AE100">
        <v>0</v>
      </c>
      <c r="AF100">
        <v>0</v>
      </c>
      <c r="AG100">
        <v>0</v>
      </c>
      <c r="AH100">
        <v>0</v>
      </c>
      <c r="AI100">
        <v>0</v>
      </c>
      <c r="AJ100">
        <v>0</v>
      </c>
      <c r="AK100">
        <v>0</v>
      </c>
      <c r="AM100" s="43">
        <v>22</v>
      </c>
      <c r="AN100" s="31">
        <f>POWER(Retention2,7)</f>
        <v>0.47829690000000014</v>
      </c>
      <c r="AO100" s="41">
        <v>0</v>
      </c>
      <c r="AP100" s="41">
        <v>0</v>
      </c>
      <c r="AQ100" s="31">
        <f>POWER(Retention2,6)</f>
        <v>0.53144100000000016</v>
      </c>
      <c r="AR100" s="41">
        <v>0</v>
      </c>
      <c r="AS100" s="41">
        <v>0</v>
      </c>
      <c r="AT100" s="31">
        <f>POWER(Retention2,5)</f>
        <v>0.59049000000000018</v>
      </c>
      <c r="AU100" s="41">
        <v>0</v>
      </c>
      <c r="AV100" s="41">
        <v>0</v>
      </c>
      <c r="AW100" s="31">
        <f>POWER(Retention2,4)</f>
        <v>0.65610000000000013</v>
      </c>
      <c r="AX100" s="41">
        <v>0</v>
      </c>
      <c r="AY100" s="41">
        <v>0</v>
      </c>
      <c r="AZ100" s="31">
        <f>POWER(Retention2,3)</f>
        <v>0.72900000000000009</v>
      </c>
      <c r="BA100" s="41">
        <v>0</v>
      </c>
      <c r="BB100" s="41">
        <v>0</v>
      </c>
      <c r="BC100" s="31">
        <f>POWER(Retention2,2)</f>
        <v>0.81</v>
      </c>
      <c r="BD100" s="41">
        <v>0</v>
      </c>
      <c r="BE100" s="41">
        <v>0</v>
      </c>
      <c r="BF100" s="31">
        <f>POWER(Retention2,1)</f>
        <v>0.9</v>
      </c>
      <c r="BG100" s="41">
        <v>0</v>
      </c>
      <c r="BH100" s="41">
        <v>0</v>
      </c>
      <c r="BI100" s="41">
        <v>0</v>
      </c>
      <c r="BJ100" s="41">
        <v>0</v>
      </c>
      <c r="BK100" s="41">
        <v>0</v>
      </c>
      <c r="BL100" s="41">
        <v>0</v>
      </c>
      <c r="BM100" s="41">
        <v>0</v>
      </c>
      <c r="BN100" s="41">
        <v>0</v>
      </c>
      <c r="BO100" s="41">
        <v>0</v>
      </c>
      <c r="BP100">
        <v>0</v>
      </c>
      <c r="BQ100">
        <v>0</v>
      </c>
      <c r="BR100">
        <v>0</v>
      </c>
      <c r="BS100">
        <v>0</v>
      </c>
      <c r="BT100">
        <v>0</v>
      </c>
      <c r="BU100">
        <v>0</v>
      </c>
      <c r="BV100">
        <v>0</v>
      </c>
      <c r="BW100">
        <v>0</v>
      </c>
    </row>
    <row r="101" spans="1:75" x14ac:dyDescent="0.2">
      <c r="A101" s="43">
        <v>23</v>
      </c>
      <c r="B101" s="41">
        <v>0</v>
      </c>
      <c r="C101" s="31">
        <f>POWER(Retention1,7)</f>
        <v>0.47829690000000014</v>
      </c>
      <c r="D101" s="41">
        <v>0</v>
      </c>
      <c r="E101" s="41">
        <v>0</v>
      </c>
      <c r="F101" s="31">
        <f>POWER(Retention1,6)</f>
        <v>0.53144100000000016</v>
      </c>
      <c r="G101" s="41">
        <v>0</v>
      </c>
      <c r="H101" s="41">
        <v>0</v>
      </c>
      <c r="I101" s="31">
        <f>POWER(Retention1,5)</f>
        <v>0.59049000000000018</v>
      </c>
      <c r="J101" s="41">
        <v>0</v>
      </c>
      <c r="K101" s="41">
        <v>0</v>
      </c>
      <c r="L101" s="31">
        <f>POWER(Retention1,4)</f>
        <v>0.65610000000000013</v>
      </c>
      <c r="M101" s="41">
        <v>0</v>
      </c>
      <c r="N101" s="41">
        <v>0</v>
      </c>
      <c r="O101" s="31">
        <f>POWER(Retention1,3)</f>
        <v>0.72900000000000009</v>
      </c>
      <c r="P101" s="41">
        <v>0</v>
      </c>
      <c r="Q101" s="41">
        <v>0</v>
      </c>
      <c r="R101" s="31">
        <f>POWER(Retention1,2)</f>
        <v>0.81</v>
      </c>
      <c r="S101" s="41">
        <v>0</v>
      </c>
      <c r="T101" s="41">
        <v>0</v>
      </c>
      <c r="U101" s="31">
        <f>POWER(Retention1,1)</f>
        <v>0.9</v>
      </c>
      <c r="V101" s="41">
        <v>0</v>
      </c>
      <c r="W101" s="41">
        <v>0</v>
      </c>
      <c r="X101" s="41">
        <v>0</v>
      </c>
      <c r="Y101" s="41">
        <v>0</v>
      </c>
      <c r="Z101" s="41">
        <v>0</v>
      </c>
      <c r="AA101" s="41">
        <v>0</v>
      </c>
      <c r="AB101" s="41">
        <v>0</v>
      </c>
      <c r="AC101" s="41">
        <v>0</v>
      </c>
      <c r="AD101">
        <v>0</v>
      </c>
      <c r="AE101">
        <v>0</v>
      </c>
      <c r="AF101">
        <v>0</v>
      </c>
      <c r="AG101">
        <v>0</v>
      </c>
      <c r="AH101">
        <v>0</v>
      </c>
      <c r="AI101">
        <v>0</v>
      </c>
      <c r="AJ101">
        <v>0</v>
      </c>
      <c r="AK101">
        <v>0</v>
      </c>
      <c r="AM101" s="43">
        <v>23</v>
      </c>
      <c r="AN101" s="41">
        <v>0</v>
      </c>
      <c r="AO101" s="31">
        <f>POWER(Retention2,7)</f>
        <v>0.47829690000000014</v>
      </c>
      <c r="AP101" s="41">
        <v>0</v>
      </c>
      <c r="AQ101" s="41">
        <v>0</v>
      </c>
      <c r="AR101" s="31">
        <f>POWER(Retention2,6)</f>
        <v>0.53144100000000016</v>
      </c>
      <c r="AS101" s="41">
        <v>0</v>
      </c>
      <c r="AT101" s="41">
        <v>0</v>
      </c>
      <c r="AU101" s="31">
        <f>POWER(Retention2,5)</f>
        <v>0.59049000000000018</v>
      </c>
      <c r="AV101" s="41">
        <v>0</v>
      </c>
      <c r="AW101" s="41">
        <v>0</v>
      </c>
      <c r="AX101" s="31">
        <f>POWER(Retention2,4)</f>
        <v>0.65610000000000013</v>
      </c>
      <c r="AY101" s="41">
        <v>0</v>
      </c>
      <c r="AZ101" s="41">
        <v>0</v>
      </c>
      <c r="BA101" s="31">
        <f>POWER(Retention2,3)</f>
        <v>0.72900000000000009</v>
      </c>
      <c r="BB101" s="41">
        <v>0</v>
      </c>
      <c r="BC101" s="41">
        <v>0</v>
      </c>
      <c r="BD101" s="31">
        <f>POWER(Retention2,2)</f>
        <v>0.81</v>
      </c>
      <c r="BE101" s="41">
        <v>0</v>
      </c>
      <c r="BF101" s="41">
        <v>0</v>
      </c>
      <c r="BG101" s="31">
        <f>POWER(Retention2,1)</f>
        <v>0.9</v>
      </c>
      <c r="BH101" s="41">
        <v>0</v>
      </c>
      <c r="BI101" s="41">
        <v>0</v>
      </c>
      <c r="BJ101" s="41">
        <v>0</v>
      </c>
      <c r="BK101" s="41">
        <v>0</v>
      </c>
      <c r="BL101" s="41">
        <v>0</v>
      </c>
      <c r="BM101" s="41">
        <v>0</v>
      </c>
      <c r="BN101" s="41">
        <v>0</v>
      </c>
      <c r="BO101" s="41">
        <v>0</v>
      </c>
      <c r="BP101">
        <v>0</v>
      </c>
      <c r="BQ101">
        <v>0</v>
      </c>
      <c r="BR101">
        <v>0</v>
      </c>
      <c r="BS101">
        <v>0</v>
      </c>
      <c r="BT101">
        <v>0</v>
      </c>
      <c r="BU101">
        <v>0</v>
      </c>
      <c r="BV101">
        <v>0</v>
      </c>
      <c r="BW101">
        <v>0</v>
      </c>
    </row>
    <row r="102" spans="1:75" x14ac:dyDescent="0.2">
      <c r="A102" s="43">
        <v>24</v>
      </c>
      <c r="B102" s="41">
        <v>0</v>
      </c>
      <c r="C102" s="41">
        <v>0</v>
      </c>
      <c r="D102" s="31">
        <f>POWER(Retention1,7)</f>
        <v>0.47829690000000014</v>
      </c>
      <c r="E102" s="41">
        <v>0</v>
      </c>
      <c r="F102" s="41">
        <v>0</v>
      </c>
      <c r="G102" s="31">
        <f>POWER(Retention1,6)</f>
        <v>0.53144100000000016</v>
      </c>
      <c r="H102" s="41">
        <v>0</v>
      </c>
      <c r="I102" s="41">
        <v>0</v>
      </c>
      <c r="J102" s="31">
        <f>POWER(Retention1,5)</f>
        <v>0.59049000000000018</v>
      </c>
      <c r="K102" s="41">
        <v>0</v>
      </c>
      <c r="L102" s="41">
        <v>0</v>
      </c>
      <c r="M102" s="31">
        <f>POWER(Retention1,4)</f>
        <v>0.65610000000000013</v>
      </c>
      <c r="N102" s="41">
        <v>0</v>
      </c>
      <c r="O102" s="41">
        <v>0</v>
      </c>
      <c r="P102" s="31">
        <f>POWER(Retention1,3)</f>
        <v>0.72900000000000009</v>
      </c>
      <c r="Q102" s="41">
        <v>0</v>
      </c>
      <c r="R102" s="41">
        <v>0</v>
      </c>
      <c r="S102" s="31">
        <f>POWER(Retention1,2)</f>
        <v>0.81</v>
      </c>
      <c r="T102" s="41">
        <v>0</v>
      </c>
      <c r="U102" s="41">
        <v>0</v>
      </c>
      <c r="V102" s="31">
        <f>POWER(Retention1,1)</f>
        <v>0.9</v>
      </c>
      <c r="W102" s="41">
        <v>0</v>
      </c>
      <c r="X102" s="41">
        <v>0</v>
      </c>
      <c r="Y102" s="41">
        <v>0</v>
      </c>
      <c r="Z102" s="41">
        <v>0</v>
      </c>
      <c r="AA102" s="41">
        <v>0</v>
      </c>
      <c r="AB102" s="41">
        <v>0</v>
      </c>
      <c r="AC102" s="41">
        <v>0</v>
      </c>
      <c r="AD102">
        <v>0</v>
      </c>
      <c r="AE102">
        <v>0</v>
      </c>
      <c r="AF102">
        <v>0</v>
      </c>
      <c r="AG102">
        <v>0</v>
      </c>
      <c r="AH102">
        <v>0</v>
      </c>
      <c r="AI102">
        <v>0</v>
      </c>
      <c r="AJ102">
        <v>0</v>
      </c>
      <c r="AK102">
        <v>0</v>
      </c>
      <c r="AM102" s="43">
        <v>24</v>
      </c>
      <c r="AN102" s="41">
        <v>0</v>
      </c>
      <c r="AO102" s="41">
        <v>0</v>
      </c>
      <c r="AP102" s="31">
        <f>POWER(Retention2,7)</f>
        <v>0.47829690000000014</v>
      </c>
      <c r="AQ102" s="41">
        <v>0</v>
      </c>
      <c r="AR102" s="41">
        <v>0</v>
      </c>
      <c r="AS102" s="31">
        <f>POWER(Retention2,6)</f>
        <v>0.53144100000000016</v>
      </c>
      <c r="AT102" s="41">
        <v>0</v>
      </c>
      <c r="AU102" s="41">
        <v>0</v>
      </c>
      <c r="AV102" s="31">
        <f>POWER(Retention2,5)</f>
        <v>0.59049000000000018</v>
      </c>
      <c r="AW102" s="41">
        <v>0</v>
      </c>
      <c r="AX102" s="41">
        <v>0</v>
      </c>
      <c r="AY102" s="31">
        <f>POWER(Retention2,4)</f>
        <v>0.65610000000000013</v>
      </c>
      <c r="AZ102" s="41">
        <v>0</v>
      </c>
      <c r="BA102" s="41">
        <v>0</v>
      </c>
      <c r="BB102" s="31">
        <f>POWER(Retention2,3)</f>
        <v>0.72900000000000009</v>
      </c>
      <c r="BC102" s="41">
        <v>0</v>
      </c>
      <c r="BD102" s="41">
        <v>0</v>
      </c>
      <c r="BE102" s="31">
        <f>POWER(Retention2,2)</f>
        <v>0.81</v>
      </c>
      <c r="BF102" s="41">
        <v>0</v>
      </c>
      <c r="BG102" s="41">
        <v>0</v>
      </c>
      <c r="BH102" s="31">
        <f>POWER(Retention2,1)</f>
        <v>0.9</v>
      </c>
      <c r="BI102" s="41">
        <v>0</v>
      </c>
      <c r="BJ102" s="41">
        <v>0</v>
      </c>
      <c r="BK102" s="41">
        <v>0</v>
      </c>
      <c r="BL102" s="41">
        <v>0</v>
      </c>
      <c r="BM102" s="41">
        <v>0</v>
      </c>
      <c r="BN102" s="41">
        <v>0</v>
      </c>
      <c r="BO102" s="41">
        <v>0</v>
      </c>
      <c r="BP102">
        <v>0</v>
      </c>
      <c r="BQ102">
        <v>0</v>
      </c>
      <c r="BR102">
        <v>0</v>
      </c>
      <c r="BS102">
        <v>0</v>
      </c>
      <c r="BT102">
        <v>0</v>
      </c>
      <c r="BU102">
        <v>0</v>
      </c>
      <c r="BV102">
        <v>0</v>
      </c>
      <c r="BW102">
        <v>0</v>
      </c>
    </row>
    <row r="103" spans="1:75" x14ac:dyDescent="0.2">
      <c r="A103" s="43">
        <v>25</v>
      </c>
      <c r="B103" s="31">
        <f>POWER(Retention1,8)</f>
        <v>0.43046721000000016</v>
      </c>
      <c r="C103" s="41">
        <v>0</v>
      </c>
      <c r="D103" s="41">
        <v>0</v>
      </c>
      <c r="E103" s="31">
        <f>POWER(Retention1,7)</f>
        <v>0.47829690000000014</v>
      </c>
      <c r="F103" s="41">
        <v>0</v>
      </c>
      <c r="G103" s="41">
        <v>0</v>
      </c>
      <c r="H103" s="31">
        <f>POWER(Retention1,6)</f>
        <v>0.53144100000000016</v>
      </c>
      <c r="I103" s="41">
        <v>0</v>
      </c>
      <c r="J103" s="41">
        <v>0</v>
      </c>
      <c r="K103" s="31">
        <f>POWER(Retention1,5)</f>
        <v>0.59049000000000018</v>
      </c>
      <c r="L103" s="41">
        <v>0</v>
      </c>
      <c r="M103" s="41">
        <v>0</v>
      </c>
      <c r="N103" s="31">
        <f>POWER(Retention1,4)</f>
        <v>0.65610000000000013</v>
      </c>
      <c r="O103" s="41">
        <v>0</v>
      </c>
      <c r="P103" s="41">
        <v>0</v>
      </c>
      <c r="Q103" s="31">
        <f>POWER(Retention1,3)</f>
        <v>0.72900000000000009</v>
      </c>
      <c r="R103" s="41">
        <v>0</v>
      </c>
      <c r="S103" s="41">
        <v>0</v>
      </c>
      <c r="T103" s="31">
        <f>POWER(Retention1,2)</f>
        <v>0.81</v>
      </c>
      <c r="U103" s="41">
        <v>0</v>
      </c>
      <c r="V103" s="41">
        <v>0</v>
      </c>
      <c r="W103" s="31">
        <f>POWER(Retention1,1)</f>
        <v>0.9</v>
      </c>
      <c r="X103" s="41">
        <v>0</v>
      </c>
      <c r="Y103" s="41">
        <v>0</v>
      </c>
      <c r="Z103" s="41">
        <v>0</v>
      </c>
      <c r="AA103" s="41">
        <v>0</v>
      </c>
      <c r="AB103" s="41">
        <v>0</v>
      </c>
      <c r="AC103" s="41">
        <v>0</v>
      </c>
      <c r="AD103">
        <v>0</v>
      </c>
      <c r="AE103">
        <v>0</v>
      </c>
      <c r="AF103">
        <v>0</v>
      </c>
      <c r="AG103">
        <v>0</v>
      </c>
      <c r="AH103">
        <v>0</v>
      </c>
      <c r="AI103">
        <v>0</v>
      </c>
      <c r="AJ103">
        <v>0</v>
      </c>
      <c r="AK103">
        <v>0</v>
      </c>
      <c r="AM103" s="43">
        <v>25</v>
      </c>
      <c r="AN103" s="31">
        <f>POWER(Retention2,8)</f>
        <v>0.43046721000000016</v>
      </c>
      <c r="AO103" s="41">
        <v>0</v>
      </c>
      <c r="AP103" s="41">
        <v>0</v>
      </c>
      <c r="AQ103" s="31">
        <f>POWER(Retention2,7)</f>
        <v>0.47829690000000014</v>
      </c>
      <c r="AR103" s="41">
        <v>0</v>
      </c>
      <c r="AS103" s="41">
        <v>0</v>
      </c>
      <c r="AT103" s="31">
        <f>POWER(Retention2,6)</f>
        <v>0.53144100000000016</v>
      </c>
      <c r="AU103" s="41">
        <v>0</v>
      </c>
      <c r="AV103" s="41">
        <v>0</v>
      </c>
      <c r="AW103" s="31">
        <f>POWER(Retention2,5)</f>
        <v>0.59049000000000018</v>
      </c>
      <c r="AX103" s="41">
        <v>0</v>
      </c>
      <c r="AY103" s="41">
        <v>0</v>
      </c>
      <c r="AZ103" s="31">
        <f>POWER(Retention2,4)</f>
        <v>0.65610000000000013</v>
      </c>
      <c r="BA103" s="41">
        <v>0</v>
      </c>
      <c r="BB103" s="41">
        <v>0</v>
      </c>
      <c r="BC103" s="31">
        <f>POWER(Retention2,3)</f>
        <v>0.72900000000000009</v>
      </c>
      <c r="BD103" s="41">
        <v>0</v>
      </c>
      <c r="BE103" s="41">
        <v>0</v>
      </c>
      <c r="BF103" s="31">
        <f>POWER(Retention2,2)</f>
        <v>0.81</v>
      </c>
      <c r="BG103" s="41">
        <v>0</v>
      </c>
      <c r="BH103" s="41">
        <v>0</v>
      </c>
      <c r="BI103" s="31">
        <f>POWER(Retention2,1)</f>
        <v>0.9</v>
      </c>
      <c r="BJ103" s="41">
        <v>0</v>
      </c>
      <c r="BK103" s="41">
        <v>0</v>
      </c>
      <c r="BL103" s="41">
        <v>0</v>
      </c>
      <c r="BM103" s="41">
        <v>0</v>
      </c>
      <c r="BN103" s="41">
        <v>0</v>
      </c>
      <c r="BO103" s="41">
        <v>0</v>
      </c>
      <c r="BP103">
        <v>0</v>
      </c>
      <c r="BQ103">
        <v>0</v>
      </c>
      <c r="BR103">
        <v>0</v>
      </c>
      <c r="BS103">
        <v>0</v>
      </c>
      <c r="BT103">
        <v>0</v>
      </c>
      <c r="BU103">
        <v>0</v>
      </c>
      <c r="BV103">
        <v>0</v>
      </c>
      <c r="BW103">
        <v>0</v>
      </c>
    </row>
    <row r="104" spans="1:75" x14ac:dyDescent="0.2">
      <c r="A104" s="43">
        <v>26</v>
      </c>
      <c r="B104" s="41">
        <v>0</v>
      </c>
      <c r="C104" s="31">
        <f>POWER(Retention1,8)</f>
        <v>0.43046721000000016</v>
      </c>
      <c r="D104" s="41">
        <v>0</v>
      </c>
      <c r="E104" s="41">
        <v>0</v>
      </c>
      <c r="F104" s="31">
        <f>POWER(Retention1,7)</f>
        <v>0.47829690000000014</v>
      </c>
      <c r="G104" s="41">
        <v>0</v>
      </c>
      <c r="H104" s="41">
        <v>0</v>
      </c>
      <c r="I104" s="31">
        <f>POWER(Retention1,6)</f>
        <v>0.53144100000000016</v>
      </c>
      <c r="J104" s="41">
        <v>0</v>
      </c>
      <c r="K104" s="41">
        <v>0</v>
      </c>
      <c r="L104" s="31">
        <f>POWER(Retention1,5)</f>
        <v>0.59049000000000018</v>
      </c>
      <c r="M104" s="41">
        <v>0</v>
      </c>
      <c r="N104" s="41">
        <v>0</v>
      </c>
      <c r="O104" s="31">
        <f>POWER(Retention1,4)</f>
        <v>0.65610000000000013</v>
      </c>
      <c r="P104" s="41">
        <v>0</v>
      </c>
      <c r="Q104" s="41">
        <v>0</v>
      </c>
      <c r="R104" s="31">
        <f>POWER(Retention1,3)</f>
        <v>0.72900000000000009</v>
      </c>
      <c r="S104" s="41">
        <v>0</v>
      </c>
      <c r="T104" s="41">
        <v>0</v>
      </c>
      <c r="U104" s="31">
        <f>POWER(Retention1,2)</f>
        <v>0.81</v>
      </c>
      <c r="V104" s="41">
        <v>0</v>
      </c>
      <c r="W104" s="41">
        <v>0</v>
      </c>
      <c r="X104" s="31">
        <f>POWER(Retention1,1)</f>
        <v>0.9</v>
      </c>
      <c r="Y104" s="41">
        <v>0</v>
      </c>
      <c r="Z104" s="41">
        <v>0</v>
      </c>
      <c r="AA104" s="41">
        <v>0</v>
      </c>
      <c r="AB104" s="41">
        <v>0</v>
      </c>
      <c r="AC104" s="41">
        <v>0</v>
      </c>
      <c r="AD104">
        <v>0</v>
      </c>
      <c r="AE104">
        <v>0</v>
      </c>
      <c r="AF104">
        <v>0</v>
      </c>
      <c r="AG104">
        <v>0</v>
      </c>
      <c r="AH104">
        <v>0</v>
      </c>
      <c r="AI104">
        <v>0</v>
      </c>
      <c r="AJ104">
        <v>0</v>
      </c>
      <c r="AK104">
        <v>0</v>
      </c>
      <c r="AM104" s="43">
        <v>26</v>
      </c>
      <c r="AN104" s="41">
        <v>0</v>
      </c>
      <c r="AO104" s="31">
        <f>POWER(Retention2,8)</f>
        <v>0.43046721000000016</v>
      </c>
      <c r="AP104" s="41">
        <v>0</v>
      </c>
      <c r="AQ104" s="41">
        <v>0</v>
      </c>
      <c r="AR104" s="31">
        <f>POWER(Retention2,7)</f>
        <v>0.47829690000000014</v>
      </c>
      <c r="AS104" s="41">
        <v>0</v>
      </c>
      <c r="AT104" s="41">
        <v>0</v>
      </c>
      <c r="AU104" s="31">
        <f>POWER(Retention2,6)</f>
        <v>0.53144100000000016</v>
      </c>
      <c r="AV104" s="41">
        <v>0</v>
      </c>
      <c r="AW104" s="41">
        <v>0</v>
      </c>
      <c r="AX104" s="31">
        <f>POWER(Retention2,5)</f>
        <v>0.59049000000000018</v>
      </c>
      <c r="AY104" s="41">
        <v>0</v>
      </c>
      <c r="AZ104" s="41">
        <v>0</v>
      </c>
      <c r="BA104" s="31">
        <f>POWER(Retention2,4)</f>
        <v>0.65610000000000013</v>
      </c>
      <c r="BB104" s="41">
        <v>0</v>
      </c>
      <c r="BC104" s="41">
        <v>0</v>
      </c>
      <c r="BD104" s="31">
        <f>POWER(Retention2,3)</f>
        <v>0.72900000000000009</v>
      </c>
      <c r="BE104" s="41">
        <v>0</v>
      </c>
      <c r="BF104" s="41">
        <v>0</v>
      </c>
      <c r="BG104" s="31">
        <f>POWER(Retention2,2)</f>
        <v>0.81</v>
      </c>
      <c r="BH104" s="41">
        <v>0</v>
      </c>
      <c r="BI104" s="41">
        <v>0</v>
      </c>
      <c r="BJ104" s="31">
        <f>POWER(Retention2,1)</f>
        <v>0.9</v>
      </c>
      <c r="BK104" s="41">
        <v>0</v>
      </c>
      <c r="BL104" s="41">
        <v>0</v>
      </c>
      <c r="BM104" s="41">
        <v>0</v>
      </c>
      <c r="BN104" s="41">
        <v>0</v>
      </c>
      <c r="BO104" s="41">
        <v>0</v>
      </c>
      <c r="BP104">
        <v>0</v>
      </c>
      <c r="BQ104">
        <v>0</v>
      </c>
      <c r="BR104">
        <v>0</v>
      </c>
      <c r="BS104">
        <v>0</v>
      </c>
      <c r="BT104">
        <v>0</v>
      </c>
      <c r="BU104">
        <v>0</v>
      </c>
      <c r="BV104">
        <v>0</v>
      </c>
      <c r="BW104">
        <v>0</v>
      </c>
    </row>
    <row r="105" spans="1:75" x14ac:dyDescent="0.2">
      <c r="A105" s="43">
        <v>27</v>
      </c>
      <c r="B105" s="41">
        <v>0</v>
      </c>
      <c r="C105" s="41">
        <v>0</v>
      </c>
      <c r="D105" s="31">
        <f>POWER(Retention1,8)</f>
        <v>0.43046721000000016</v>
      </c>
      <c r="E105" s="41">
        <v>0</v>
      </c>
      <c r="F105" s="41">
        <v>0</v>
      </c>
      <c r="G105" s="31">
        <f>POWER(Retention1,7)</f>
        <v>0.47829690000000014</v>
      </c>
      <c r="H105" s="41">
        <v>0</v>
      </c>
      <c r="I105" s="41">
        <v>0</v>
      </c>
      <c r="J105" s="31">
        <f>POWER(Retention1,6)</f>
        <v>0.53144100000000016</v>
      </c>
      <c r="K105" s="41">
        <v>0</v>
      </c>
      <c r="L105" s="41">
        <v>0</v>
      </c>
      <c r="M105" s="31">
        <f>POWER(Retention1,5)</f>
        <v>0.59049000000000018</v>
      </c>
      <c r="N105" s="41">
        <v>0</v>
      </c>
      <c r="O105" s="41">
        <v>0</v>
      </c>
      <c r="P105" s="31">
        <f>POWER(Retention1,4)</f>
        <v>0.65610000000000013</v>
      </c>
      <c r="Q105" s="41">
        <v>0</v>
      </c>
      <c r="R105" s="41">
        <v>0</v>
      </c>
      <c r="S105" s="31">
        <f>POWER(Retention1,3)</f>
        <v>0.72900000000000009</v>
      </c>
      <c r="T105" s="41">
        <v>0</v>
      </c>
      <c r="U105" s="41">
        <v>0</v>
      </c>
      <c r="V105" s="31">
        <f>POWER(Retention1,2)</f>
        <v>0.81</v>
      </c>
      <c r="W105" s="41">
        <v>0</v>
      </c>
      <c r="X105" s="41">
        <v>0</v>
      </c>
      <c r="Y105" s="31">
        <f>POWER(Retention1,1)</f>
        <v>0.9</v>
      </c>
      <c r="Z105" s="41">
        <v>0</v>
      </c>
      <c r="AA105" s="41">
        <v>0</v>
      </c>
      <c r="AB105">
        <v>0</v>
      </c>
      <c r="AC105">
        <v>0</v>
      </c>
      <c r="AD105">
        <v>0</v>
      </c>
      <c r="AE105">
        <v>0</v>
      </c>
      <c r="AF105">
        <v>0</v>
      </c>
      <c r="AG105">
        <v>0</v>
      </c>
      <c r="AH105">
        <v>0</v>
      </c>
      <c r="AI105">
        <v>0</v>
      </c>
      <c r="AJ105">
        <v>0</v>
      </c>
      <c r="AK105">
        <v>0</v>
      </c>
      <c r="AM105" s="43">
        <v>27</v>
      </c>
      <c r="AN105" s="41">
        <v>0</v>
      </c>
      <c r="AO105" s="41">
        <v>0</v>
      </c>
      <c r="AP105" s="31">
        <f>POWER(Retention2,8)</f>
        <v>0.43046721000000016</v>
      </c>
      <c r="AQ105" s="41">
        <v>0</v>
      </c>
      <c r="AR105" s="41">
        <v>0</v>
      </c>
      <c r="AS105" s="31">
        <f>POWER(Retention2,7)</f>
        <v>0.47829690000000014</v>
      </c>
      <c r="AT105" s="41">
        <v>0</v>
      </c>
      <c r="AU105" s="41">
        <v>0</v>
      </c>
      <c r="AV105" s="31">
        <f>POWER(Retention2,6)</f>
        <v>0.53144100000000016</v>
      </c>
      <c r="AW105" s="41">
        <v>0</v>
      </c>
      <c r="AX105" s="41">
        <v>0</v>
      </c>
      <c r="AY105" s="31">
        <f>POWER(Retention2,5)</f>
        <v>0.59049000000000018</v>
      </c>
      <c r="AZ105" s="41">
        <v>0</v>
      </c>
      <c r="BA105" s="41">
        <v>0</v>
      </c>
      <c r="BB105" s="31">
        <f>POWER(Retention2,4)</f>
        <v>0.65610000000000013</v>
      </c>
      <c r="BC105" s="41">
        <v>0</v>
      </c>
      <c r="BD105" s="41">
        <v>0</v>
      </c>
      <c r="BE105" s="31">
        <f>POWER(Retention2,3)</f>
        <v>0.72900000000000009</v>
      </c>
      <c r="BF105" s="41">
        <v>0</v>
      </c>
      <c r="BG105" s="41">
        <v>0</v>
      </c>
      <c r="BH105" s="31">
        <f>POWER(Retention2,2)</f>
        <v>0.81</v>
      </c>
      <c r="BI105" s="41">
        <v>0</v>
      </c>
      <c r="BJ105" s="41">
        <v>0</v>
      </c>
      <c r="BK105" s="31">
        <f>POWER(Retention2,1)</f>
        <v>0.9</v>
      </c>
      <c r="BL105" s="41">
        <v>0</v>
      </c>
      <c r="BM105" s="41">
        <v>0</v>
      </c>
      <c r="BN105">
        <v>0</v>
      </c>
      <c r="BO105">
        <v>0</v>
      </c>
      <c r="BP105">
        <v>0</v>
      </c>
      <c r="BQ105">
        <v>0</v>
      </c>
      <c r="BR105">
        <v>0</v>
      </c>
      <c r="BS105">
        <v>0</v>
      </c>
      <c r="BT105">
        <v>0</v>
      </c>
      <c r="BU105">
        <v>0</v>
      </c>
      <c r="BV105">
        <v>0</v>
      </c>
      <c r="BW105">
        <v>0</v>
      </c>
    </row>
    <row r="106" spans="1:75" x14ac:dyDescent="0.2">
      <c r="A106" s="43">
        <v>28</v>
      </c>
      <c r="B106" s="31">
        <f>POWER(Retention1,9)</f>
        <v>0.38742048900000015</v>
      </c>
      <c r="C106" s="41">
        <v>0</v>
      </c>
      <c r="D106" s="41">
        <v>0</v>
      </c>
      <c r="E106" s="31">
        <f>POWER(Retention1,8)</f>
        <v>0.43046721000000016</v>
      </c>
      <c r="F106" s="41">
        <v>0</v>
      </c>
      <c r="G106" s="41">
        <v>0</v>
      </c>
      <c r="H106" s="31">
        <f>POWER(Retention1,7)</f>
        <v>0.47829690000000014</v>
      </c>
      <c r="I106" s="41">
        <v>0</v>
      </c>
      <c r="J106" s="41">
        <v>0</v>
      </c>
      <c r="K106" s="31">
        <f>POWER(Retention1,6)</f>
        <v>0.53144100000000016</v>
      </c>
      <c r="L106" s="41">
        <v>0</v>
      </c>
      <c r="M106" s="41">
        <v>0</v>
      </c>
      <c r="N106" s="31">
        <f>POWER(Retention1,5)</f>
        <v>0.59049000000000018</v>
      </c>
      <c r="O106" s="41">
        <v>0</v>
      </c>
      <c r="P106" s="41">
        <v>0</v>
      </c>
      <c r="Q106" s="31">
        <f>POWER(Retention1,4)</f>
        <v>0.65610000000000013</v>
      </c>
      <c r="R106" s="41">
        <v>0</v>
      </c>
      <c r="S106" s="41">
        <v>0</v>
      </c>
      <c r="T106" s="31">
        <f>POWER(Retention1,3)</f>
        <v>0.72900000000000009</v>
      </c>
      <c r="U106" s="41">
        <v>0</v>
      </c>
      <c r="V106" s="41">
        <v>0</v>
      </c>
      <c r="W106" s="31">
        <f>POWER(Retention1,2)</f>
        <v>0.81</v>
      </c>
      <c r="X106" s="41">
        <v>0</v>
      </c>
      <c r="Y106" s="41">
        <v>0</v>
      </c>
      <c r="Z106" s="31">
        <f>POWER(Retention1,1)</f>
        <v>0.9</v>
      </c>
      <c r="AA106" s="41">
        <v>0</v>
      </c>
      <c r="AB106">
        <v>0</v>
      </c>
      <c r="AC106">
        <v>0</v>
      </c>
      <c r="AD106">
        <v>0</v>
      </c>
      <c r="AE106">
        <v>0</v>
      </c>
      <c r="AF106">
        <v>0</v>
      </c>
      <c r="AG106">
        <v>0</v>
      </c>
      <c r="AH106">
        <v>0</v>
      </c>
      <c r="AI106">
        <v>0</v>
      </c>
      <c r="AJ106">
        <v>0</v>
      </c>
      <c r="AK106">
        <v>0</v>
      </c>
      <c r="AM106" s="43">
        <v>28</v>
      </c>
      <c r="AN106" s="31">
        <f>POWER(Retention2,9)</f>
        <v>0.38742048900000015</v>
      </c>
      <c r="AO106" s="41">
        <v>0</v>
      </c>
      <c r="AP106" s="41">
        <v>0</v>
      </c>
      <c r="AQ106" s="31">
        <f>POWER(Retention2,8)</f>
        <v>0.43046721000000016</v>
      </c>
      <c r="AR106" s="41">
        <v>0</v>
      </c>
      <c r="AS106" s="41">
        <v>0</v>
      </c>
      <c r="AT106" s="31">
        <f>POWER(Retention2,7)</f>
        <v>0.47829690000000014</v>
      </c>
      <c r="AU106" s="41">
        <v>0</v>
      </c>
      <c r="AV106" s="41">
        <v>0</v>
      </c>
      <c r="AW106" s="31">
        <f>POWER(Retention2,6)</f>
        <v>0.53144100000000016</v>
      </c>
      <c r="AX106" s="41">
        <v>0</v>
      </c>
      <c r="AY106" s="41">
        <v>0</v>
      </c>
      <c r="AZ106" s="31">
        <f>POWER(Retention2,5)</f>
        <v>0.59049000000000018</v>
      </c>
      <c r="BA106" s="41">
        <v>0</v>
      </c>
      <c r="BB106" s="41">
        <v>0</v>
      </c>
      <c r="BC106" s="31">
        <f>POWER(Retention2,4)</f>
        <v>0.65610000000000013</v>
      </c>
      <c r="BD106" s="41">
        <v>0</v>
      </c>
      <c r="BE106" s="41">
        <v>0</v>
      </c>
      <c r="BF106" s="31">
        <f>POWER(Retention2,3)</f>
        <v>0.72900000000000009</v>
      </c>
      <c r="BG106" s="41">
        <v>0</v>
      </c>
      <c r="BH106" s="41">
        <v>0</v>
      </c>
      <c r="BI106" s="31">
        <f>POWER(Retention2,2)</f>
        <v>0.81</v>
      </c>
      <c r="BJ106" s="41">
        <v>0</v>
      </c>
      <c r="BK106" s="41">
        <v>0</v>
      </c>
      <c r="BL106" s="31">
        <f>POWER(Retention2,1)</f>
        <v>0.9</v>
      </c>
      <c r="BM106" s="41">
        <v>0</v>
      </c>
      <c r="BN106">
        <v>0</v>
      </c>
      <c r="BO106">
        <v>0</v>
      </c>
      <c r="BP106">
        <v>0</v>
      </c>
      <c r="BQ106">
        <v>0</v>
      </c>
      <c r="BR106">
        <v>0</v>
      </c>
      <c r="BS106">
        <v>0</v>
      </c>
      <c r="BT106">
        <v>0</v>
      </c>
      <c r="BU106">
        <v>0</v>
      </c>
      <c r="BV106">
        <v>0</v>
      </c>
      <c r="BW106">
        <v>0</v>
      </c>
    </row>
    <row r="107" spans="1:75" x14ac:dyDescent="0.2">
      <c r="A107" s="43">
        <v>29</v>
      </c>
      <c r="B107" s="41">
        <v>0</v>
      </c>
      <c r="C107" s="31">
        <f>POWER(Retention1,9)</f>
        <v>0.38742048900000015</v>
      </c>
      <c r="D107" s="41">
        <v>0</v>
      </c>
      <c r="E107" s="41">
        <v>0</v>
      </c>
      <c r="F107" s="31">
        <f>POWER(Retention1,8)</f>
        <v>0.43046721000000016</v>
      </c>
      <c r="G107" s="41">
        <v>0</v>
      </c>
      <c r="H107" s="41">
        <v>0</v>
      </c>
      <c r="I107" s="31">
        <f>POWER(Retention1,7)</f>
        <v>0.47829690000000014</v>
      </c>
      <c r="J107" s="41">
        <v>0</v>
      </c>
      <c r="K107" s="41">
        <v>0</v>
      </c>
      <c r="L107" s="31">
        <f>POWER(Retention1,6)</f>
        <v>0.53144100000000016</v>
      </c>
      <c r="M107" s="41">
        <v>0</v>
      </c>
      <c r="N107" s="41">
        <v>0</v>
      </c>
      <c r="O107" s="31">
        <f>POWER(Retention1,5)</f>
        <v>0.59049000000000018</v>
      </c>
      <c r="P107" s="41">
        <v>0</v>
      </c>
      <c r="Q107" s="41">
        <v>0</v>
      </c>
      <c r="R107" s="31">
        <f>POWER(Retention1,4)</f>
        <v>0.65610000000000013</v>
      </c>
      <c r="S107" s="41">
        <v>0</v>
      </c>
      <c r="T107" s="41">
        <v>0</v>
      </c>
      <c r="U107" s="31">
        <f>POWER(Retention1,3)</f>
        <v>0.72900000000000009</v>
      </c>
      <c r="V107" s="41">
        <v>0</v>
      </c>
      <c r="W107" s="41">
        <v>0</v>
      </c>
      <c r="X107" s="31">
        <f>POWER(Retention1,2)</f>
        <v>0.81</v>
      </c>
      <c r="Y107" s="41">
        <v>0</v>
      </c>
      <c r="Z107" s="41">
        <v>0</v>
      </c>
      <c r="AA107" s="31">
        <f>POWER(Retention1,1)</f>
        <v>0.9</v>
      </c>
      <c r="AB107">
        <v>0</v>
      </c>
      <c r="AC107">
        <v>0</v>
      </c>
      <c r="AD107">
        <v>0</v>
      </c>
      <c r="AE107">
        <v>0</v>
      </c>
      <c r="AF107">
        <v>0</v>
      </c>
      <c r="AG107">
        <v>0</v>
      </c>
      <c r="AH107">
        <v>0</v>
      </c>
      <c r="AI107">
        <v>0</v>
      </c>
      <c r="AJ107">
        <v>0</v>
      </c>
      <c r="AK107">
        <v>0</v>
      </c>
      <c r="AM107" s="43">
        <v>29</v>
      </c>
      <c r="AN107" s="41">
        <v>0</v>
      </c>
      <c r="AO107" s="31">
        <f>POWER(Retention2,9)</f>
        <v>0.38742048900000015</v>
      </c>
      <c r="AP107" s="41">
        <v>0</v>
      </c>
      <c r="AQ107" s="41">
        <v>0</v>
      </c>
      <c r="AR107" s="31">
        <f>POWER(Retention2,8)</f>
        <v>0.43046721000000016</v>
      </c>
      <c r="AS107" s="41">
        <v>0</v>
      </c>
      <c r="AT107" s="41">
        <v>0</v>
      </c>
      <c r="AU107" s="31">
        <f>POWER(Retention2,7)</f>
        <v>0.47829690000000014</v>
      </c>
      <c r="AV107" s="41">
        <v>0</v>
      </c>
      <c r="AW107" s="41">
        <v>0</v>
      </c>
      <c r="AX107" s="31">
        <f>POWER(Retention2,6)</f>
        <v>0.53144100000000016</v>
      </c>
      <c r="AY107" s="41">
        <v>0</v>
      </c>
      <c r="AZ107" s="41">
        <v>0</v>
      </c>
      <c r="BA107" s="31">
        <f>POWER(Retention2,5)</f>
        <v>0.59049000000000018</v>
      </c>
      <c r="BB107" s="41">
        <v>0</v>
      </c>
      <c r="BC107" s="41">
        <v>0</v>
      </c>
      <c r="BD107" s="31">
        <f>POWER(Retention2,4)</f>
        <v>0.65610000000000013</v>
      </c>
      <c r="BE107" s="41">
        <v>0</v>
      </c>
      <c r="BF107" s="41">
        <v>0</v>
      </c>
      <c r="BG107" s="31">
        <f>POWER(Retention2,3)</f>
        <v>0.72900000000000009</v>
      </c>
      <c r="BH107" s="41">
        <v>0</v>
      </c>
      <c r="BI107" s="41">
        <v>0</v>
      </c>
      <c r="BJ107" s="31">
        <f>POWER(Retention2,2)</f>
        <v>0.81</v>
      </c>
      <c r="BK107" s="41">
        <v>0</v>
      </c>
      <c r="BL107" s="41">
        <v>0</v>
      </c>
      <c r="BM107" s="31">
        <f>POWER(Retention2,1)</f>
        <v>0.9</v>
      </c>
      <c r="BN107">
        <v>0</v>
      </c>
      <c r="BO107">
        <v>0</v>
      </c>
      <c r="BP107">
        <v>0</v>
      </c>
      <c r="BQ107">
        <v>0</v>
      </c>
      <c r="BR107">
        <v>0</v>
      </c>
      <c r="BS107">
        <v>0</v>
      </c>
      <c r="BT107">
        <v>0</v>
      </c>
      <c r="BU107">
        <v>0</v>
      </c>
      <c r="BV107">
        <v>0</v>
      </c>
      <c r="BW107">
        <v>0</v>
      </c>
    </row>
    <row r="108" spans="1:75" x14ac:dyDescent="0.2">
      <c r="A108" s="43">
        <v>30</v>
      </c>
      <c r="B108" s="41">
        <v>0</v>
      </c>
      <c r="C108" s="41">
        <v>0</v>
      </c>
      <c r="D108" s="31">
        <f>POWER(Retention1,9)</f>
        <v>0.38742048900000015</v>
      </c>
      <c r="E108" s="41">
        <v>0</v>
      </c>
      <c r="F108" s="41">
        <v>0</v>
      </c>
      <c r="G108" s="31">
        <f>POWER(Retention1,8)</f>
        <v>0.43046721000000016</v>
      </c>
      <c r="H108" s="41">
        <v>0</v>
      </c>
      <c r="I108" s="41">
        <v>0</v>
      </c>
      <c r="J108" s="31">
        <f>POWER(Retention1,7)</f>
        <v>0.47829690000000014</v>
      </c>
      <c r="K108" s="41">
        <v>0</v>
      </c>
      <c r="L108" s="41">
        <v>0</v>
      </c>
      <c r="M108" s="31">
        <f>POWER(Retention1,6)</f>
        <v>0.53144100000000016</v>
      </c>
      <c r="N108" s="41">
        <v>0</v>
      </c>
      <c r="O108" s="41">
        <v>0</v>
      </c>
      <c r="P108" s="31">
        <f>POWER(Retention1,5)</f>
        <v>0.59049000000000018</v>
      </c>
      <c r="Q108" s="41">
        <v>0</v>
      </c>
      <c r="R108" s="41">
        <v>0</v>
      </c>
      <c r="S108" s="31">
        <f>POWER(Retention1,4)</f>
        <v>0.65610000000000013</v>
      </c>
      <c r="T108" s="41">
        <v>0</v>
      </c>
      <c r="U108" s="41">
        <v>0</v>
      </c>
      <c r="V108" s="31">
        <f>POWER(Retention1,3)</f>
        <v>0.72900000000000009</v>
      </c>
      <c r="W108" s="41">
        <v>0</v>
      </c>
      <c r="X108" s="41">
        <v>0</v>
      </c>
      <c r="Y108" s="31">
        <f>POWER(Retention1,2)</f>
        <v>0.81</v>
      </c>
      <c r="Z108" s="41">
        <v>0</v>
      </c>
      <c r="AA108" s="41">
        <v>0</v>
      </c>
      <c r="AB108" s="31">
        <f>POWER(Retention1,1)</f>
        <v>0.9</v>
      </c>
      <c r="AC108">
        <v>0</v>
      </c>
      <c r="AD108">
        <v>0</v>
      </c>
      <c r="AE108">
        <v>0</v>
      </c>
      <c r="AF108">
        <v>0</v>
      </c>
      <c r="AG108">
        <v>0</v>
      </c>
      <c r="AH108">
        <v>0</v>
      </c>
      <c r="AI108">
        <v>0</v>
      </c>
      <c r="AJ108">
        <v>0</v>
      </c>
      <c r="AK108">
        <v>0</v>
      </c>
      <c r="AM108" s="43">
        <v>30</v>
      </c>
      <c r="AN108" s="41">
        <v>0</v>
      </c>
      <c r="AO108" s="41">
        <v>0</v>
      </c>
      <c r="AP108" s="31">
        <f>POWER(Retention2,9)</f>
        <v>0.38742048900000015</v>
      </c>
      <c r="AQ108" s="41">
        <v>0</v>
      </c>
      <c r="AR108" s="41">
        <v>0</v>
      </c>
      <c r="AS108" s="31">
        <f>POWER(Retention2,8)</f>
        <v>0.43046721000000016</v>
      </c>
      <c r="AT108" s="41">
        <v>0</v>
      </c>
      <c r="AU108" s="41">
        <v>0</v>
      </c>
      <c r="AV108" s="31">
        <f>POWER(Retention2,7)</f>
        <v>0.47829690000000014</v>
      </c>
      <c r="AW108" s="41">
        <v>0</v>
      </c>
      <c r="AX108" s="41">
        <v>0</v>
      </c>
      <c r="AY108" s="31">
        <f>POWER(Retention2,6)</f>
        <v>0.53144100000000016</v>
      </c>
      <c r="AZ108" s="41">
        <v>0</v>
      </c>
      <c r="BA108" s="41">
        <v>0</v>
      </c>
      <c r="BB108" s="31">
        <f>POWER(Retention2,5)</f>
        <v>0.59049000000000018</v>
      </c>
      <c r="BC108" s="41">
        <v>0</v>
      </c>
      <c r="BD108" s="41">
        <v>0</v>
      </c>
      <c r="BE108" s="31">
        <f>POWER(Retention2,4)</f>
        <v>0.65610000000000013</v>
      </c>
      <c r="BF108" s="41">
        <v>0</v>
      </c>
      <c r="BG108" s="41">
        <v>0</v>
      </c>
      <c r="BH108" s="31">
        <f>POWER(Retention2,3)</f>
        <v>0.72900000000000009</v>
      </c>
      <c r="BI108" s="41">
        <v>0</v>
      </c>
      <c r="BJ108" s="41">
        <v>0</v>
      </c>
      <c r="BK108" s="31">
        <f>POWER(Retention2,2)</f>
        <v>0.81</v>
      </c>
      <c r="BL108" s="41">
        <v>0</v>
      </c>
      <c r="BM108" s="41">
        <v>0</v>
      </c>
      <c r="BN108" s="31">
        <f>POWER(Retention2,1)</f>
        <v>0.9</v>
      </c>
      <c r="BO108">
        <v>0</v>
      </c>
      <c r="BP108">
        <v>0</v>
      </c>
      <c r="BQ108">
        <v>0</v>
      </c>
      <c r="BR108">
        <v>0</v>
      </c>
      <c r="BS108">
        <v>0</v>
      </c>
      <c r="BT108">
        <v>0</v>
      </c>
      <c r="BU108">
        <v>0</v>
      </c>
      <c r="BV108">
        <v>0</v>
      </c>
      <c r="BW108">
        <v>0</v>
      </c>
    </row>
    <row r="109" spans="1:75" x14ac:dyDescent="0.2">
      <c r="A109" s="43">
        <v>31</v>
      </c>
      <c r="B109" s="31">
        <f>POWER(Retention1,10)</f>
        <v>0.34867844010000015</v>
      </c>
      <c r="C109" s="41">
        <v>0</v>
      </c>
      <c r="D109" s="41">
        <v>0</v>
      </c>
      <c r="E109" s="31">
        <f>POWER(Retention1,9)</f>
        <v>0.38742048900000015</v>
      </c>
      <c r="F109" s="41">
        <v>0</v>
      </c>
      <c r="G109" s="41">
        <v>0</v>
      </c>
      <c r="H109" s="31">
        <f>POWER(Retention1,8)</f>
        <v>0.43046721000000016</v>
      </c>
      <c r="I109" s="41">
        <v>0</v>
      </c>
      <c r="J109" s="41">
        <v>0</v>
      </c>
      <c r="K109" s="31">
        <f>POWER(Retention1,7)</f>
        <v>0.47829690000000014</v>
      </c>
      <c r="L109" s="41">
        <v>0</v>
      </c>
      <c r="M109" s="41">
        <v>0</v>
      </c>
      <c r="N109" s="31">
        <f>POWER(Retention1,6)</f>
        <v>0.53144100000000016</v>
      </c>
      <c r="O109" s="41">
        <v>0</v>
      </c>
      <c r="P109" s="41">
        <v>0</v>
      </c>
      <c r="Q109" s="31">
        <f>POWER(Retention1,5)</f>
        <v>0.59049000000000018</v>
      </c>
      <c r="R109" s="41">
        <v>0</v>
      </c>
      <c r="S109" s="41">
        <v>0</v>
      </c>
      <c r="T109" s="31">
        <f>POWER(Retention1,4)</f>
        <v>0.65610000000000013</v>
      </c>
      <c r="U109" s="41">
        <v>0</v>
      </c>
      <c r="V109" s="41">
        <v>0</v>
      </c>
      <c r="W109" s="31">
        <f>POWER(Retention1,3)</f>
        <v>0.72900000000000009</v>
      </c>
      <c r="X109" s="41">
        <v>0</v>
      </c>
      <c r="Y109" s="41">
        <v>0</v>
      </c>
      <c r="Z109" s="31">
        <f>POWER(Retention1,2)</f>
        <v>0.81</v>
      </c>
      <c r="AA109" s="41">
        <v>0</v>
      </c>
      <c r="AB109" s="41">
        <v>0</v>
      </c>
      <c r="AC109" s="31">
        <f>POWER(Retention1,1)</f>
        <v>0.9</v>
      </c>
      <c r="AD109">
        <v>0</v>
      </c>
      <c r="AE109">
        <v>0</v>
      </c>
      <c r="AF109">
        <v>0</v>
      </c>
      <c r="AG109">
        <v>0</v>
      </c>
      <c r="AH109">
        <v>0</v>
      </c>
      <c r="AI109">
        <v>0</v>
      </c>
      <c r="AJ109">
        <v>0</v>
      </c>
      <c r="AK109">
        <v>0</v>
      </c>
      <c r="AM109" s="43">
        <v>31</v>
      </c>
      <c r="AN109" s="31">
        <f>POWER(Retention2,10)</f>
        <v>0.34867844010000015</v>
      </c>
      <c r="AO109" s="41">
        <v>0</v>
      </c>
      <c r="AP109" s="41">
        <v>0</v>
      </c>
      <c r="AQ109" s="31">
        <f>POWER(Retention2,9)</f>
        <v>0.38742048900000015</v>
      </c>
      <c r="AR109" s="41">
        <v>0</v>
      </c>
      <c r="AS109" s="41">
        <v>0</v>
      </c>
      <c r="AT109" s="31">
        <f>POWER(Retention2,8)</f>
        <v>0.43046721000000016</v>
      </c>
      <c r="AU109" s="41">
        <v>0</v>
      </c>
      <c r="AV109" s="41">
        <v>0</v>
      </c>
      <c r="AW109" s="31">
        <f>POWER(Retention2,7)</f>
        <v>0.47829690000000014</v>
      </c>
      <c r="AX109" s="41">
        <v>0</v>
      </c>
      <c r="AY109" s="41">
        <v>0</v>
      </c>
      <c r="AZ109" s="31">
        <f>POWER(Retention2,6)</f>
        <v>0.53144100000000016</v>
      </c>
      <c r="BA109" s="41">
        <v>0</v>
      </c>
      <c r="BB109" s="41">
        <v>0</v>
      </c>
      <c r="BC109" s="31">
        <f>POWER(Retention2,5)</f>
        <v>0.59049000000000018</v>
      </c>
      <c r="BD109" s="41">
        <v>0</v>
      </c>
      <c r="BE109" s="41">
        <v>0</v>
      </c>
      <c r="BF109" s="31">
        <f>POWER(Retention2,4)</f>
        <v>0.65610000000000013</v>
      </c>
      <c r="BG109" s="41">
        <v>0</v>
      </c>
      <c r="BH109" s="41">
        <v>0</v>
      </c>
      <c r="BI109" s="31">
        <f>POWER(Retention2,3)</f>
        <v>0.72900000000000009</v>
      </c>
      <c r="BJ109" s="41">
        <v>0</v>
      </c>
      <c r="BK109" s="41">
        <v>0</v>
      </c>
      <c r="BL109" s="31">
        <f>POWER(Retention2,2)</f>
        <v>0.81</v>
      </c>
      <c r="BM109" s="41">
        <v>0</v>
      </c>
      <c r="BN109" s="41">
        <v>0</v>
      </c>
      <c r="BO109" s="31">
        <f>POWER(Retention2,1)</f>
        <v>0.9</v>
      </c>
      <c r="BP109">
        <v>0</v>
      </c>
      <c r="BQ109">
        <v>0</v>
      </c>
      <c r="BR109">
        <v>0</v>
      </c>
      <c r="BS109">
        <v>0</v>
      </c>
      <c r="BT109">
        <v>0</v>
      </c>
      <c r="BU109">
        <v>0</v>
      </c>
      <c r="BV109">
        <v>0</v>
      </c>
      <c r="BW109">
        <v>0</v>
      </c>
    </row>
    <row r="110" spans="1:75" x14ac:dyDescent="0.2">
      <c r="A110" s="43">
        <v>32</v>
      </c>
      <c r="B110" s="41">
        <v>0</v>
      </c>
      <c r="C110" s="31">
        <f>POWER(Retention1,10)</f>
        <v>0.34867844010000015</v>
      </c>
      <c r="D110" s="41">
        <v>0</v>
      </c>
      <c r="E110" s="41">
        <v>0</v>
      </c>
      <c r="F110" s="31">
        <f>POWER(Retention1,9)</f>
        <v>0.38742048900000015</v>
      </c>
      <c r="G110" s="41">
        <v>0</v>
      </c>
      <c r="H110" s="41">
        <v>0</v>
      </c>
      <c r="I110" s="31">
        <f>POWER(Retention1,8)</f>
        <v>0.43046721000000016</v>
      </c>
      <c r="J110" s="41">
        <v>0</v>
      </c>
      <c r="K110" s="41">
        <v>0</v>
      </c>
      <c r="L110" s="31">
        <f>POWER(Retention1,7)</f>
        <v>0.47829690000000014</v>
      </c>
      <c r="M110" s="41">
        <v>0</v>
      </c>
      <c r="N110" s="41">
        <v>0</v>
      </c>
      <c r="O110" s="31">
        <f>POWER(Retention1,6)</f>
        <v>0.53144100000000016</v>
      </c>
      <c r="P110" s="41">
        <v>0</v>
      </c>
      <c r="Q110" s="41">
        <v>0</v>
      </c>
      <c r="R110" s="31">
        <f>POWER(Retention1,5)</f>
        <v>0.59049000000000018</v>
      </c>
      <c r="S110" s="41">
        <v>0</v>
      </c>
      <c r="T110" s="41">
        <v>0</v>
      </c>
      <c r="U110" s="31">
        <f>POWER(Retention1,4)</f>
        <v>0.65610000000000013</v>
      </c>
      <c r="V110" s="41">
        <v>0</v>
      </c>
      <c r="W110" s="41">
        <v>0</v>
      </c>
      <c r="X110" s="31">
        <f>POWER(Retention1,3)</f>
        <v>0.72900000000000009</v>
      </c>
      <c r="Y110" s="41">
        <v>0</v>
      </c>
      <c r="Z110" s="41">
        <v>0</v>
      </c>
      <c r="AA110" s="31">
        <f>POWER(Retention1,2)</f>
        <v>0.81</v>
      </c>
      <c r="AB110" s="41">
        <v>0</v>
      </c>
      <c r="AC110" s="41">
        <v>0</v>
      </c>
      <c r="AD110" s="31">
        <f>POWER(Retention1,1)</f>
        <v>0.9</v>
      </c>
      <c r="AE110">
        <v>0</v>
      </c>
      <c r="AF110">
        <v>0</v>
      </c>
      <c r="AG110">
        <v>0</v>
      </c>
      <c r="AH110">
        <v>0</v>
      </c>
      <c r="AI110">
        <v>0</v>
      </c>
      <c r="AJ110">
        <v>0</v>
      </c>
      <c r="AK110">
        <v>0</v>
      </c>
      <c r="AM110" s="43">
        <v>32</v>
      </c>
      <c r="AN110" s="41">
        <v>0</v>
      </c>
      <c r="AO110" s="31">
        <f>POWER(Retention2,10)</f>
        <v>0.34867844010000015</v>
      </c>
      <c r="AP110" s="41">
        <v>0</v>
      </c>
      <c r="AQ110" s="41">
        <v>0</v>
      </c>
      <c r="AR110" s="31">
        <f>POWER(Retention2,9)</f>
        <v>0.38742048900000015</v>
      </c>
      <c r="AS110" s="41">
        <v>0</v>
      </c>
      <c r="AT110" s="41">
        <v>0</v>
      </c>
      <c r="AU110" s="31">
        <f>POWER(Retention2,8)</f>
        <v>0.43046721000000016</v>
      </c>
      <c r="AV110" s="41">
        <v>0</v>
      </c>
      <c r="AW110" s="41">
        <v>0</v>
      </c>
      <c r="AX110" s="31">
        <f>POWER(Retention2,7)</f>
        <v>0.47829690000000014</v>
      </c>
      <c r="AY110" s="41">
        <v>0</v>
      </c>
      <c r="AZ110" s="41">
        <v>0</v>
      </c>
      <c r="BA110" s="31">
        <f>POWER(Retention2,6)</f>
        <v>0.53144100000000016</v>
      </c>
      <c r="BB110" s="41">
        <v>0</v>
      </c>
      <c r="BC110" s="41">
        <v>0</v>
      </c>
      <c r="BD110" s="31">
        <f>POWER(Retention2,5)</f>
        <v>0.59049000000000018</v>
      </c>
      <c r="BE110" s="41">
        <v>0</v>
      </c>
      <c r="BF110" s="41">
        <v>0</v>
      </c>
      <c r="BG110" s="31">
        <f>POWER(Retention2,4)</f>
        <v>0.65610000000000013</v>
      </c>
      <c r="BH110" s="41">
        <v>0</v>
      </c>
      <c r="BI110" s="41">
        <v>0</v>
      </c>
      <c r="BJ110" s="31">
        <f>POWER(Retention2,3)</f>
        <v>0.72900000000000009</v>
      </c>
      <c r="BK110" s="41">
        <v>0</v>
      </c>
      <c r="BL110" s="41">
        <v>0</v>
      </c>
      <c r="BM110" s="31">
        <f>POWER(Retention2,2)</f>
        <v>0.81</v>
      </c>
      <c r="BN110" s="41">
        <v>0</v>
      </c>
      <c r="BO110" s="41">
        <v>0</v>
      </c>
      <c r="BP110" s="31">
        <f>POWER(Retention2,1)</f>
        <v>0.9</v>
      </c>
      <c r="BQ110">
        <v>0</v>
      </c>
      <c r="BR110">
        <v>0</v>
      </c>
      <c r="BS110">
        <v>0</v>
      </c>
      <c r="BT110">
        <v>0</v>
      </c>
      <c r="BU110">
        <v>0</v>
      </c>
      <c r="BV110">
        <v>0</v>
      </c>
      <c r="BW110">
        <v>0</v>
      </c>
    </row>
    <row r="111" spans="1:75" x14ac:dyDescent="0.2">
      <c r="A111" s="43">
        <v>33</v>
      </c>
      <c r="B111" s="41">
        <v>0</v>
      </c>
      <c r="C111" s="41">
        <v>0</v>
      </c>
      <c r="D111" s="31">
        <f>POWER(Retention1,10)</f>
        <v>0.34867844010000015</v>
      </c>
      <c r="E111" s="41">
        <v>0</v>
      </c>
      <c r="F111" s="41">
        <v>0</v>
      </c>
      <c r="G111" s="31">
        <f>POWER(Retention1,9)</f>
        <v>0.38742048900000015</v>
      </c>
      <c r="H111" s="41">
        <v>0</v>
      </c>
      <c r="I111" s="41">
        <v>0</v>
      </c>
      <c r="J111" s="31">
        <f>POWER(Retention1,8)</f>
        <v>0.43046721000000016</v>
      </c>
      <c r="K111" s="41">
        <v>0</v>
      </c>
      <c r="L111" s="41">
        <v>0</v>
      </c>
      <c r="M111" s="31">
        <f>POWER(Retention1,7)</f>
        <v>0.47829690000000014</v>
      </c>
      <c r="N111" s="41">
        <v>0</v>
      </c>
      <c r="O111" s="41">
        <v>0</v>
      </c>
      <c r="P111" s="31">
        <f>POWER(Retention1,6)</f>
        <v>0.53144100000000016</v>
      </c>
      <c r="Q111" s="41">
        <v>0</v>
      </c>
      <c r="R111" s="41">
        <v>0</v>
      </c>
      <c r="S111" s="31">
        <f>POWER(Retention1,5)</f>
        <v>0.59049000000000018</v>
      </c>
      <c r="T111" s="41">
        <v>0</v>
      </c>
      <c r="U111" s="41">
        <v>0</v>
      </c>
      <c r="V111" s="31">
        <f>POWER(Retention1,4)</f>
        <v>0.65610000000000013</v>
      </c>
      <c r="W111" s="41">
        <v>0</v>
      </c>
      <c r="X111" s="41">
        <v>0</v>
      </c>
      <c r="Y111" s="31">
        <f>POWER(Retention1,3)</f>
        <v>0.72900000000000009</v>
      </c>
      <c r="Z111" s="41">
        <v>0</v>
      </c>
      <c r="AA111" s="41">
        <v>0</v>
      </c>
      <c r="AB111" s="31">
        <f>POWER(Retention1,2)</f>
        <v>0.81</v>
      </c>
      <c r="AC111" s="41">
        <v>0</v>
      </c>
      <c r="AD111" s="41">
        <v>0</v>
      </c>
      <c r="AE111" s="31">
        <f>POWER(Retention1,1)</f>
        <v>0.9</v>
      </c>
      <c r="AF111">
        <v>0</v>
      </c>
      <c r="AG111">
        <v>0</v>
      </c>
      <c r="AH111">
        <v>0</v>
      </c>
      <c r="AI111">
        <v>0</v>
      </c>
      <c r="AJ111">
        <v>0</v>
      </c>
      <c r="AK111">
        <v>0</v>
      </c>
      <c r="AM111" s="43">
        <v>33</v>
      </c>
      <c r="AN111" s="41">
        <v>0</v>
      </c>
      <c r="AO111" s="41">
        <v>0</v>
      </c>
      <c r="AP111" s="31">
        <f>POWER(Retention2,10)</f>
        <v>0.34867844010000015</v>
      </c>
      <c r="AQ111" s="41">
        <v>0</v>
      </c>
      <c r="AR111" s="41">
        <v>0</v>
      </c>
      <c r="AS111" s="31">
        <f>POWER(Retention2,9)</f>
        <v>0.38742048900000015</v>
      </c>
      <c r="AT111" s="41">
        <v>0</v>
      </c>
      <c r="AU111" s="41">
        <v>0</v>
      </c>
      <c r="AV111" s="31">
        <f>POWER(Retention2,8)</f>
        <v>0.43046721000000016</v>
      </c>
      <c r="AW111" s="41">
        <v>0</v>
      </c>
      <c r="AX111" s="41">
        <v>0</v>
      </c>
      <c r="AY111" s="31">
        <f>POWER(Retention2,7)</f>
        <v>0.47829690000000014</v>
      </c>
      <c r="AZ111" s="41">
        <v>0</v>
      </c>
      <c r="BA111" s="41">
        <v>0</v>
      </c>
      <c r="BB111" s="31">
        <f>POWER(Retention2,6)</f>
        <v>0.53144100000000016</v>
      </c>
      <c r="BC111" s="41">
        <v>0</v>
      </c>
      <c r="BD111" s="41">
        <v>0</v>
      </c>
      <c r="BE111" s="31">
        <f>POWER(Retention2,5)</f>
        <v>0.59049000000000018</v>
      </c>
      <c r="BF111" s="41">
        <v>0</v>
      </c>
      <c r="BG111" s="41">
        <v>0</v>
      </c>
      <c r="BH111" s="31">
        <f>POWER(Retention2,4)</f>
        <v>0.65610000000000013</v>
      </c>
      <c r="BI111" s="41">
        <v>0</v>
      </c>
      <c r="BJ111" s="41">
        <v>0</v>
      </c>
      <c r="BK111" s="31">
        <f>POWER(Retention2,3)</f>
        <v>0.72900000000000009</v>
      </c>
      <c r="BL111" s="41">
        <v>0</v>
      </c>
      <c r="BM111" s="41">
        <v>0</v>
      </c>
      <c r="BN111" s="31">
        <f>POWER(Retention2,2)</f>
        <v>0.81</v>
      </c>
      <c r="BO111" s="41">
        <v>0</v>
      </c>
      <c r="BP111" s="41">
        <v>0</v>
      </c>
      <c r="BQ111" s="31">
        <f>POWER(Retention2,1)</f>
        <v>0.9</v>
      </c>
      <c r="BR111">
        <v>0</v>
      </c>
      <c r="BS111">
        <v>0</v>
      </c>
      <c r="BT111">
        <v>0</v>
      </c>
      <c r="BU111">
        <v>0</v>
      </c>
      <c r="BV111">
        <v>0</v>
      </c>
      <c r="BW111">
        <v>0</v>
      </c>
    </row>
    <row r="112" spans="1:75" x14ac:dyDescent="0.2">
      <c r="A112" s="43">
        <v>34</v>
      </c>
      <c r="B112" s="31">
        <f>POWER(Retention1,11)</f>
        <v>0.31381059609000017</v>
      </c>
      <c r="C112" s="41">
        <v>0</v>
      </c>
      <c r="D112" s="41">
        <v>0</v>
      </c>
      <c r="E112" s="31">
        <f>POWER(Retention1,10)</f>
        <v>0.34867844010000015</v>
      </c>
      <c r="F112" s="41">
        <v>0</v>
      </c>
      <c r="G112" s="41">
        <v>0</v>
      </c>
      <c r="H112" s="31">
        <f>POWER(Retention1,9)</f>
        <v>0.38742048900000015</v>
      </c>
      <c r="I112" s="41">
        <v>0</v>
      </c>
      <c r="J112" s="41">
        <v>0</v>
      </c>
      <c r="K112" s="31">
        <f>POWER(Retention1,8)</f>
        <v>0.43046721000000016</v>
      </c>
      <c r="L112" s="41">
        <v>0</v>
      </c>
      <c r="M112" s="41">
        <v>0</v>
      </c>
      <c r="N112" s="31">
        <f>POWER(Retention1,7)</f>
        <v>0.47829690000000014</v>
      </c>
      <c r="O112" s="41">
        <v>0</v>
      </c>
      <c r="P112" s="41">
        <v>0</v>
      </c>
      <c r="Q112" s="31">
        <f>POWER(Retention1,6)</f>
        <v>0.53144100000000016</v>
      </c>
      <c r="R112" s="41">
        <v>0</v>
      </c>
      <c r="S112" s="41">
        <v>0</v>
      </c>
      <c r="T112" s="31">
        <f>POWER(Retention1,5)</f>
        <v>0.59049000000000018</v>
      </c>
      <c r="U112" s="41">
        <v>0</v>
      </c>
      <c r="V112" s="41">
        <v>0</v>
      </c>
      <c r="W112" s="31">
        <f>POWER(Retention1,4)</f>
        <v>0.65610000000000013</v>
      </c>
      <c r="X112" s="41">
        <v>0</v>
      </c>
      <c r="Y112" s="41">
        <v>0</v>
      </c>
      <c r="Z112" s="31">
        <f>POWER(Retention1,3)</f>
        <v>0.72900000000000009</v>
      </c>
      <c r="AA112" s="41">
        <v>0</v>
      </c>
      <c r="AB112" s="41">
        <v>0</v>
      </c>
      <c r="AC112" s="31">
        <f>POWER(Retention1,2)</f>
        <v>0.81</v>
      </c>
      <c r="AD112" s="41">
        <v>0</v>
      </c>
      <c r="AE112" s="41">
        <v>0</v>
      </c>
      <c r="AF112" s="31">
        <f>POWER(Retention1,1)</f>
        <v>0.9</v>
      </c>
      <c r="AG112">
        <v>0</v>
      </c>
      <c r="AH112">
        <v>0</v>
      </c>
      <c r="AI112">
        <v>0</v>
      </c>
      <c r="AJ112">
        <v>0</v>
      </c>
      <c r="AK112">
        <v>0</v>
      </c>
      <c r="AM112" s="43">
        <v>34</v>
      </c>
      <c r="AN112" s="31">
        <f>POWER(Retention2,11)</f>
        <v>0.31381059609000017</v>
      </c>
      <c r="AO112" s="41">
        <v>0</v>
      </c>
      <c r="AP112" s="41">
        <v>0</v>
      </c>
      <c r="AQ112" s="31">
        <f>POWER(Retention2,10)</f>
        <v>0.34867844010000015</v>
      </c>
      <c r="AR112" s="41">
        <v>0</v>
      </c>
      <c r="AS112" s="41">
        <v>0</v>
      </c>
      <c r="AT112" s="31">
        <f>POWER(Retention2,9)</f>
        <v>0.38742048900000015</v>
      </c>
      <c r="AU112" s="41">
        <v>0</v>
      </c>
      <c r="AV112" s="41">
        <v>0</v>
      </c>
      <c r="AW112" s="31">
        <f>POWER(Retention2,8)</f>
        <v>0.43046721000000016</v>
      </c>
      <c r="AX112" s="41">
        <v>0</v>
      </c>
      <c r="AY112" s="41">
        <v>0</v>
      </c>
      <c r="AZ112" s="31">
        <f>POWER(Retention2,7)</f>
        <v>0.47829690000000014</v>
      </c>
      <c r="BA112" s="41">
        <v>0</v>
      </c>
      <c r="BB112" s="41">
        <v>0</v>
      </c>
      <c r="BC112" s="31">
        <f>POWER(Retention2,6)</f>
        <v>0.53144100000000016</v>
      </c>
      <c r="BD112" s="41">
        <v>0</v>
      </c>
      <c r="BE112" s="41">
        <v>0</v>
      </c>
      <c r="BF112" s="31">
        <f>POWER(Retention2,5)</f>
        <v>0.59049000000000018</v>
      </c>
      <c r="BG112" s="41">
        <v>0</v>
      </c>
      <c r="BH112" s="41">
        <v>0</v>
      </c>
      <c r="BI112" s="31">
        <f>POWER(Retention2,4)</f>
        <v>0.65610000000000013</v>
      </c>
      <c r="BJ112" s="41">
        <v>0</v>
      </c>
      <c r="BK112" s="41">
        <v>0</v>
      </c>
      <c r="BL112" s="31">
        <f>POWER(Retention2,3)</f>
        <v>0.72900000000000009</v>
      </c>
      <c r="BM112" s="41">
        <v>0</v>
      </c>
      <c r="BN112" s="41">
        <v>0</v>
      </c>
      <c r="BO112" s="31">
        <f>POWER(Retention2,2)</f>
        <v>0.81</v>
      </c>
      <c r="BP112" s="41">
        <v>0</v>
      </c>
      <c r="BQ112" s="41">
        <v>0</v>
      </c>
      <c r="BR112" s="31">
        <f>POWER(Retention2,1)</f>
        <v>0.9</v>
      </c>
      <c r="BS112">
        <v>0</v>
      </c>
      <c r="BT112">
        <v>0</v>
      </c>
      <c r="BU112">
        <v>0</v>
      </c>
      <c r="BV112">
        <v>0</v>
      </c>
      <c r="BW112">
        <v>0</v>
      </c>
    </row>
    <row r="113" spans="1:75" x14ac:dyDescent="0.2">
      <c r="A113" s="43">
        <v>35</v>
      </c>
      <c r="B113" s="41">
        <v>0</v>
      </c>
      <c r="C113" s="31">
        <f>POWER(Retention1,11)</f>
        <v>0.31381059609000017</v>
      </c>
      <c r="D113" s="41">
        <v>0</v>
      </c>
      <c r="E113" s="41">
        <v>0</v>
      </c>
      <c r="F113" s="31">
        <f>POWER(Retention1,10)</f>
        <v>0.34867844010000015</v>
      </c>
      <c r="G113" s="41">
        <v>0</v>
      </c>
      <c r="H113" s="41">
        <v>0</v>
      </c>
      <c r="I113" s="31">
        <f>POWER(Retention1,9)</f>
        <v>0.38742048900000015</v>
      </c>
      <c r="J113" s="41">
        <v>0</v>
      </c>
      <c r="K113" s="41">
        <v>0</v>
      </c>
      <c r="L113" s="31">
        <f>POWER(Retention1,8)</f>
        <v>0.43046721000000016</v>
      </c>
      <c r="M113" s="41">
        <v>0</v>
      </c>
      <c r="N113" s="41">
        <v>0</v>
      </c>
      <c r="O113" s="31">
        <f>POWER(Retention1,7)</f>
        <v>0.47829690000000014</v>
      </c>
      <c r="P113" s="41">
        <v>0</v>
      </c>
      <c r="Q113" s="41">
        <v>0</v>
      </c>
      <c r="R113" s="31">
        <f>POWER(Retention1,6)</f>
        <v>0.53144100000000016</v>
      </c>
      <c r="S113" s="41">
        <v>0</v>
      </c>
      <c r="T113" s="41">
        <v>0</v>
      </c>
      <c r="U113" s="31">
        <f>POWER(Retention1,5)</f>
        <v>0.59049000000000018</v>
      </c>
      <c r="V113" s="41">
        <v>0</v>
      </c>
      <c r="W113" s="41">
        <v>0</v>
      </c>
      <c r="X113" s="31">
        <f>POWER(Retention1,4)</f>
        <v>0.65610000000000013</v>
      </c>
      <c r="Y113" s="41">
        <v>0</v>
      </c>
      <c r="Z113" s="41">
        <v>0</v>
      </c>
      <c r="AA113" s="31">
        <f>POWER(Retention1,3)</f>
        <v>0.72900000000000009</v>
      </c>
      <c r="AB113" s="41">
        <v>0</v>
      </c>
      <c r="AC113" s="41">
        <v>0</v>
      </c>
      <c r="AD113" s="31">
        <f>POWER(Retention1,2)</f>
        <v>0.81</v>
      </c>
      <c r="AE113" s="41">
        <v>0</v>
      </c>
      <c r="AF113" s="41">
        <v>0</v>
      </c>
      <c r="AG113" s="31">
        <f>POWER(Retention1,1)</f>
        <v>0.9</v>
      </c>
      <c r="AH113">
        <v>0</v>
      </c>
      <c r="AI113">
        <v>0</v>
      </c>
      <c r="AJ113">
        <v>0</v>
      </c>
      <c r="AK113">
        <v>0</v>
      </c>
      <c r="AM113" s="43">
        <v>35</v>
      </c>
      <c r="AN113" s="41">
        <v>0</v>
      </c>
      <c r="AO113" s="31">
        <f>POWER(Retention2,11)</f>
        <v>0.31381059609000017</v>
      </c>
      <c r="AP113" s="41">
        <v>0</v>
      </c>
      <c r="AQ113" s="41">
        <v>0</v>
      </c>
      <c r="AR113" s="31">
        <f>POWER(Retention2,10)</f>
        <v>0.34867844010000015</v>
      </c>
      <c r="AS113" s="41">
        <v>0</v>
      </c>
      <c r="AT113" s="41">
        <v>0</v>
      </c>
      <c r="AU113" s="31">
        <f>POWER(Retention2,9)</f>
        <v>0.38742048900000015</v>
      </c>
      <c r="AV113" s="41">
        <v>0</v>
      </c>
      <c r="AW113" s="41">
        <v>0</v>
      </c>
      <c r="AX113" s="31">
        <f>POWER(Retention2,8)</f>
        <v>0.43046721000000016</v>
      </c>
      <c r="AY113" s="41">
        <v>0</v>
      </c>
      <c r="AZ113" s="41">
        <v>0</v>
      </c>
      <c r="BA113" s="31">
        <f>POWER(Retention2,7)</f>
        <v>0.47829690000000014</v>
      </c>
      <c r="BB113" s="41">
        <v>0</v>
      </c>
      <c r="BC113" s="41">
        <v>0</v>
      </c>
      <c r="BD113" s="31">
        <f>POWER(Retention2,6)</f>
        <v>0.53144100000000016</v>
      </c>
      <c r="BE113" s="41">
        <v>0</v>
      </c>
      <c r="BF113" s="41">
        <v>0</v>
      </c>
      <c r="BG113" s="31">
        <f>POWER(Retention2,5)</f>
        <v>0.59049000000000018</v>
      </c>
      <c r="BH113" s="41">
        <v>0</v>
      </c>
      <c r="BI113" s="41">
        <v>0</v>
      </c>
      <c r="BJ113" s="31">
        <f>POWER(Retention2,4)</f>
        <v>0.65610000000000013</v>
      </c>
      <c r="BK113" s="41">
        <v>0</v>
      </c>
      <c r="BL113" s="41">
        <v>0</v>
      </c>
      <c r="BM113" s="31">
        <f>POWER(Retention2,3)</f>
        <v>0.72900000000000009</v>
      </c>
      <c r="BN113" s="41">
        <v>0</v>
      </c>
      <c r="BO113" s="41">
        <v>0</v>
      </c>
      <c r="BP113" s="31">
        <f>POWER(Retention2,2)</f>
        <v>0.81</v>
      </c>
      <c r="BQ113" s="41">
        <v>0</v>
      </c>
      <c r="BR113" s="41">
        <v>0</v>
      </c>
      <c r="BS113" s="31">
        <f>POWER(Retention2,1)</f>
        <v>0.9</v>
      </c>
      <c r="BT113">
        <v>0</v>
      </c>
      <c r="BU113">
        <v>0</v>
      </c>
      <c r="BV113">
        <v>0</v>
      </c>
      <c r="BW113">
        <v>0</v>
      </c>
    </row>
    <row r="114" spans="1:75" x14ac:dyDescent="0.2">
      <c r="A114" s="43">
        <v>36</v>
      </c>
      <c r="B114" s="41">
        <v>0</v>
      </c>
      <c r="C114" s="41">
        <v>0</v>
      </c>
      <c r="D114" s="31">
        <f>POWER(Retention1,11)</f>
        <v>0.31381059609000017</v>
      </c>
      <c r="E114" s="41">
        <v>0</v>
      </c>
      <c r="F114" s="41">
        <v>0</v>
      </c>
      <c r="G114" s="31">
        <f>POWER(Retention1,10)</f>
        <v>0.34867844010000015</v>
      </c>
      <c r="H114" s="41">
        <v>0</v>
      </c>
      <c r="I114" s="41">
        <v>0</v>
      </c>
      <c r="J114" s="31">
        <f>POWER(Retention1,9)</f>
        <v>0.38742048900000015</v>
      </c>
      <c r="K114" s="41">
        <v>0</v>
      </c>
      <c r="L114" s="41">
        <v>0</v>
      </c>
      <c r="M114" s="31">
        <f>POWER(Retention1,8)</f>
        <v>0.43046721000000016</v>
      </c>
      <c r="N114" s="41">
        <v>0</v>
      </c>
      <c r="O114" s="41">
        <v>0</v>
      </c>
      <c r="P114" s="31">
        <f>POWER(Retention1,7)</f>
        <v>0.47829690000000014</v>
      </c>
      <c r="Q114" s="41">
        <v>0</v>
      </c>
      <c r="R114" s="41">
        <v>0</v>
      </c>
      <c r="S114" s="31">
        <f>POWER(Retention1,6)</f>
        <v>0.53144100000000016</v>
      </c>
      <c r="T114" s="41">
        <v>0</v>
      </c>
      <c r="U114" s="41">
        <v>0</v>
      </c>
      <c r="V114" s="31">
        <f>POWER(Retention1,5)</f>
        <v>0.59049000000000018</v>
      </c>
      <c r="W114" s="41">
        <v>0</v>
      </c>
      <c r="X114" s="41">
        <v>0</v>
      </c>
      <c r="Y114" s="31">
        <f>POWER(Retention1,4)</f>
        <v>0.65610000000000013</v>
      </c>
      <c r="Z114" s="41">
        <v>0</v>
      </c>
      <c r="AA114" s="41">
        <v>0</v>
      </c>
      <c r="AB114" s="31">
        <f>POWER(Retention1,3)</f>
        <v>0.72900000000000009</v>
      </c>
      <c r="AC114" s="41">
        <v>0</v>
      </c>
      <c r="AD114" s="41">
        <v>0</v>
      </c>
      <c r="AE114" s="31">
        <f>POWER(Retention1,2)</f>
        <v>0.81</v>
      </c>
      <c r="AF114" s="41">
        <v>0</v>
      </c>
      <c r="AG114" s="41">
        <v>0</v>
      </c>
      <c r="AH114" s="31">
        <f>POWER(Retention1,1)</f>
        <v>0.9</v>
      </c>
      <c r="AI114">
        <v>0</v>
      </c>
      <c r="AJ114">
        <v>0</v>
      </c>
      <c r="AK114">
        <v>0</v>
      </c>
      <c r="AM114" s="43">
        <v>36</v>
      </c>
      <c r="AN114" s="41">
        <v>0</v>
      </c>
      <c r="AO114" s="41">
        <v>0</v>
      </c>
      <c r="AP114" s="31">
        <f>POWER(Retention2,11)</f>
        <v>0.31381059609000017</v>
      </c>
      <c r="AQ114" s="41">
        <v>0</v>
      </c>
      <c r="AR114" s="41">
        <v>0</v>
      </c>
      <c r="AS114" s="31">
        <f>POWER(Retention2,10)</f>
        <v>0.34867844010000015</v>
      </c>
      <c r="AT114" s="41">
        <v>0</v>
      </c>
      <c r="AU114" s="41">
        <v>0</v>
      </c>
      <c r="AV114" s="31">
        <f>POWER(Retention2,9)</f>
        <v>0.38742048900000015</v>
      </c>
      <c r="AW114" s="41">
        <v>0</v>
      </c>
      <c r="AX114" s="41">
        <v>0</v>
      </c>
      <c r="AY114" s="31">
        <f>POWER(Retention2,8)</f>
        <v>0.43046721000000016</v>
      </c>
      <c r="AZ114" s="41">
        <v>0</v>
      </c>
      <c r="BA114" s="41">
        <v>0</v>
      </c>
      <c r="BB114" s="31">
        <f>POWER(Retention2,7)</f>
        <v>0.47829690000000014</v>
      </c>
      <c r="BC114" s="41">
        <v>0</v>
      </c>
      <c r="BD114" s="41">
        <v>0</v>
      </c>
      <c r="BE114" s="31">
        <f>POWER(Retention2,6)</f>
        <v>0.53144100000000016</v>
      </c>
      <c r="BF114" s="41">
        <v>0</v>
      </c>
      <c r="BG114" s="41">
        <v>0</v>
      </c>
      <c r="BH114" s="31">
        <f>POWER(Retention2,5)</f>
        <v>0.59049000000000018</v>
      </c>
      <c r="BI114" s="41">
        <v>0</v>
      </c>
      <c r="BJ114" s="41">
        <v>0</v>
      </c>
      <c r="BK114" s="31">
        <f>POWER(Retention2,4)</f>
        <v>0.65610000000000013</v>
      </c>
      <c r="BL114" s="41">
        <v>0</v>
      </c>
      <c r="BM114" s="41">
        <v>0</v>
      </c>
      <c r="BN114" s="31">
        <f>POWER(Retention2,3)</f>
        <v>0.72900000000000009</v>
      </c>
      <c r="BO114" s="41">
        <v>0</v>
      </c>
      <c r="BP114" s="41">
        <v>0</v>
      </c>
      <c r="BQ114" s="31">
        <f>POWER(Retention2,2)</f>
        <v>0.81</v>
      </c>
      <c r="BR114" s="41">
        <v>0</v>
      </c>
      <c r="BS114" s="41">
        <v>0</v>
      </c>
      <c r="BT114" s="31">
        <f>POWER(Retention2,1)</f>
        <v>0.9</v>
      </c>
      <c r="BU114">
        <v>0</v>
      </c>
      <c r="BV114">
        <v>0</v>
      </c>
      <c r="BW114">
        <v>0</v>
      </c>
    </row>
    <row r="115" spans="1:75" x14ac:dyDescent="0.2">
      <c r="C115" s="41"/>
      <c r="D115" s="41"/>
      <c r="E115" s="31"/>
      <c r="F115" s="41"/>
      <c r="G115" s="41"/>
      <c r="H115" s="31"/>
      <c r="I115" s="41"/>
      <c r="J115" s="41"/>
      <c r="K115" s="31"/>
      <c r="L115" s="41"/>
      <c r="M115" s="41"/>
      <c r="N115" s="31"/>
      <c r="O115" s="41"/>
      <c r="P115" s="41"/>
      <c r="Q115" s="31"/>
      <c r="R115" s="41"/>
      <c r="S115" s="41"/>
      <c r="T115" s="31"/>
      <c r="U115" s="41"/>
      <c r="V115" s="41"/>
      <c r="W115" s="31"/>
      <c r="X115" s="41"/>
      <c r="Y115" s="41"/>
      <c r="Z115" s="31"/>
      <c r="AA115" s="41"/>
      <c r="AB115" s="41"/>
      <c r="AC115" s="31"/>
      <c r="AD115" s="41"/>
      <c r="AE115" s="41"/>
      <c r="AF115" s="31"/>
      <c r="AG115" s="41"/>
      <c r="AH115" s="41"/>
      <c r="AI115" s="31"/>
      <c r="AO115" s="41"/>
      <c r="AP115" s="41"/>
      <c r="AQ115" s="31"/>
      <c r="AR115" s="41"/>
      <c r="AS115" s="41"/>
      <c r="AT115" s="31"/>
      <c r="AU115" s="41"/>
      <c r="AV115" s="41"/>
      <c r="AW115" s="31"/>
      <c r="AX115" s="41"/>
      <c r="AY115" s="41"/>
      <c r="AZ115" s="31"/>
      <c r="BA115" s="41"/>
      <c r="BB115" s="41"/>
      <c r="BC115" s="31"/>
      <c r="BD115" s="41"/>
      <c r="BE115" s="41"/>
      <c r="BF115" s="31"/>
      <c r="BG115" s="41"/>
      <c r="BH115" s="41"/>
      <c r="BI115" s="31"/>
      <c r="BJ115" s="41"/>
      <c r="BK115" s="41"/>
      <c r="BL115" s="31"/>
      <c r="BM115" s="41"/>
      <c r="BN115" s="41"/>
      <c r="BO115" s="31"/>
      <c r="BP115" s="41"/>
      <c r="BQ115" s="41"/>
      <c r="BR115" s="31"/>
      <c r="BS115" s="41"/>
      <c r="BT115" s="41"/>
    </row>
    <row r="116" spans="1:75" x14ac:dyDescent="0.2">
      <c r="D116" s="41"/>
      <c r="E116" s="41"/>
      <c r="F116" s="31"/>
      <c r="G116" s="41"/>
      <c r="H116" s="41"/>
      <c r="I116" s="31"/>
      <c r="J116" s="41"/>
      <c r="K116" s="41"/>
      <c r="L116" s="31"/>
      <c r="M116" s="41"/>
      <c r="N116" s="41"/>
      <c r="O116" s="31"/>
      <c r="P116" s="41"/>
      <c r="Q116" s="41"/>
      <c r="R116" s="31"/>
      <c r="S116" s="41"/>
      <c r="T116" s="41"/>
      <c r="U116" s="31"/>
      <c r="V116" s="41"/>
      <c r="W116" s="41"/>
      <c r="X116" s="31"/>
      <c r="Y116" s="41"/>
      <c r="Z116" s="41"/>
      <c r="AA116" s="31"/>
      <c r="AB116" s="41"/>
      <c r="AC116" s="41"/>
      <c r="AD116" s="31"/>
      <c r="AE116" s="41"/>
      <c r="AF116" s="41"/>
      <c r="AG116" s="31"/>
      <c r="AH116" s="41"/>
      <c r="AI116" s="41"/>
      <c r="AP116" s="41"/>
      <c r="AQ116" s="41"/>
      <c r="AR116" s="31"/>
      <c r="AS116" s="41"/>
      <c r="AT116" s="41"/>
      <c r="AU116" s="31"/>
      <c r="AV116" s="41"/>
      <c r="AW116" s="41"/>
      <c r="AX116" s="31"/>
      <c r="AY116" s="41"/>
      <c r="AZ116" s="41"/>
      <c r="BA116" s="31"/>
      <c r="BB116" s="41"/>
      <c r="BC116" s="41"/>
      <c r="BD116" s="31"/>
      <c r="BE116" s="41"/>
      <c r="BF116" s="41"/>
      <c r="BG116" s="31"/>
      <c r="BH116" s="41"/>
      <c r="BI116" s="41"/>
      <c r="BJ116" s="31"/>
      <c r="BK116" s="41"/>
      <c r="BL116" s="41"/>
      <c r="BM116" s="31"/>
      <c r="BN116" s="41"/>
      <c r="BO116" s="41"/>
      <c r="BP116" s="31"/>
      <c r="BQ116" s="41"/>
      <c r="BR116" s="41"/>
      <c r="BS116" s="31"/>
      <c r="BT116" s="41"/>
    </row>
    <row r="117" spans="1:75" x14ac:dyDescent="0.2">
      <c r="E117" s="41"/>
      <c r="F117" s="41"/>
      <c r="G117" s="31"/>
      <c r="H117" s="41"/>
      <c r="I117" s="41"/>
      <c r="J117" s="31"/>
      <c r="K117" s="41"/>
      <c r="L117" s="41"/>
      <c r="M117" s="31"/>
      <c r="N117" s="41"/>
      <c r="O117" s="41"/>
      <c r="P117" s="31"/>
      <c r="Q117" s="41"/>
      <c r="R117" s="41"/>
      <c r="S117" s="31"/>
      <c r="T117" s="41"/>
      <c r="U117" s="41"/>
      <c r="V117" s="31"/>
      <c r="W117" s="41"/>
      <c r="X117" s="41"/>
      <c r="Y117" s="31"/>
      <c r="Z117" s="41"/>
      <c r="AA117" s="41"/>
      <c r="AB117" s="31"/>
      <c r="AC117" s="41"/>
      <c r="AD117" s="41"/>
      <c r="AE117" s="31"/>
      <c r="AF117" s="41"/>
      <c r="AG117" s="41"/>
      <c r="AH117" s="31"/>
      <c r="AI117" s="41"/>
      <c r="AQ117" s="41"/>
      <c r="AR117" s="41"/>
      <c r="AS117" s="31"/>
      <c r="AT117" s="41"/>
      <c r="AU117" s="41"/>
      <c r="AV117" s="31"/>
      <c r="AW117" s="41"/>
      <c r="AX117" s="41"/>
      <c r="AY117" s="31"/>
      <c r="AZ117" s="41"/>
      <c r="BA117" s="41"/>
      <c r="BB117" s="31"/>
      <c r="BC117" s="41"/>
      <c r="BD117" s="41"/>
      <c r="BE117" s="31"/>
      <c r="BF117" s="41"/>
      <c r="BG117" s="41"/>
      <c r="BH117" s="31"/>
      <c r="BI117" s="41"/>
      <c r="BJ117" s="41"/>
      <c r="BK117" s="31"/>
      <c r="BL117" s="41"/>
      <c r="BM117" s="41"/>
      <c r="BN117" s="31"/>
      <c r="BO117" s="41"/>
      <c r="BP117" s="41"/>
      <c r="BQ117" s="31"/>
      <c r="BR117" s="41"/>
      <c r="BS117" s="41"/>
      <c r="BT117" s="31"/>
    </row>
    <row r="118" spans="1:75" x14ac:dyDescent="0.2">
      <c r="F118" s="41"/>
      <c r="G118" s="41"/>
      <c r="H118" s="31"/>
      <c r="I118" s="41"/>
      <c r="J118" s="41"/>
      <c r="K118" s="31"/>
      <c r="L118" s="41"/>
      <c r="M118" s="41"/>
      <c r="N118" s="31"/>
      <c r="O118" s="41"/>
      <c r="P118" s="41"/>
      <c r="Q118" s="31"/>
      <c r="R118" s="41"/>
      <c r="S118" s="41"/>
      <c r="T118" s="31"/>
      <c r="U118" s="41"/>
      <c r="V118" s="41"/>
      <c r="W118" s="31"/>
      <c r="X118" s="41"/>
      <c r="Y118" s="41"/>
      <c r="Z118" s="31"/>
      <c r="AA118" s="41"/>
      <c r="AB118" s="41"/>
      <c r="AC118" s="31"/>
      <c r="AD118" s="41"/>
      <c r="AE118" s="41"/>
      <c r="AF118" s="31"/>
      <c r="AG118" s="41"/>
      <c r="AH118" s="41"/>
      <c r="AI118" s="31"/>
      <c r="AR118" s="41"/>
      <c r="AS118" s="41"/>
      <c r="AT118" s="31"/>
      <c r="AU118" s="41"/>
      <c r="AV118" s="41"/>
      <c r="AW118" s="31"/>
      <c r="AX118" s="41"/>
      <c r="AY118" s="41"/>
      <c r="AZ118" s="31"/>
      <c r="BA118" s="41"/>
      <c r="BB118" s="41"/>
      <c r="BC118" s="31"/>
      <c r="BD118" s="41"/>
      <c r="BE118" s="41"/>
      <c r="BF118" s="31"/>
      <c r="BG118" s="41"/>
      <c r="BH118" s="41"/>
      <c r="BI118" s="31"/>
      <c r="BJ118" s="41"/>
      <c r="BK118" s="41"/>
      <c r="BL118" s="31"/>
      <c r="BM118" s="41"/>
      <c r="BN118" s="41"/>
      <c r="BO118" s="31"/>
      <c r="BP118" s="41"/>
      <c r="BQ118" s="41"/>
      <c r="BR118" s="31"/>
      <c r="BS118" s="41"/>
      <c r="BT118" s="41"/>
    </row>
    <row r="119" spans="1:75" x14ac:dyDescent="0.2">
      <c r="G119" s="41"/>
      <c r="H119" s="41"/>
      <c r="I119" s="31"/>
      <c r="J119" s="41"/>
      <c r="K119" s="41"/>
      <c r="L119" s="31"/>
      <c r="M119" s="41"/>
      <c r="N119" s="41"/>
      <c r="O119" s="31"/>
      <c r="P119" s="41"/>
      <c r="Q119" s="41"/>
      <c r="R119" s="31"/>
      <c r="S119" s="41"/>
      <c r="T119" s="41"/>
      <c r="U119" s="31"/>
      <c r="V119" s="41"/>
      <c r="W119" s="41"/>
      <c r="X119" s="31"/>
      <c r="Y119" s="41"/>
      <c r="Z119" s="41"/>
      <c r="AA119" s="31"/>
      <c r="AB119" s="41"/>
      <c r="AC119" s="41"/>
      <c r="AD119" s="31"/>
      <c r="AE119" s="41"/>
      <c r="AF119" s="41"/>
      <c r="AG119" s="31"/>
      <c r="AH119" s="41"/>
      <c r="AI119" s="41"/>
      <c r="AS119" s="41"/>
      <c r="AT119" s="41"/>
      <c r="AU119" s="31"/>
      <c r="AV119" s="41"/>
      <c r="AW119" s="41"/>
      <c r="AX119" s="31"/>
      <c r="AY119" s="41"/>
      <c r="AZ119" s="41"/>
      <c r="BA119" s="31"/>
      <c r="BB119" s="41"/>
      <c r="BC119" s="41"/>
      <c r="BD119" s="31"/>
      <c r="BE119" s="41"/>
      <c r="BF119" s="41"/>
      <c r="BG119" s="31"/>
      <c r="BH119" s="41"/>
      <c r="BI119" s="41"/>
      <c r="BJ119" s="31"/>
      <c r="BK119" s="41"/>
      <c r="BL119" s="41"/>
      <c r="BM119" s="31"/>
      <c r="BN119" s="41"/>
      <c r="BO119" s="41"/>
      <c r="BP119" s="31"/>
      <c r="BQ119" s="41"/>
      <c r="BR119" s="41"/>
      <c r="BS119" s="31"/>
      <c r="BT119" s="41"/>
    </row>
    <row r="120" spans="1:75" x14ac:dyDescent="0.2">
      <c r="H120" s="41"/>
      <c r="I120" s="41"/>
      <c r="J120" s="31"/>
      <c r="K120" s="41"/>
      <c r="L120" s="41"/>
      <c r="M120" s="31"/>
      <c r="N120" s="41"/>
      <c r="O120" s="41"/>
      <c r="P120" s="31"/>
      <c r="Q120" s="41"/>
      <c r="R120" s="41"/>
      <c r="S120" s="31"/>
      <c r="T120" s="41"/>
      <c r="U120" s="41"/>
      <c r="V120" s="31"/>
      <c r="W120" s="41"/>
      <c r="X120" s="41"/>
      <c r="Y120" s="31"/>
      <c r="Z120" s="41"/>
      <c r="AA120" s="41"/>
      <c r="AB120" s="31"/>
      <c r="AC120" s="41"/>
      <c r="AD120" s="41"/>
      <c r="AE120" s="31"/>
      <c r="AF120" s="41"/>
      <c r="AG120" s="41"/>
      <c r="AH120" s="31"/>
      <c r="AI120" s="41"/>
      <c r="AT120" s="41"/>
      <c r="AU120" s="41"/>
      <c r="AV120" s="31"/>
      <c r="AW120" s="41"/>
      <c r="AX120" s="41"/>
      <c r="AY120" s="31"/>
      <c r="AZ120" s="41"/>
      <c r="BA120" s="41"/>
      <c r="BB120" s="31"/>
      <c r="BC120" s="41"/>
      <c r="BD120" s="41"/>
      <c r="BE120" s="31"/>
      <c r="BF120" s="41"/>
      <c r="BG120" s="41"/>
      <c r="BH120" s="31"/>
      <c r="BI120" s="41"/>
      <c r="BJ120" s="41"/>
      <c r="BK120" s="31"/>
      <c r="BL120" s="41"/>
      <c r="BM120" s="41"/>
      <c r="BN120" s="31"/>
      <c r="BO120" s="41"/>
      <c r="BP120" s="41"/>
      <c r="BQ120" s="31"/>
      <c r="BR120" s="41"/>
      <c r="BS120" s="41"/>
      <c r="BT120" s="31"/>
    </row>
    <row r="121" spans="1:75" x14ac:dyDescent="0.2">
      <c r="I121" s="41"/>
      <c r="J121" s="41"/>
      <c r="K121" s="31"/>
      <c r="L121" s="41"/>
      <c r="M121" s="41"/>
      <c r="N121" s="31"/>
      <c r="O121" s="41"/>
      <c r="P121" s="41"/>
      <c r="Q121" s="31"/>
      <c r="R121" s="41"/>
      <c r="S121" s="41"/>
      <c r="T121" s="31"/>
      <c r="U121" s="41"/>
      <c r="V121" s="41"/>
      <c r="W121" s="31"/>
      <c r="X121" s="41"/>
      <c r="Y121" s="41"/>
      <c r="Z121" s="31"/>
      <c r="AA121" s="41"/>
      <c r="AB121" s="41"/>
      <c r="AC121" s="31"/>
      <c r="AD121" s="41"/>
      <c r="AE121" s="41"/>
      <c r="AF121" s="31"/>
      <c r="AG121" s="41"/>
      <c r="AH121" s="41"/>
      <c r="AI121" s="31"/>
      <c r="AU121" s="41"/>
      <c r="AV121" s="41"/>
      <c r="AW121" s="31"/>
      <c r="AX121" s="41"/>
      <c r="AY121" s="41"/>
      <c r="AZ121" s="31"/>
      <c r="BA121" s="41"/>
      <c r="BB121" s="41"/>
      <c r="BC121" s="31"/>
      <c r="BD121" s="41"/>
      <c r="BE121" s="41"/>
      <c r="BF121" s="31"/>
      <c r="BG121" s="41"/>
      <c r="BH121" s="41"/>
      <c r="BI121" s="31"/>
      <c r="BJ121" s="41"/>
      <c r="BK121" s="41"/>
      <c r="BL121" s="31"/>
      <c r="BM121" s="41"/>
      <c r="BN121" s="41"/>
      <c r="BO121" s="31"/>
      <c r="BP121" s="41"/>
      <c r="BQ121" s="41"/>
      <c r="BR121" s="31"/>
      <c r="BS121" s="41"/>
      <c r="BT121" s="41"/>
    </row>
    <row r="122" spans="1:75" x14ac:dyDescent="0.2">
      <c r="J122" s="41"/>
      <c r="K122" s="41"/>
      <c r="L122" s="31"/>
      <c r="M122" s="41"/>
      <c r="N122" s="41"/>
      <c r="O122" s="31"/>
      <c r="P122" s="41"/>
      <c r="Q122" s="41"/>
      <c r="R122" s="31"/>
      <c r="S122" s="41"/>
      <c r="T122" s="41"/>
      <c r="U122" s="31"/>
      <c r="V122" s="41"/>
      <c r="W122" s="41"/>
      <c r="X122" s="31"/>
      <c r="Y122" s="41"/>
      <c r="Z122" s="41"/>
      <c r="AA122" s="31"/>
      <c r="AB122" s="41"/>
      <c r="AC122" s="41"/>
      <c r="AD122" s="31"/>
      <c r="AE122" s="41"/>
      <c r="AF122" s="41"/>
      <c r="AG122" s="31"/>
      <c r="AH122" s="41"/>
      <c r="AI122" s="41"/>
      <c r="AV122" s="41"/>
      <c r="AW122" s="41"/>
      <c r="AX122" s="31"/>
      <c r="AY122" s="41"/>
      <c r="AZ122" s="41"/>
      <c r="BA122" s="31"/>
      <c r="BB122" s="41"/>
      <c r="BC122" s="41"/>
      <c r="BD122" s="31"/>
      <c r="BE122" s="41"/>
      <c r="BF122" s="41"/>
      <c r="BG122" s="31"/>
      <c r="BH122" s="41"/>
      <c r="BI122" s="41"/>
      <c r="BJ122" s="31"/>
      <c r="BK122" s="41"/>
      <c r="BL122" s="41"/>
      <c r="BM122" s="31"/>
      <c r="BN122" s="41"/>
      <c r="BO122" s="41"/>
      <c r="BP122" s="31"/>
      <c r="BQ122" s="41"/>
      <c r="BR122" s="41"/>
      <c r="BS122" s="31"/>
      <c r="BT122" s="41"/>
    </row>
    <row r="123" spans="1:75" x14ac:dyDescent="0.2">
      <c r="K123" s="41"/>
      <c r="L123" s="41"/>
      <c r="M123" s="31"/>
      <c r="N123" s="41"/>
      <c r="O123" s="41"/>
      <c r="P123" s="31"/>
      <c r="Q123" s="41"/>
      <c r="R123" s="41"/>
      <c r="S123" s="31"/>
      <c r="T123" s="41"/>
      <c r="U123" s="41"/>
      <c r="V123" s="31"/>
      <c r="W123" s="41"/>
      <c r="X123" s="41"/>
      <c r="Y123" s="31"/>
      <c r="Z123" s="41"/>
      <c r="AA123" s="41"/>
      <c r="AB123" s="31"/>
      <c r="AC123" s="41"/>
      <c r="AD123" s="41"/>
      <c r="AE123" s="31"/>
      <c r="AF123" s="41"/>
      <c r="AG123" s="41"/>
      <c r="AH123" s="31"/>
      <c r="AI123" s="41"/>
      <c r="AW123" s="41"/>
      <c r="AX123" s="41"/>
      <c r="AY123" s="31"/>
      <c r="AZ123" s="41"/>
      <c r="BA123" s="41"/>
      <c r="BB123" s="31"/>
      <c r="BC123" s="41"/>
      <c r="BD123" s="41"/>
      <c r="BE123" s="31"/>
      <c r="BF123" s="41"/>
      <c r="BG123" s="41"/>
      <c r="BH123" s="31"/>
      <c r="BI123" s="41"/>
      <c r="BJ123" s="41"/>
      <c r="BK123" s="31"/>
      <c r="BL123" s="41"/>
      <c r="BM123" s="41"/>
      <c r="BN123" s="31"/>
      <c r="BO123" s="41"/>
      <c r="BP123" s="41"/>
      <c r="BQ123" s="31"/>
      <c r="BR123" s="41"/>
      <c r="BS123" s="41"/>
      <c r="BT123" s="31"/>
    </row>
    <row r="124" spans="1:75" x14ac:dyDescent="0.2">
      <c r="L124" s="41"/>
      <c r="M124" s="41"/>
      <c r="N124" s="31"/>
      <c r="O124" s="41"/>
      <c r="P124" s="41"/>
      <c r="Q124" s="31"/>
      <c r="R124" s="41"/>
      <c r="S124" s="41"/>
      <c r="T124" s="31"/>
      <c r="U124" s="41"/>
      <c r="V124" s="41"/>
      <c r="W124" s="31"/>
      <c r="X124" s="41"/>
      <c r="Y124" s="41"/>
      <c r="Z124" s="31"/>
      <c r="AA124" s="41"/>
      <c r="AB124" s="41"/>
      <c r="AC124" s="31"/>
      <c r="AD124" s="41"/>
      <c r="AE124" s="41"/>
      <c r="AF124" s="31"/>
      <c r="AG124" s="41"/>
      <c r="AH124" s="41"/>
      <c r="AI124" s="31"/>
      <c r="AX124" s="41"/>
      <c r="AY124" s="41"/>
      <c r="AZ124" s="31"/>
      <c r="BA124" s="41"/>
      <c r="BB124" s="41"/>
      <c r="BC124" s="31"/>
      <c r="BD124" s="41"/>
      <c r="BE124" s="41"/>
      <c r="BF124" s="31"/>
      <c r="BG124" s="41"/>
      <c r="BH124" s="41"/>
      <c r="BI124" s="31"/>
      <c r="BJ124" s="41"/>
      <c r="BK124" s="41"/>
      <c r="BL124" s="31"/>
      <c r="BM124" s="41"/>
      <c r="BN124" s="41"/>
      <c r="BO124" s="31"/>
      <c r="BP124" s="41"/>
      <c r="BQ124" s="41"/>
      <c r="BR124" s="31"/>
      <c r="BS124" s="41"/>
      <c r="BT124" s="41"/>
    </row>
    <row r="125" spans="1:75" x14ac:dyDescent="0.2">
      <c r="M125" s="41"/>
      <c r="N125" s="41"/>
      <c r="O125" s="31"/>
      <c r="P125" s="41"/>
      <c r="Q125" s="41"/>
      <c r="R125" s="31"/>
      <c r="S125" s="41"/>
      <c r="T125" s="41"/>
      <c r="U125" s="31"/>
      <c r="V125" s="41"/>
      <c r="W125" s="41"/>
      <c r="X125" s="31"/>
      <c r="Y125" s="41"/>
      <c r="Z125" s="41"/>
      <c r="AA125" s="31"/>
      <c r="AB125" s="41"/>
      <c r="AC125" s="41"/>
      <c r="AD125" s="31"/>
      <c r="AE125" s="41"/>
      <c r="AF125" s="41"/>
      <c r="AG125" s="31"/>
      <c r="AH125" s="41"/>
      <c r="AI125" s="41"/>
      <c r="AY125" s="41"/>
      <c r="AZ125" s="41"/>
      <c r="BA125" s="31"/>
      <c r="BB125" s="41"/>
      <c r="BC125" s="41"/>
      <c r="BD125" s="31"/>
      <c r="BE125" s="41"/>
      <c r="BF125" s="41"/>
      <c r="BG125" s="31"/>
      <c r="BH125" s="41"/>
      <c r="BI125" s="41"/>
      <c r="BJ125" s="31"/>
      <c r="BK125" s="41"/>
      <c r="BL125" s="41"/>
      <c r="BM125" s="31"/>
      <c r="BN125" s="41"/>
      <c r="BO125" s="41"/>
      <c r="BP125" s="31"/>
      <c r="BQ125" s="41"/>
      <c r="BR125" s="41"/>
      <c r="BS125" s="31"/>
      <c r="BT125" s="41"/>
    </row>
    <row r="126" spans="1:75" x14ac:dyDescent="0.2">
      <c r="N126" s="41"/>
      <c r="O126" s="41"/>
      <c r="P126" s="31"/>
      <c r="Q126" s="41"/>
      <c r="R126" s="41"/>
      <c r="S126" s="31"/>
      <c r="T126" s="41"/>
      <c r="U126" s="41"/>
      <c r="V126" s="31"/>
      <c r="W126" s="41"/>
      <c r="X126" s="41"/>
      <c r="Y126" s="31"/>
      <c r="Z126" s="41"/>
      <c r="AA126" s="41"/>
      <c r="AB126" s="31"/>
      <c r="AC126" s="41"/>
      <c r="AD126" s="41"/>
      <c r="AE126" s="31"/>
      <c r="AF126" s="41"/>
      <c r="AG126" s="41"/>
      <c r="AH126" s="31"/>
      <c r="AI126" s="41"/>
      <c r="AZ126" s="41"/>
      <c r="BA126" s="41"/>
      <c r="BB126" s="31"/>
      <c r="BC126" s="41"/>
      <c r="BD126" s="41"/>
      <c r="BE126" s="31"/>
      <c r="BF126" s="41"/>
      <c r="BG126" s="41"/>
      <c r="BH126" s="31"/>
      <c r="BI126" s="41"/>
      <c r="BJ126" s="41"/>
      <c r="BK126" s="31"/>
      <c r="BL126" s="41"/>
      <c r="BM126" s="41"/>
      <c r="BN126" s="31"/>
      <c r="BO126" s="41"/>
      <c r="BP126" s="41"/>
      <c r="BQ126" s="31"/>
      <c r="BR126" s="41"/>
      <c r="BS126" s="41"/>
      <c r="BT126" s="31"/>
    </row>
    <row r="127" spans="1:75" x14ac:dyDescent="0.2">
      <c r="O127" s="41"/>
      <c r="P127" s="41"/>
      <c r="Q127" s="31"/>
      <c r="R127" s="41"/>
      <c r="S127" s="41"/>
      <c r="T127" s="31"/>
      <c r="U127" s="41"/>
      <c r="V127" s="41"/>
      <c r="W127" s="31"/>
      <c r="X127" s="41"/>
      <c r="Y127" s="41"/>
      <c r="Z127" s="31"/>
      <c r="AA127" s="41"/>
      <c r="AB127" s="41"/>
      <c r="AC127" s="31"/>
      <c r="AD127" s="41"/>
      <c r="AE127" s="41"/>
      <c r="AF127" s="31"/>
      <c r="AG127" s="41"/>
      <c r="AH127" s="41"/>
      <c r="AI127" s="31"/>
      <c r="BA127" s="41"/>
      <c r="BB127" s="41"/>
      <c r="BC127" s="31"/>
      <c r="BD127" s="41"/>
      <c r="BE127" s="41"/>
      <c r="BF127" s="31"/>
      <c r="BG127" s="41"/>
      <c r="BH127" s="41"/>
      <c r="BI127" s="31"/>
      <c r="BJ127" s="41"/>
      <c r="BK127" s="41"/>
      <c r="BL127" s="31"/>
      <c r="BM127" s="41"/>
      <c r="BN127" s="41"/>
      <c r="BO127" s="31"/>
      <c r="BP127" s="41"/>
      <c r="BQ127" s="41"/>
      <c r="BR127" s="31"/>
      <c r="BS127" s="41"/>
      <c r="BT127" s="41"/>
    </row>
    <row r="128" spans="1:75" x14ac:dyDescent="0.2">
      <c r="P128" s="41"/>
      <c r="Q128" s="41"/>
      <c r="R128" s="31"/>
      <c r="S128" s="41"/>
      <c r="T128" s="41"/>
      <c r="U128" s="31"/>
      <c r="V128" s="41"/>
      <c r="W128" s="41"/>
      <c r="X128" s="31"/>
      <c r="Y128" s="41"/>
      <c r="Z128" s="41"/>
      <c r="AA128" s="31"/>
      <c r="AB128" s="41"/>
      <c r="AC128" s="41"/>
      <c r="AD128" s="31"/>
      <c r="AE128" s="41"/>
      <c r="AF128" s="41"/>
      <c r="AG128" s="31"/>
      <c r="AH128" s="41"/>
      <c r="AI128" s="41"/>
      <c r="BB128" s="41"/>
      <c r="BC128" s="41"/>
      <c r="BD128" s="31"/>
      <c r="BE128" s="41"/>
      <c r="BF128" s="41"/>
      <c r="BG128" s="31"/>
      <c r="BH128" s="41"/>
      <c r="BI128" s="41"/>
      <c r="BJ128" s="31"/>
      <c r="BK128" s="41"/>
      <c r="BL128" s="41"/>
      <c r="BM128" s="31"/>
      <c r="BN128" s="41"/>
      <c r="BO128" s="41"/>
      <c r="BP128" s="31"/>
      <c r="BQ128" s="41"/>
      <c r="BR128" s="41"/>
      <c r="BS128" s="31"/>
      <c r="BT128" s="41"/>
    </row>
    <row r="129" spans="17:72" x14ac:dyDescent="0.2">
      <c r="Q129" s="41"/>
      <c r="R129" s="41"/>
      <c r="S129" s="31"/>
      <c r="T129" s="41"/>
      <c r="U129" s="41"/>
      <c r="V129" s="31"/>
      <c r="W129" s="41"/>
      <c r="X129" s="41"/>
      <c r="Y129" s="31"/>
      <c r="Z129" s="41"/>
      <c r="AA129" s="41"/>
      <c r="AB129" s="31"/>
      <c r="AC129" s="41"/>
      <c r="AD129" s="41"/>
      <c r="AE129" s="31"/>
      <c r="AF129" s="41"/>
      <c r="AG129" s="41"/>
      <c r="AH129" s="31"/>
      <c r="AI129" s="41"/>
      <c r="BC129" s="41"/>
      <c r="BD129" s="41"/>
      <c r="BE129" s="31"/>
      <c r="BF129" s="41"/>
      <c r="BG129" s="41"/>
      <c r="BH129" s="31"/>
      <c r="BI129" s="41"/>
      <c r="BJ129" s="41"/>
      <c r="BK129" s="31"/>
      <c r="BL129" s="41"/>
      <c r="BM129" s="41"/>
      <c r="BN129" s="31"/>
      <c r="BO129" s="41"/>
      <c r="BP129" s="41"/>
      <c r="BQ129" s="31"/>
      <c r="BR129" s="41"/>
      <c r="BS129" s="41"/>
      <c r="BT129" s="31"/>
    </row>
    <row r="130" spans="17:72" x14ac:dyDescent="0.2">
      <c r="R130" s="41"/>
      <c r="S130" s="41"/>
      <c r="T130" s="31"/>
      <c r="U130" s="41"/>
      <c r="V130" s="41"/>
      <c r="W130" s="31"/>
      <c r="X130" s="41"/>
      <c r="Y130" s="41"/>
      <c r="Z130" s="31"/>
      <c r="AA130" s="41"/>
      <c r="AB130" s="41"/>
      <c r="AC130" s="31"/>
      <c r="AD130" s="41"/>
      <c r="AE130" s="41"/>
      <c r="AF130" s="31"/>
      <c r="AG130" s="41"/>
      <c r="AH130" s="41"/>
      <c r="AI130" s="31"/>
      <c r="BD130" s="41"/>
      <c r="BE130" s="41"/>
      <c r="BF130" s="31"/>
      <c r="BG130" s="41"/>
      <c r="BH130" s="41"/>
      <c r="BI130" s="31"/>
      <c r="BJ130" s="41"/>
      <c r="BK130" s="41"/>
      <c r="BL130" s="31"/>
      <c r="BM130" s="41"/>
      <c r="BN130" s="41"/>
      <c r="BO130" s="31"/>
      <c r="BP130" s="41"/>
      <c r="BQ130" s="41"/>
      <c r="BR130" s="31"/>
      <c r="BS130" s="41"/>
      <c r="BT130" s="41"/>
    </row>
    <row r="131" spans="17:72" x14ac:dyDescent="0.2">
      <c r="S131" s="41"/>
      <c r="T131" s="41"/>
      <c r="U131" s="31"/>
      <c r="V131" s="41"/>
      <c r="W131" s="41"/>
      <c r="X131" s="31"/>
      <c r="Y131" s="41"/>
      <c r="Z131" s="41"/>
      <c r="AA131" s="31"/>
      <c r="AB131" s="41"/>
      <c r="AC131" s="41"/>
      <c r="AD131" s="31"/>
      <c r="AE131" s="41"/>
      <c r="AF131" s="41"/>
      <c r="AG131" s="31"/>
      <c r="AH131" s="41"/>
      <c r="AI131" s="41"/>
      <c r="BE131" s="41"/>
      <c r="BF131" s="41"/>
      <c r="BG131" s="31"/>
      <c r="BH131" s="41"/>
      <c r="BI131" s="41"/>
      <c r="BJ131" s="31"/>
      <c r="BK131" s="41"/>
      <c r="BL131" s="41"/>
      <c r="BM131" s="31"/>
      <c r="BN131" s="41"/>
      <c r="BO131" s="41"/>
      <c r="BP131" s="31"/>
      <c r="BQ131" s="41"/>
      <c r="BR131" s="41"/>
      <c r="BS131" s="31"/>
      <c r="BT131" s="41"/>
    </row>
    <row r="132" spans="17:72" x14ac:dyDescent="0.2">
      <c r="T132" s="41"/>
      <c r="U132" s="41"/>
      <c r="V132" s="31"/>
      <c r="W132" s="41"/>
      <c r="X132" s="41"/>
      <c r="Y132" s="31"/>
      <c r="Z132" s="41"/>
      <c r="AA132" s="41"/>
      <c r="AB132" s="31"/>
      <c r="AC132" s="41"/>
      <c r="AD132" s="41"/>
      <c r="AE132" s="31"/>
      <c r="AF132" s="41"/>
      <c r="AG132" s="41"/>
      <c r="AH132" s="31"/>
      <c r="AI132" s="41"/>
      <c r="BF132" s="41"/>
      <c r="BG132" s="41"/>
      <c r="BH132" s="31"/>
      <c r="BI132" s="41"/>
      <c r="BJ132" s="41"/>
      <c r="BK132" s="31"/>
      <c r="BL132" s="41"/>
      <c r="BM132" s="41"/>
      <c r="BN132" s="31"/>
      <c r="BO132" s="41"/>
      <c r="BP132" s="41"/>
      <c r="BQ132" s="31"/>
      <c r="BR132" s="41"/>
      <c r="BS132" s="41"/>
      <c r="BT132" s="31"/>
    </row>
    <row r="133" spans="17:72" x14ac:dyDescent="0.2">
      <c r="U133" s="41"/>
      <c r="V133" s="41"/>
      <c r="W133" s="31"/>
      <c r="X133" s="41"/>
      <c r="Y133" s="41"/>
      <c r="Z133" s="31"/>
      <c r="AA133" s="41"/>
      <c r="AB133" s="41"/>
      <c r="AC133" s="31"/>
      <c r="AD133" s="41"/>
      <c r="AE133" s="41"/>
      <c r="AF133" s="31"/>
      <c r="AG133" s="41"/>
      <c r="AH133" s="41"/>
      <c r="AI133" s="31"/>
      <c r="BG133" s="41"/>
      <c r="BH133" s="41"/>
      <c r="BI133" s="31"/>
      <c r="BJ133" s="41"/>
      <c r="BK133" s="41"/>
      <c r="BL133" s="31"/>
      <c r="BM133" s="41"/>
      <c r="BN133" s="41"/>
      <c r="BO133" s="31"/>
      <c r="BP133" s="41"/>
      <c r="BQ133" s="41"/>
      <c r="BR133" s="31"/>
      <c r="BS133" s="41"/>
      <c r="BT133" s="41"/>
    </row>
    <row r="134" spans="17:72" x14ac:dyDescent="0.2">
      <c r="V134" s="41"/>
      <c r="W134" s="41"/>
      <c r="X134" s="31"/>
      <c r="Y134" s="41"/>
      <c r="Z134" s="41"/>
      <c r="AA134" s="31"/>
      <c r="AB134" s="41"/>
      <c r="AC134" s="41"/>
      <c r="AD134" s="31"/>
      <c r="AE134" s="41"/>
      <c r="AF134" s="41"/>
      <c r="AG134" s="31"/>
      <c r="AH134" s="41"/>
      <c r="AI134" s="41"/>
      <c r="BH134" s="41"/>
      <c r="BI134" s="41"/>
      <c r="BJ134" s="31"/>
      <c r="BK134" s="41"/>
      <c r="BL134" s="41"/>
      <c r="BM134" s="31"/>
      <c r="BN134" s="41"/>
      <c r="BO134" s="41"/>
      <c r="BP134" s="31"/>
      <c r="BQ134" s="41"/>
      <c r="BR134" s="41"/>
      <c r="BS134" s="31"/>
      <c r="BT134" s="41"/>
    </row>
    <row r="135" spans="17:72" x14ac:dyDescent="0.2">
      <c r="W135" s="41"/>
      <c r="X135" s="41"/>
      <c r="Y135" s="31"/>
      <c r="Z135" s="41"/>
      <c r="AA135" s="41"/>
      <c r="AB135" s="31"/>
      <c r="AC135" s="41"/>
      <c r="AD135" s="41"/>
      <c r="AE135" s="31"/>
      <c r="AF135" s="41"/>
      <c r="AG135" s="41"/>
      <c r="AH135" s="31"/>
      <c r="AI135" s="41"/>
      <c r="BI135" s="41"/>
      <c r="BJ135" s="41"/>
      <c r="BK135" s="31"/>
      <c r="BL135" s="41"/>
      <c r="BM135" s="41"/>
      <c r="BN135" s="31"/>
      <c r="BO135" s="41"/>
      <c r="BP135" s="41"/>
      <c r="BQ135" s="31"/>
      <c r="BR135" s="41"/>
      <c r="BS135" s="41"/>
      <c r="BT135" s="31"/>
    </row>
    <row r="136" spans="17:72" x14ac:dyDescent="0.2">
      <c r="X136" s="41"/>
      <c r="Y136" s="41"/>
      <c r="Z136" s="31"/>
      <c r="AA136" s="41"/>
      <c r="AB136" s="41"/>
      <c r="AC136" s="31"/>
      <c r="AD136" s="41"/>
      <c r="AE136" s="41"/>
      <c r="AF136" s="31"/>
      <c r="AG136" s="41"/>
      <c r="AH136" s="41"/>
      <c r="AI136" s="31"/>
      <c r="BJ136" s="41"/>
      <c r="BK136" s="41"/>
      <c r="BL136" s="31"/>
      <c r="BM136" s="41"/>
      <c r="BN136" s="41"/>
      <c r="BO136" s="31"/>
      <c r="BP136" s="41"/>
      <c r="BQ136" s="41"/>
      <c r="BR136" s="31"/>
      <c r="BS136" s="41"/>
      <c r="BT136" s="41"/>
    </row>
    <row r="137" spans="17:72" x14ac:dyDescent="0.2">
      <c r="Y137" s="41"/>
      <c r="Z137" s="41"/>
      <c r="AA137" s="31"/>
      <c r="AB137" s="41"/>
      <c r="AC137" s="41"/>
      <c r="AD137" s="31"/>
      <c r="AE137" s="41"/>
      <c r="AF137" s="41"/>
      <c r="AG137" s="31"/>
      <c r="AH137" s="41"/>
      <c r="AI137" s="41"/>
      <c r="BK137" s="41"/>
      <c r="BL137" s="41"/>
      <c r="BM137" s="31"/>
      <c r="BN137" s="41"/>
      <c r="BO137" s="41"/>
      <c r="BP137" s="31"/>
      <c r="BQ137" s="41"/>
      <c r="BR137" s="41"/>
      <c r="BS137" s="31"/>
      <c r="BT137" s="41"/>
    </row>
    <row r="138" spans="17:72" x14ac:dyDescent="0.2">
      <c r="Z138" s="41"/>
      <c r="AA138" s="41"/>
      <c r="AB138" s="31"/>
      <c r="AC138" s="41"/>
      <c r="AD138" s="41"/>
      <c r="AE138" s="31"/>
      <c r="AF138" s="41"/>
      <c r="AG138" s="41"/>
      <c r="AH138" s="31"/>
      <c r="AI138" s="41"/>
      <c r="BL138" s="41"/>
      <c r="BM138" s="41"/>
      <c r="BN138" s="31"/>
      <c r="BO138" s="41"/>
      <c r="BP138" s="41"/>
      <c r="BQ138" s="31"/>
      <c r="BR138" s="41"/>
      <c r="BS138" s="41"/>
      <c r="BT138" s="31"/>
    </row>
    <row r="139" spans="17:72" x14ac:dyDescent="0.2">
      <c r="AA139" s="41"/>
      <c r="AB139" s="41"/>
      <c r="AC139" s="31"/>
      <c r="AD139" s="41"/>
      <c r="AE139" s="41"/>
      <c r="AF139" s="31"/>
      <c r="AG139" s="41"/>
      <c r="AH139" s="41"/>
      <c r="AI139" s="31"/>
      <c r="BM139" s="41"/>
      <c r="BN139" s="41"/>
      <c r="BO139" s="31"/>
      <c r="BP139" s="41"/>
      <c r="BQ139" s="41"/>
      <c r="BR139" s="31"/>
      <c r="BS139" s="41"/>
      <c r="BT139" s="41"/>
    </row>
    <row r="140" spans="17:72" x14ac:dyDescent="0.2">
      <c r="AB140" s="41"/>
      <c r="AC140" s="41"/>
      <c r="AD140" s="31"/>
      <c r="AE140" s="41"/>
      <c r="AF140" s="41"/>
      <c r="AG140" s="31"/>
      <c r="AH140" s="41"/>
      <c r="AI140" s="41"/>
      <c r="BN140" s="41"/>
      <c r="BO140" s="41"/>
      <c r="BP140" s="31"/>
      <c r="BQ140" s="41"/>
      <c r="BR140" s="41"/>
      <c r="BS140" s="31"/>
      <c r="BT140" s="41"/>
    </row>
    <row r="141" spans="17:72" x14ac:dyDescent="0.2">
      <c r="AC141" s="41"/>
      <c r="AD141" s="41"/>
      <c r="AE141" s="31"/>
      <c r="AF141" s="41"/>
      <c r="AG141" s="41"/>
      <c r="AH141" s="31"/>
      <c r="AI141" s="41"/>
      <c r="BO141" s="41"/>
      <c r="BP141" s="41"/>
      <c r="BQ141" s="31"/>
      <c r="BR141" s="41"/>
      <c r="BS141" s="41"/>
      <c r="BT141" s="31"/>
    </row>
    <row r="142" spans="17:72" x14ac:dyDescent="0.2">
      <c r="AD142" s="41"/>
      <c r="AE142" s="41"/>
      <c r="AF142" s="31"/>
      <c r="AG142" s="41"/>
      <c r="AH142" s="41"/>
      <c r="AI142" s="31"/>
      <c r="BP142" s="41"/>
      <c r="BQ142" s="41"/>
      <c r="BR142" s="31"/>
      <c r="BS142" s="41"/>
      <c r="BT142" s="41"/>
    </row>
    <row r="143" spans="17:72" x14ac:dyDescent="0.2">
      <c r="AE143" s="41"/>
      <c r="AF143" s="41"/>
      <c r="AG143" s="31"/>
      <c r="AH143" s="41"/>
      <c r="AI143" s="41"/>
      <c r="BQ143" s="41"/>
      <c r="BR143" s="41"/>
      <c r="BS143" s="31"/>
      <c r="BT143" s="41"/>
    </row>
    <row r="144" spans="17:72" x14ac:dyDescent="0.2">
      <c r="AF144" s="41"/>
      <c r="AG144" s="41"/>
      <c r="AH144" s="31"/>
      <c r="AI144" s="41"/>
      <c r="BR144" s="41"/>
      <c r="BS144" s="41"/>
      <c r="BT144" s="31"/>
    </row>
    <row r="145" spans="33:72" x14ac:dyDescent="0.2">
      <c r="AG145" s="41"/>
      <c r="AH145" s="41"/>
      <c r="AI145" s="31"/>
      <c r="BS145" s="41"/>
      <c r="BT145" s="41"/>
    </row>
    <row r="146" spans="33:72" x14ac:dyDescent="0.2">
      <c r="AH146" s="41"/>
      <c r="AI146" s="41"/>
      <c r="BT146" s="41"/>
    </row>
    <row r="147" spans="33:72" x14ac:dyDescent="0.2">
      <c r="AI147" s="41"/>
    </row>
  </sheetData>
  <sheetProtection sheet="1" objects="1" scenarios="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3"/>
  <sheetViews>
    <sheetView tabSelected="1" workbookViewId="0">
      <selection activeCell="B24" sqref="B24"/>
    </sheetView>
  </sheetViews>
  <sheetFormatPr baseColWidth="10" defaultColWidth="8.83203125" defaultRowHeight="15" x14ac:dyDescent="0.2"/>
  <cols>
    <col min="1" max="1" width="28.5" style="33" bestFit="1" customWidth="1"/>
    <col min="2" max="2" width="12.5" style="88" bestFit="1" customWidth="1"/>
    <col min="3" max="3" width="13.5" style="94" bestFit="1" customWidth="1"/>
    <col min="4" max="4" width="13.6640625" style="94" bestFit="1" customWidth="1"/>
    <col min="5" max="6" width="14.5" style="94" bestFit="1" customWidth="1"/>
    <col min="7" max="7" width="12.5" style="88" bestFit="1" customWidth="1"/>
    <col min="8" max="8" width="12.33203125" style="94" bestFit="1" customWidth="1"/>
    <col min="9" max="9" width="13.6640625" style="94" bestFit="1" customWidth="1"/>
    <col min="10" max="11" width="13.5" style="94" bestFit="1" customWidth="1"/>
    <col min="12" max="12" width="13.5" style="88" bestFit="1" customWidth="1"/>
    <col min="13" max="15" width="13.6640625" style="88" bestFit="1" customWidth="1"/>
    <col min="16" max="16" width="13.6640625" style="33" bestFit="1" customWidth="1"/>
    <col min="17" max="17" width="6" style="33" bestFit="1" customWidth="1"/>
    <col min="18" max="18" width="4.5" style="33" bestFit="1" customWidth="1"/>
    <col min="19" max="16384" width="8.83203125" style="33"/>
  </cols>
  <sheetData>
    <row r="1" spans="1:18" s="19" customFormat="1" ht="30.75" customHeight="1" x14ac:dyDescent="0.2">
      <c r="B1" s="109" t="s">
        <v>94</v>
      </c>
      <c r="C1" s="110" t="s">
        <v>95</v>
      </c>
      <c r="D1" s="110" t="s">
        <v>96</v>
      </c>
      <c r="E1" s="110" t="s">
        <v>97</v>
      </c>
      <c r="F1" s="110" t="s">
        <v>98</v>
      </c>
      <c r="G1" s="109" t="s">
        <v>99</v>
      </c>
      <c r="H1" s="110" t="s">
        <v>100</v>
      </c>
      <c r="I1" s="110" t="s">
        <v>101</v>
      </c>
      <c r="J1" s="110" t="s">
        <v>102</v>
      </c>
      <c r="K1" s="110" t="s">
        <v>103</v>
      </c>
      <c r="L1" s="109" t="s">
        <v>104</v>
      </c>
      <c r="M1" s="109" t="s">
        <v>199</v>
      </c>
      <c r="N1" s="109" t="s">
        <v>106</v>
      </c>
      <c r="O1" s="109" t="s">
        <v>107</v>
      </c>
      <c r="Q1" s="95" t="s">
        <v>121</v>
      </c>
      <c r="R1" s="96">
        <v>0.35</v>
      </c>
    </row>
    <row r="2" spans="1:18" s="19" customFormat="1" x14ac:dyDescent="0.2">
      <c r="A2" s="19" t="s">
        <v>197</v>
      </c>
      <c r="B2" s="141">
        <f>DetailedForecast!C2</f>
        <v>0</v>
      </c>
      <c r="C2" s="91"/>
      <c r="D2" s="91"/>
      <c r="E2" s="91"/>
      <c r="F2" s="91"/>
      <c r="G2" s="141">
        <f>SUM(DetailedForecast!D2:O2)</f>
        <v>0</v>
      </c>
      <c r="H2" s="91"/>
      <c r="I2" s="91"/>
      <c r="J2" s="91"/>
      <c r="K2" s="91"/>
      <c r="L2" s="141">
        <f>SUM(DetailedForecast!P2:AA2)</f>
        <v>0</v>
      </c>
      <c r="M2" s="141">
        <f>SUM(DetailedForecast!AB2:AM2)</f>
        <v>0</v>
      </c>
      <c r="N2" s="141">
        <f>SUM(DetailedForecast!AN2:AY2)</f>
        <v>0</v>
      </c>
      <c r="O2" s="141">
        <f>SUM(DetailedForecast!AZ2:BK2)</f>
        <v>0</v>
      </c>
    </row>
    <row r="3" spans="1:18" s="19" customFormat="1" x14ac:dyDescent="0.2">
      <c r="A3" s="19" t="s">
        <v>30</v>
      </c>
      <c r="B3" s="91"/>
      <c r="C3" s="105">
        <f>SUM(DetailedForecast!D32:F32)</f>
        <v>394.17197180972596</v>
      </c>
      <c r="D3" s="105">
        <f>SUM(DetailedForecast!G32:I32)</f>
        <v>758.94467879262947</v>
      </c>
      <c r="E3" s="105">
        <f>SUM(DetailedForecast!J32:L32)</f>
        <v>1293.9281678294547</v>
      </c>
      <c r="F3" s="105">
        <f>SUM(DetailedForecast!M32:O32)</f>
        <v>2070.9138180924629</v>
      </c>
      <c r="G3" s="28">
        <f>SUM(C3:F3)</f>
        <v>4517.9586365242731</v>
      </c>
      <c r="H3" s="105">
        <f>SUM(DetailedForecast!P32:R32)</f>
        <v>3265.1994759818563</v>
      </c>
      <c r="I3" s="105">
        <f>SUM(DetailedForecast!S32:U32)</f>
        <v>4844.0960875744468</v>
      </c>
      <c r="J3" s="105">
        <f>SUM(DetailedForecast!V32:X32)</f>
        <v>6961.2482211202014</v>
      </c>
      <c r="K3" s="105">
        <f>SUM(DetailedForecast!Y32:AA32)</f>
        <v>9704.7821991950896</v>
      </c>
      <c r="L3" s="28">
        <f>SUM(H3:K3)</f>
        <v>24775.325983871597</v>
      </c>
      <c r="M3" s="106">
        <f>SUM(DetailedForecast!AB32:AM32)</f>
        <v>80587.579280551785</v>
      </c>
      <c r="N3" s="106">
        <f>SUM(DetailedForecast!AN32:AY32)</f>
        <v>137750.18536343297</v>
      </c>
      <c r="O3" s="106">
        <f>SUM(DetailedForecast!AZ32:BK32)</f>
        <v>149664.88728807555</v>
      </c>
    </row>
    <row r="4" spans="1:18" s="19" customFormat="1" x14ac:dyDescent="0.2">
      <c r="A4" s="19" t="s">
        <v>31</v>
      </c>
      <c r="B4" s="100"/>
      <c r="C4" s="101">
        <f>SUM(RevenueQ1)</f>
        <v>7883.4394361945187</v>
      </c>
      <c r="D4" s="101">
        <f>SUM(RevenueQ2)</f>
        <v>15178.893575852589</v>
      </c>
      <c r="E4" s="101">
        <f>SUM(RevenueQ3)</f>
        <v>25878.563356589093</v>
      </c>
      <c r="F4" s="101">
        <f>SUM(RevenueQ4)</f>
        <v>41418.276361849261</v>
      </c>
      <c r="G4" s="62">
        <f t="shared" ref="G4:G19" si="0">SUM(B4:F4)</f>
        <v>90359.172730485458</v>
      </c>
      <c r="H4" s="101">
        <f>SUM(RevenueQ5)</f>
        <v>65303.989519637114</v>
      </c>
      <c r="I4" s="101">
        <f>SUM(RevenueQ6)</f>
        <v>96881.921751488931</v>
      </c>
      <c r="J4" s="101">
        <f>SUM(RevenueQ7)</f>
        <v>139224.96442240404</v>
      </c>
      <c r="K4" s="101">
        <f>SUM(RevenueQ8)</f>
        <v>194095.6439839018</v>
      </c>
      <c r="L4" s="104">
        <f t="shared" ref="L4:L20" si="1">SUM(H4:K4)</f>
        <v>495506.5196774319</v>
      </c>
      <c r="M4" s="62">
        <f>SUM(DetailedForecast!AB42:AM42)</f>
        <v>1611751.5856110358</v>
      </c>
      <c r="N4" s="62">
        <f>SUM(DetailedForecast!AN42:AY42)</f>
        <v>2755003.707268659</v>
      </c>
      <c r="O4" s="62">
        <f>SUM(DetailedForecast!AZ42:BK42)</f>
        <v>2993297.7457615109</v>
      </c>
    </row>
    <row r="5" spans="1:18" s="19" customFormat="1" x14ac:dyDescent="0.2">
      <c r="A5" s="19" t="s">
        <v>79</v>
      </c>
      <c r="B5" s="101">
        <f>SUM(B6:B20)</f>
        <v>-77000</v>
      </c>
      <c r="C5" s="101">
        <f ca="1">SUM(C6:C20)</f>
        <v>-67734.356675962801</v>
      </c>
      <c r="D5" s="101">
        <f t="shared" ref="D5:K5" ca="1" si="2">SUM(D6:D20)</f>
        <v>-69339.356586687572</v>
      </c>
      <c r="E5" s="101">
        <f t="shared" ca="1" si="2"/>
        <v>-71693.283938449604</v>
      </c>
      <c r="F5" s="101">
        <f t="shared" ca="1" si="2"/>
        <v>-75112.020799606835</v>
      </c>
      <c r="G5" s="62">
        <f t="shared" ca="1" si="0"/>
        <v>-360879.0180007068</v>
      </c>
      <c r="H5" s="101">
        <f t="shared" ca="1" si="2"/>
        <v>-80366.877694320166</v>
      </c>
      <c r="I5" s="101">
        <f t="shared" ca="1" si="2"/>
        <v>-87314.022785327557</v>
      </c>
      <c r="J5" s="101">
        <f t="shared" ca="1" si="2"/>
        <v>-96629.492172928876</v>
      </c>
      <c r="K5" s="101">
        <f t="shared" ca="1" si="2"/>
        <v>-108701.04167645841</v>
      </c>
      <c r="L5" s="62">
        <f t="shared" ca="1" si="1"/>
        <v>-373011.43432903499</v>
      </c>
      <c r="M5" s="62">
        <f ca="1">SUM(DetailedForecast!AB127:AM128)</f>
        <v>-618585.34883442754</v>
      </c>
      <c r="N5" s="62">
        <f ca="1">SUM(DetailedForecast!AN127:AY128)</f>
        <v>-870100.81559910486</v>
      </c>
      <c r="O5" s="62">
        <f ca="1">SUM(DetailedForecast!AZ127:BK128)</f>
        <v>-922525.50406753237</v>
      </c>
    </row>
    <row r="6" spans="1:18" s="97" customFormat="1" x14ac:dyDescent="0.2">
      <c r="A6" s="97" t="str">
        <f>Lists!A8</f>
        <v>Marketing/Sales</v>
      </c>
      <c r="B6" s="102">
        <f>DetailedForecast!C43</f>
        <v>0</v>
      </c>
      <c r="C6" s="103">
        <f ca="1">SUM(Costs1Q1)</f>
        <v>0</v>
      </c>
      <c r="D6" s="103">
        <f ca="1">SUM(Costs1Q2)</f>
        <v>0</v>
      </c>
      <c r="E6" s="103">
        <f ca="1">SUM(Costs1Q3)</f>
        <v>0</v>
      </c>
      <c r="F6" s="103">
        <f ca="1">SUM(Costs1Q4)</f>
        <v>0</v>
      </c>
      <c r="G6" s="114">
        <f t="shared" ca="1" si="0"/>
        <v>0</v>
      </c>
      <c r="H6" s="103">
        <f ca="1">SUM(Costs1Q5)</f>
        <v>0</v>
      </c>
      <c r="I6" s="103">
        <f ca="1">SUM(Costs1Q6)</f>
        <v>0</v>
      </c>
      <c r="J6" s="103">
        <f ca="1">SUM(Costs1Q7)</f>
        <v>0</v>
      </c>
      <c r="K6" s="103">
        <f ca="1">SUM(Costs1Q8)</f>
        <v>0</v>
      </c>
      <c r="L6" s="114">
        <f t="shared" ca="1" si="1"/>
        <v>0</v>
      </c>
      <c r="M6" s="94"/>
      <c r="N6" s="94"/>
      <c r="O6" s="94"/>
    </row>
    <row r="7" spans="1:18" s="97" customFormat="1" x14ac:dyDescent="0.2">
      <c r="A7" s="97" t="str">
        <f>Lists!A9</f>
        <v>Technical Feasibility</v>
      </c>
      <c r="B7" s="102">
        <f>DetailedForecast!C44</f>
        <v>-50000</v>
      </c>
      <c r="C7" s="102">
        <f ca="1">SUM(Costs2Q1)</f>
        <v>0</v>
      </c>
      <c r="D7" s="102">
        <f ca="1">SUM(Costs2Q2)</f>
        <v>0</v>
      </c>
      <c r="E7" s="102">
        <f ca="1">SUM(Costs2Q3)</f>
        <v>0</v>
      </c>
      <c r="F7" s="102">
        <f ca="1">SUM(Costs2Q4)</f>
        <v>0</v>
      </c>
      <c r="G7" s="114">
        <f t="shared" ca="1" si="0"/>
        <v>-50000</v>
      </c>
      <c r="H7" s="102">
        <f ca="1">SUM(Costs2Q5)</f>
        <v>0</v>
      </c>
      <c r="I7" s="102">
        <f ca="1">SUM(Costs2Q6)</f>
        <v>0</v>
      </c>
      <c r="J7" s="102">
        <f ca="1">SUM(Costs2Q7)</f>
        <v>0</v>
      </c>
      <c r="K7" s="102">
        <f ca="1">SUM(Costs2Q8)</f>
        <v>0</v>
      </c>
      <c r="L7" s="114">
        <f t="shared" ca="1" si="1"/>
        <v>0</v>
      </c>
      <c r="M7" s="94"/>
      <c r="N7" s="94"/>
      <c r="O7" s="94"/>
    </row>
    <row r="8" spans="1:18" s="97" customFormat="1" x14ac:dyDescent="0.2">
      <c r="A8" s="97" t="str">
        <f>Lists!A10</f>
        <v>Software</v>
      </c>
      <c r="B8" s="102">
        <f>DetailedForecast!C45</f>
        <v>-20000</v>
      </c>
      <c r="C8" s="102">
        <f ca="1">SUM(Costs3Q1)</f>
        <v>-30000</v>
      </c>
      <c r="D8" s="102">
        <f ca="1">SUM(Costs3Q2)</f>
        <v>-30000</v>
      </c>
      <c r="E8" s="102">
        <f ca="1">SUM(Costs3Q3)</f>
        <v>-30000</v>
      </c>
      <c r="F8" s="102">
        <f ca="1">SUM(Costs3Q4)</f>
        <v>-30000</v>
      </c>
      <c r="G8" s="114">
        <f t="shared" ca="1" si="0"/>
        <v>-140000</v>
      </c>
      <c r="H8" s="102">
        <f ca="1">SUM(Costs3Q5)</f>
        <v>-30000</v>
      </c>
      <c r="I8" s="102">
        <f ca="1">SUM(Costs3Q6)</f>
        <v>-30000</v>
      </c>
      <c r="J8" s="102">
        <f ca="1">SUM(Costs3Q7)</f>
        <v>-30000</v>
      </c>
      <c r="K8" s="102">
        <f ca="1">SUM(Costs3Q8)</f>
        <v>-30000</v>
      </c>
      <c r="L8" s="114">
        <f t="shared" ca="1" si="1"/>
        <v>-120000</v>
      </c>
      <c r="M8" s="94"/>
      <c r="N8" s="94"/>
      <c r="O8" s="94"/>
    </row>
    <row r="9" spans="1:18" s="97" customFormat="1" x14ac:dyDescent="0.2">
      <c r="A9" s="97" t="str">
        <f>Lists!A11</f>
        <v>Hardware</v>
      </c>
      <c r="B9" s="102">
        <f>DetailedForecast!C46</f>
        <v>0</v>
      </c>
      <c r="C9" s="102">
        <f ca="1">SUM(Costs4Q1)</f>
        <v>-1576.6878872389038</v>
      </c>
      <c r="D9" s="102">
        <f ca="1">SUM(Costs4Q2)</f>
        <v>-3035.7787151705179</v>
      </c>
      <c r="E9" s="102">
        <f ca="1">SUM(Costs4Q3)</f>
        <v>-5175.7126713178186</v>
      </c>
      <c r="F9" s="102">
        <f ca="1">SUM(Costs4Q4)</f>
        <v>-8283.6552723698514</v>
      </c>
      <c r="G9" s="114">
        <f t="shared" ca="1" si="0"/>
        <v>-18071.834546097092</v>
      </c>
      <c r="H9" s="102">
        <f ca="1">SUM(Costs4Q5)</f>
        <v>-13060.797903927425</v>
      </c>
      <c r="I9" s="102">
        <f ca="1">SUM(Costs4Q6)</f>
        <v>-19376.384350297787</v>
      </c>
      <c r="J9" s="102">
        <f ca="1">SUM(Costs4Q7)</f>
        <v>-27844.992884480806</v>
      </c>
      <c r="K9" s="102">
        <f ca="1">SUM(Costs4Q8)</f>
        <v>-38819.128796780358</v>
      </c>
      <c r="L9" s="114">
        <f t="shared" ca="1" si="1"/>
        <v>-99101.303935486387</v>
      </c>
      <c r="M9" s="94"/>
      <c r="N9" s="94"/>
      <c r="O9" s="94"/>
    </row>
    <row r="10" spans="1:18" s="97" customFormat="1" x14ac:dyDescent="0.2">
      <c r="A10" s="97" t="str">
        <f>Lists!A12</f>
        <v>Prototype</v>
      </c>
      <c r="B10" s="102">
        <f>DetailedForecast!C47</f>
        <v>0</v>
      </c>
      <c r="C10" s="102">
        <f ca="1">SUM(Costs5Q1)</f>
        <v>0</v>
      </c>
      <c r="D10" s="102">
        <f ca="1">SUM(Costs5Q2)</f>
        <v>0</v>
      </c>
      <c r="E10" s="102">
        <f ca="1">SUM(Costs5Q3)</f>
        <v>0</v>
      </c>
      <c r="F10" s="102">
        <f ca="1">SUM(Costs5Q4)</f>
        <v>0</v>
      </c>
      <c r="G10" s="114">
        <f t="shared" ca="1" si="0"/>
        <v>0</v>
      </c>
      <c r="H10" s="102">
        <f ca="1">SUM(Costs5Q5)</f>
        <v>0</v>
      </c>
      <c r="I10" s="102">
        <f ca="1">SUM(Costs5Q6)</f>
        <v>0</v>
      </c>
      <c r="J10" s="102">
        <f ca="1">SUM(Costs5Q7)</f>
        <v>0</v>
      </c>
      <c r="K10" s="102">
        <f ca="1">SUM(Costs5Q8)</f>
        <v>0</v>
      </c>
      <c r="L10" s="114">
        <f t="shared" ca="1" si="1"/>
        <v>0</v>
      </c>
      <c r="M10" s="94"/>
      <c r="N10" s="94"/>
      <c r="O10" s="94"/>
    </row>
    <row r="11" spans="1:18" s="97" customFormat="1" x14ac:dyDescent="0.2">
      <c r="A11" s="97" t="str">
        <f>Lists!A13</f>
        <v>Legal</v>
      </c>
      <c r="B11" s="102">
        <f>DetailedForecast!C48</f>
        <v>0</v>
      </c>
      <c r="C11" s="102">
        <f ca="1">SUM(Costs6Q1)</f>
        <v>0</v>
      </c>
      <c r="D11" s="102">
        <f ca="1">SUM(Costs6Q2)</f>
        <v>0</v>
      </c>
      <c r="E11" s="102">
        <f ca="1">SUM(Costs6Q3)</f>
        <v>0</v>
      </c>
      <c r="F11" s="102">
        <f ca="1">SUM(Costs6Q4)</f>
        <v>0</v>
      </c>
      <c r="G11" s="114">
        <f t="shared" ca="1" si="0"/>
        <v>0</v>
      </c>
      <c r="H11" s="102">
        <f ca="1">SUM(Costs6Q5)</f>
        <v>0</v>
      </c>
      <c r="I11" s="102">
        <f ca="1">SUM(Costs6Q6)</f>
        <v>0</v>
      </c>
      <c r="J11" s="102">
        <f ca="1">SUM(Costs6Q7)</f>
        <v>0</v>
      </c>
      <c r="K11" s="102">
        <f ca="1">SUM(Costs6Q8)</f>
        <v>0</v>
      </c>
      <c r="L11" s="114">
        <f t="shared" ca="1" si="1"/>
        <v>0</v>
      </c>
      <c r="M11" s="94"/>
      <c r="N11" s="94"/>
      <c r="O11" s="94"/>
    </row>
    <row r="12" spans="1:18" s="97" customFormat="1" x14ac:dyDescent="0.2">
      <c r="A12" s="97" t="str">
        <f>Lists!A14</f>
        <v>Manufacturing</v>
      </c>
      <c r="B12" s="102">
        <f>DetailedForecast!C49</f>
        <v>0</v>
      </c>
      <c r="C12" s="102">
        <f ca="1">SUM(Costs7Q1)</f>
        <v>0</v>
      </c>
      <c r="D12" s="102">
        <f ca="1">SUM(Costs7Q2)</f>
        <v>0</v>
      </c>
      <c r="E12" s="102">
        <f ca="1">SUM(Costs7Q3)</f>
        <v>0</v>
      </c>
      <c r="F12" s="102">
        <f ca="1">SUM(Costs7Q4)</f>
        <v>0</v>
      </c>
      <c r="G12" s="114">
        <f t="shared" ca="1" si="0"/>
        <v>0</v>
      </c>
      <c r="H12" s="102">
        <f ca="1">SUM(Costs7Q5)</f>
        <v>0</v>
      </c>
      <c r="I12" s="102">
        <f ca="1">SUM(Costs7Q6)</f>
        <v>0</v>
      </c>
      <c r="J12" s="102">
        <f ca="1">SUM(Costs7Q7)</f>
        <v>0</v>
      </c>
      <c r="K12" s="102">
        <f ca="1">SUM(Costs7Q8)</f>
        <v>0</v>
      </c>
      <c r="L12" s="114">
        <f t="shared" ca="1" si="1"/>
        <v>0</v>
      </c>
      <c r="M12" s="94"/>
      <c r="N12" s="94"/>
      <c r="O12" s="94"/>
    </row>
    <row r="13" spans="1:18" s="97" customFormat="1" x14ac:dyDescent="0.2">
      <c r="A13" s="97" t="str">
        <f>Lists!A15</f>
        <v>Customer Service</v>
      </c>
      <c r="B13" s="102">
        <f>DetailedForecast!C50</f>
        <v>0</v>
      </c>
      <c r="C13" s="102">
        <f ca="1">SUM(Costs8Q1)</f>
        <v>0</v>
      </c>
      <c r="D13" s="102">
        <f ca="1">SUM(Costs8Q2)</f>
        <v>0</v>
      </c>
      <c r="E13" s="102">
        <f ca="1">SUM(Costs8Q3)</f>
        <v>0</v>
      </c>
      <c r="F13" s="102">
        <f ca="1">SUM(Costs8Q4)</f>
        <v>0</v>
      </c>
      <c r="G13" s="114">
        <f t="shared" ca="1" si="0"/>
        <v>0</v>
      </c>
      <c r="H13" s="102">
        <f ca="1">SUM(Costs8Q5)</f>
        <v>0</v>
      </c>
      <c r="I13" s="102">
        <f ca="1">SUM(Costs8Q6)</f>
        <v>0</v>
      </c>
      <c r="J13" s="102">
        <f ca="1">SUM(Costs8Q7)</f>
        <v>0</v>
      </c>
      <c r="K13" s="102">
        <f ca="1">SUM(Costs8Q8)</f>
        <v>0</v>
      </c>
      <c r="L13" s="114">
        <f t="shared" ca="1" si="1"/>
        <v>0</v>
      </c>
      <c r="M13" s="94"/>
      <c r="N13" s="94"/>
      <c r="O13" s="94"/>
    </row>
    <row r="14" spans="1:18" s="97" customFormat="1" x14ac:dyDescent="0.2">
      <c r="A14" s="97" t="str">
        <f>Lists!A16</f>
        <v>Overhead</v>
      </c>
      <c r="B14" s="102">
        <f>DetailedForecast!C51</f>
        <v>0</v>
      </c>
      <c r="C14" s="102">
        <f ca="1">SUM(Costs9Q1)</f>
        <v>-30000</v>
      </c>
      <c r="D14" s="102">
        <f ca="1">SUM(Costs9Q2)</f>
        <v>-30000</v>
      </c>
      <c r="E14" s="102">
        <f ca="1">SUM(Costs9Q3)</f>
        <v>-30000</v>
      </c>
      <c r="F14" s="102">
        <f ca="1">SUM(Costs9Q4)</f>
        <v>-30000</v>
      </c>
      <c r="G14" s="114">
        <f t="shared" ca="1" si="0"/>
        <v>-120000</v>
      </c>
      <c r="H14" s="102">
        <f ca="1">SUM(Costs9Q5)</f>
        <v>-30000</v>
      </c>
      <c r="I14" s="102">
        <f ca="1">SUM(Costs9Q6)</f>
        <v>-30000</v>
      </c>
      <c r="J14" s="102">
        <f ca="1">SUM(Costs9Q7)</f>
        <v>-30000</v>
      </c>
      <c r="K14" s="102">
        <f ca="1">SUM(Costs9Q8)</f>
        <v>-30000</v>
      </c>
      <c r="L14" s="114">
        <f t="shared" ca="1" si="1"/>
        <v>-120000</v>
      </c>
      <c r="M14" s="94"/>
      <c r="N14" s="94"/>
      <c r="O14" s="94"/>
    </row>
    <row r="15" spans="1:18" s="97" customFormat="1" x14ac:dyDescent="0.2">
      <c r="A15" s="97" t="str">
        <f>Lists!A17</f>
        <v>Misc.</v>
      </c>
      <c r="B15" s="102">
        <f>DetailedForecast!C52</f>
        <v>0</v>
      </c>
      <c r="C15" s="102">
        <f ca="1">SUM(Costs10Q1)</f>
        <v>0</v>
      </c>
      <c r="D15" s="102">
        <f ca="1">SUM(Costs10Q2)</f>
        <v>0</v>
      </c>
      <c r="E15" s="102">
        <f ca="1">SUM(Costs10Q3)</f>
        <v>0</v>
      </c>
      <c r="F15" s="102">
        <f ca="1">SUM(Costs10Q4)</f>
        <v>0</v>
      </c>
      <c r="G15" s="114">
        <f t="shared" ca="1" si="0"/>
        <v>0</v>
      </c>
      <c r="H15" s="102">
        <f ca="1">SUM(Costs10Q5)</f>
        <v>0</v>
      </c>
      <c r="I15" s="102">
        <f ca="1">SUM(Costs10Q6)</f>
        <v>0</v>
      </c>
      <c r="J15" s="102">
        <f ca="1">SUM(Costs10Q7)</f>
        <v>0</v>
      </c>
      <c r="K15" s="102">
        <f ca="1">SUM(Costs10Q8)</f>
        <v>0</v>
      </c>
      <c r="L15" s="114">
        <f t="shared" ca="1" si="1"/>
        <v>0</v>
      </c>
      <c r="M15" s="94"/>
      <c r="N15" s="94"/>
      <c r="O15" s="94"/>
    </row>
    <row r="16" spans="1:18" s="97" customFormat="1" x14ac:dyDescent="0.2">
      <c r="A16" s="97" t="str">
        <f>Lists!A18</f>
        <v>N/A</v>
      </c>
      <c r="B16" s="102">
        <f>DetailedForecast!C53</f>
        <v>0</v>
      </c>
      <c r="C16" s="102">
        <f ca="1">SUM(Costs11Q1)</f>
        <v>0</v>
      </c>
      <c r="D16" s="102">
        <f ca="1">SUM(Costs11Q2)</f>
        <v>0</v>
      </c>
      <c r="E16" s="102">
        <f ca="1">SUM(Costs11Q3)</f>
        <v>0</v>
      </c>
      <c r="F16" s="102">
        <f ca="1">SUM(Costs11Q4)</f>
        <v>0</v>
      </c>
      <c r="G16" s="114">
        <f t="shared" ca="1" si="0"/>
        <v>0</v>
      </c>
      <c r="H16" s="102">
        <f ca="1">SUM(Costs11Q5)</f>
        <v>0</v>
      </c>
      <c r="I16" s="102">
        <f ca="1">SUM(Costs11Q6)</f>
        <v>0</v>
      </c>
      <c r="J16" s="102">
        <f ca="1">SUM(Costs11Q7)</f>
        <v>0</v>
      </c>
      <c r="K16" s="102">
        <f ca="1">SUM(Costs11Q8)</f>
        <v>0</v>
      </c>
      <c r="L16" s="114">
        <f t="shared" ca="1" si="1"/>
        <v>0</v>
      </c>
      <c r="M16" s="94"/>
      <c r="N16" s="94"/>
      <c r="O16" s="94"/>
    </row>
    <row r="17" spans="1:20" s="97" customFormat="1" x14ac:dyDescent="0.2">
      <c r="A17" s="97" t="str">
        <f>Lists!A19</f>
        <v>N/A</v>
      </c>
      <c r="B17" s="102">
        <f>DetailedForecast!C54</f>
        <v>0</v>
      </c>
      <c r="C17" s="102">
        <f ca="1">SUM(Costs12Q1)</f>
        <v>0</v>
      </c>
      <c r="D17" s="102">
        <f ca="1">SUM(Costs12Q2)</f>
        <v>0</v>
      </c>
      <c r="E17" s="102">
        <f ca="1">SUM(Costs12Q3)</f>
        <v>0</v>
      </c>
      <c r="F17" s="102">
        <f ca="1">SUM(Costs12Q4)</f>
        <v>0</v>
      </c>
      <c r="G17" s="114">
        <f t="shared" ca="1" si="0"/>
        <v>0</v>
      </c>
      <c r="H17" s="102">
        <f ca="1">SUM(Costs12Q5)</f>
        <v>0</v>
      </c>
      <c r="I17" s="102">
        <f ca="1">SUM(Costs12Q6)</f>
        <v>0</v>
      </c>
      <c r="J17" s="102">
        <f ca="1">SUM(Costs12Q7)</f>
        <v>0</v>
      </c>
      <c r="K17" s="102">
        <f ca="1">SUM(Costs12Q8)</f>
        <v>0</v>
      </c>
      <c r="L17" s="114">
        <f t="shared" ca="1" si="1"/>
        <v>0</v>
      </c>
      <c r="M17" s="94"/>
      <c r="N17" s="94"/>
      <c r="O17" s="94"/>
    </row>
    <row r="18" spans="1:20" s="97" customFormat="1" x14ac:dyDescent="0.2">
      <c r="A18" s="97" t="str">
        <f>Lists!A20</f>
        <v>N/A</v>
      </c>
      <c r="B18" s="102">
        <f>DetailedForecast!C55</f>
        <v>0</v>
      </c>
      <c r="C18" s="102">
        <f ca="1">SUM(Costs13Q1)</f>
        <v>0</v>
      </c>
      <c r="D18" s="102">
        <f ca="1">SUM(Costs13Q2)</f>
        <v>0</v>
      </c>
      <c r="E18" s="102">
        <f ca="1">SUM(Costs13Q3)</f>
        <v>0</v>
      </c>
      <c r="F18" s="102">
        <f ca="1">SUM(Costs13Q4)</f>
        <v>0</v>
      </c>
      <c r="G18" s="114">
        <f t="shared" ca="1" si="0"/>
        <v>0</v>
      </c>
      <c r="H18" s="102">
        <f ca="1">SUM(Costs13Q5)</f>
        <v>0</v>
      </c>
      <c r="I18" s="102">
        <f ca="1">SUM(Costs13Q6)</f>
        <v>0</v>
      </c>
      <c r="J18" s="102">
        <f ca="1">SUM(Costs13Q7)</f>
        <v>0</v>
      </c>
      <c r="K18" s="102">
        <f ca="1">SUM(Costs13Q8)</f>
        <v>0</v>
      </c>
      <c r="L18" s="114">
        <f t="shared" ca="1" si="1"/>
        <v>0</v>
      </c>
      <c r="M18" s="94"/>
      <c r="N18" s="94"/>
      <c r="O18" s="94"/>
    </row>
    <row r="19" spans="1:20" s="97" customFormat="1" x14ac:dyDescent="0.2">
      <c r="A19" s="97" t="str">
        <f>Lists!A21</f>
        <v>N/A</v>
      </c>
      <c r="B19" s="102">
        <f>DetailedForecast!C56</f>
        <v>0</v>
      </c>
      <c r="C19" s="102">
        <f ca="1">SUM(Costs14Q1)</f>
        <v>0</v>
      </c>
      <c r="D19" s="102">
        <f ca="1">SUM(Costs14Q2)</f>
        <v>0</v>
      </c>
      <c r="E19" s="102">
        <f ca="1">SUM(Costs14Q3)</f>
        <v>0</v>
      </c>
      <c r="F19" s="102">
        <f ca="1">SUM(Costs14Q4)</f>
        <v>0</v>
      </c>
      <c r="G19" s="114">
        <f t="shared" ca="1" si="0"/>
        <v>0</v>
      </c>
      <c r="H19" s="102">
        <f ca="1">SUM(Costs14Q5)</f>
        <v>0</v>
      </c>
      <c r="I19" s="102">
        <f ca="1">SUM(Costs14Q6)</f>
        <v>0</v>
      </c>
      <c r="J19" s="102">
        <f ca="1">SUM(Costs14Q7)</f>
        <v>0</v>
      </c>
      <c r="K19" s="102">
        <f ca="1">SUM(Costs14Q8)</f>
        <v>0</v>
      </c>
      <c r="L19" s="114">
        <f t="shared" ca="1" si="1"/>
        <v>0</v>
      </c>
      <c r="M19" s="94"/>
      <c r="N19" s="94"/>
      <c r="O19" s="94"/>
    </row>
    <row r="20" spans="1:20" s="97" customFormat="1" x14ac:dyDescent="0.2">
      <c r="A20" s="97" t="s">
        <v>120</v>
      </c>
      <c r="B20" s="102">
        <f>SUM(B6:B19)*WYSIATI</f>
        <v>-7000</v>
      </c>
      <c r="C20" s="102">
        <f ca="1">SUM(C6:C19)*WYSIATI</f>
        <v>-6157.6687887238913</v>
      </c>
      <c r="D20" s="102">
        <f ca="1">SUM(D6:D19)*WYSIATI</f>
        <v>-6303.5778715170527</v>
      </c>
      <c r="E20" s="102">
        <f ca="1">SUM(E6:E19)*WYSIATI</f>
        <v>-6517.5712671317815</v>
      </c>
      <c r="F20" s="102">
        <f ca="1">SUM(F6:F19)*WYSIATI</f>
        <v>-6828.3655272369861</v>
      </c>
      <c r="G20" s="114">
        <f ca="1">SUM(B20:F20)</f>
        <v>-32807.183454609709</v>
      </c>
      <c r="H20" s="102">
        <f ca="1">SUM(H6:H19)*WYSIATI</f>
        <v>-7306.0797903927423</v>
      </c>
      <c r="I20" s="102">
        <f ca="1">SUM(I6:I19)*WYSIATI</f>
        <v>-7937.6384350297785</v>
      </c>
      <c r="J20" s="102">
        <f ca="1">SUM(J6:J19)*WYSIATI</f>
        <v>-8784.4992884480798</v>
      </c>
      <c r="K20" s="102">
        <f ca="1">SUM(K6:K19)*WYSIATI</f>
        <v>-9881.9128796780369</v>
      </c>
      <c r="L20" s="114">
        <f t="shared" ca="1" si="1"/>
        <v>-33910.130393548636</v>
      </c>
      <c r="M20" s="94"/>
      <c r="N20" s="94"/>
      <c r="O20" s="94"/>
    </row>
    <row r="21" spans="1:20" s="89" customFormat="1" x14ac:dyDescent="0.2">
      <c r="A21" s="89" t="s">
        <v>122</v>
      </c>
      <c r="B21" s="62">
        <f>B4+B5</f>
        <v>-77000</v>
      </c>
      <c r="C21" s="62">
        <f t="shared" ref="C21:L21" ca="1" si="3">C4+C5</f>
        <v>-59850.917239768285</v>
      </c>
      <c r="D21" s="62">
        <f t="shared" ca="1" si="3"/>
        <v>-54160.463010834981</v>
      </c>
      <c r="E21" s="62">
        <f t="shared" ca="1" si="3"/>
        <v>-45814.720581860514</v>
      </c>
      <c r="F21" s="62">
        <f t="shared" ca="1" si="3"/>
        <v>-33693.744437757574</v>
      </c>
      <c r="G21" s="62">
        <f t="shared" ca="1" si="3"/>
        <v>-270519.84527022135</v>
      </c>
      <c r="H21" s="62">
        <f t="shared" ca="1" si="3"/>
        <v>-15062.888174683052</v>
      </c>
      <c r="I21" s="62">
        <f t="shared" ca="1" si="3"/>
        <v>9567.8989661613741</v>
      </c>
      <c r="J21" s="62">
        <f t="shared" ca="1" si="3"/>
        <v>42595.472249475162</v>
      </c>
      <c r="K21" s="62">
        <f t="shared" ca="1" si="3"/>
        <v>85394.602307443391</v>
      </c>
      <c r="L21" s="62">
        <f t="shared" ca="1" si="3"/>
        <v>122495.08534839691</v>
      </c>
      <c r="M21" s="62">
        <f ca="1">M4+M5</f>
        <v>993166.23677660828</v>
      </c>
      <c r="N21" s="62">
        <f ca="1">N4+N5</f>
        <v>1884902.8916695542</v>
      </c>
      <c r="O21" s="62">
        <f ca="1">O4+O5</f>
        <v>2070772.2416939787</v>
      </c>
    </row>
    <row r="22" spans="1:20" s="89" customFormat="1" x14ac:dyDescent="0.2">
      <c r="A22" s="89" t="s">
        <v>121</v>
      </c>
      <c r="B22" s="92"/>
      <c r="C22" s="93"/>
      <c r="D22" s="93"/>
      <c r="E22" s="93"/>
      <c r="F22" s="93"/>
      <c r="G22" s="62">
        <f ca="1">G21*TaxRate*-1</f>
        <v>94681.945844577465</v>
      </c>
      <c r="H22" s="93"/>
      <c r="I22" s="93"/>
      <c r="J22" s="93"/>
      <c r="K22" s="93"/>
      <c r="L22" s="62">
        <f ca="1">L21*TaxRate*-1</f>
        <v>-42873.279871938917</v>
      </c>
      <c r="M22" s="62">
        <f ca="1">M21*TaxRate*-1</f>
        <v>-347608.1828718129</v>
      </c>
      <c r="N22" s="62">
        <f ca="1">N21*TaxRate*-1</f>
        <v>-659716.01208434394</v>
      </c>
      <c r="O22" s="62">
        <f ca="1">O21*TaxRate*-1</f>
        <v>-724770.28459289251</v>
      </c>
    </row>
    <row r="23" spans="1:20" s="89" customFormat="1" x14ac:dyDescent="0.2">
      <c r="A23" s="89" t="s">
        <v>123</v>
      </c>
      <c r="B23" s="92"/>
      <c r="C23" s="93"/>
      <c r="D23" s="93"/>
      <c r="E23" s="93"/>
      <c r="F23" s="93"/>
      <c r="G23" s="73">
        <f ca="1">G21+G22</f>
        <v>-175837.8994256439</v>
      </c>
      <c r="H23" s="93"/>
      <c r="I23" s="93"/>
      <c r="J23" s="93"/>
      <c r="K23" s="93"/>
      <c r="L23" s="73">
        <f ca="1">L21+L22</f>
        <v>79621.805476457987</v>
      </c>
      <c r="M23" s="73">
        <f ca="1">M21+M22</f>
        <v>645558.05390479532</v>
      </c>
      <c r="N23" s="73">
        <f ca="1">N21+N22</f>
        <v>1225186.8795852102</v>
      </c>
      <c r="O23" s="73">
        <f ca="1">O21+O22</f>
        <v>1346001.9571010862</v>
      </c>
    </row>
    <row r="24" spans="1:20" s="89" customFormat="1" x14ac:dyDescent="0.2">
      <c r="A24" s="89" t="s">
        <v>200</v>
      </c>
      <c r="B24" s="62">
        <f>B21+B2</f>
        <v>-77000</v>
      </c>
      <c r="C24" s="62">
        <f ca="1">C21+B24</f>
        <v>-136850.91723976829</v>
      </c>
      <c r="D24" s="62">
        <f t="shared" ref="D24:F24" ca="1" si="4">D21+C24</f>
        <v>-191011.38025060325</v>
      </c>
      <c r="E24" s="62">
        <f t="shared" ca="1" si="4"/>
        <v>-236826.10083246377</v>
      </c>
      <c r="F24" s="62">
        <f t="shared" ca="1" si="4"/>
        <v>-270519.84527022135</v>
      </c>
      <c r="G24" s="73">
        <f ca="1">F24+G22+G2</f>
        <v>-175837.8994256439</v>
      </c>
      <c r="H24" s="62">
        <f ca="1">G24+H21</f>
        <v>-190900.78760032696</v>
      </c>
      <c r="I24" s="62">
        <f t="shared" ref="I24:K24" ca="1" si="5">H24+I21</f>
        <v>-181332.88863416557</v>
      </c>
      <c r="J24" s="62">
        <f t="shared" ca="1" si="5"/>
        <v>-138737.41638469041</v>
      </c>
      <c r="K24" s="62">
        <f t="shared" ca="1" si="5"/>
        <v>-53342.814077247021</v>
      </c>
      <c r="L24" s="73">
        <f ca="1">K24+L22+L2</f>
        <v>-96216.093949185946</v>
      </c>
      <c r="M24" s="73">
        <f ca="1">L24+M23+M2</f>
        <v>549341.9599556094</v>
      </c>
      <c r="N24" s="73">
        <f t="shared" ref="N24:O24" ca="1" si="6">M24+N23+N2</f>
        <v>1774528.8395408196</v>
      </c>
      <c r="O24" s="73">
        <f t="shared" ca="1" si="6"/>
        <v>3120530.7966419058</v>
      </c>
    </row>
    <row r="25" spans="1:20" x14ac:dyDescent="0.2">
      <c r="A25" s="90" t="s">
        <v>134</v>
      </c>
      <c r="B25" s="111"/>
      <c r="C25" s="112"/>
      <c r="D25" s="112"/>
      <c r="E25" s="112"/>
      <c r="F25" s="112"/>
      <c r="G25" s="108">
        <f ca="1">G21/G4</f>
        <v>-2.9938282644209417</v>
      </c>
      <c r="H25" s="112"/>
      <c r="I25" s="112"/>
      <c r="J25" s="112"/>
      <c r="K25" s="112"/>
      <c r="L25" s="108">
        <f ca="1">L21/L4</f>
        <v>0.24721185389879344</v>
      </c>
      <c r="M25" s="108">
        <f ca="1">M21/M4</f>
        <v>0.61620304620335531</v>
      </c>
      <c r="N25" s="108">
        <f ca="1">N21/N4</f>
        <v>0.68417435762301304</v>
      </c>
      <c r="O25" s="108">
        <f ca="1">O21/O4</f>
        <v>0.69180296033903677</v>
      </c>
    </row>
    <row r="26" spans="1:20" s="19" customFormat="1" x14ac:dyDescent="0.2">
      <c r="A26" s="89" t="s">
        <v>135</v>
      </c>
      <c r="B26" s="92"/>
      <c r="C26" s="93"/>
      <c r="D26" s="93"/>
      <c r="E26" s="93"/>
      <c r="F26" s="93"/>
      <c r="G26" s="113">
        <f ca="1">G23/G4</f>
        <v>-1.9459883718736124</v>
      </c>
      <c r="H26" s="93"/>
      <c r="I26" s="93"/>
      <c r="J26" s="93"/>
      <c r="K26" s="93"/>
      <c r="L26" s="113">
        <f ca="1">L23/L4</f>
        <v>0.16068770503421573</v>
      </c>
      <c r="M26" s="113">
        <f ca="1">M23/M4</f>
        <v>0.40053198003218093</v>
      </c>
      <c r="N26" s="113">
        <f ca="1">N23/N4</f>
        <v>0.44471333245495848</v>
      </c>
      <c r="O26" s="113">
        <f ca="1">O23/O4</f>
        <v>0.44967192422037389</v>
      </c>
    </row>
    <row r="29" spans="1:20" x14ac:dyDescent="0.2">
      <c r="B29" s="123" t="s">
        <v>138</v>
      </c>
      <c r="C29" s="123"/>
      <c r="D29" s="123"/>
      <c r="E29" s="123"/>
      <c r="F29" s="123"/>
      <c r="G29" s="119" t="s">
        <v>136</v>
      </c>
      <c r="H29" s="120"/>
      <c r="I29" s="120"/>
      <c r="J29" s="120"/>
      <c r="K29" s="120"/>
      <c r="L29" s="124" t="s">
        <v>139</v>
      </c>
      <c r="M29" s="124"/>
      <c r="N29" s="124"/>
      <c r="O29" s="124"/>
      <c r="P29" s="124"/>
      <c r="Q29" s="88"/>
      <c r="R29" s="88"/>
      <c r="S29" s="88"/>
      <c r="T29" s="88"/>
    </row>
    <row r="30" spans="1:20" x14ac:dyDescent="0.2">
      <c r="B30" s="57" t="s">
        <v>99</v>
      </c>
      <c r="C30" s="57" t="s">
        <v>104</v>
      </c>
      <c r="D30" s="57" t="s">
        <v>105</v>
      </c>
      <c r="E30" s="57" t="s">
        <v>106</v>
      </c>
      <c r="F30" s="57" t="s">
        <v>107</v>
      </c>
      <c r="G30" s="117" t="str">
        <f>G1</f>
        <v>Year 1  Total</v>
      </c>
      <c r="H30" s="118" t="str">
        <f>L1</f>
        <v>Year 2 Total</v>
      </c>
      <c r="I30" s="118" t="str">
        <f>M1</f>
        <v>Year 3</v>
      </c>
      <c r="J30" s="118" t="str">
        <f>N1</f>
        <v>Year 4</v>
      </c>
      <c r="K30" s="118" t="str">
        <f>O1</f>
        <v>Year 5</v>
      </c>
      <c r="M30" s="94"/>
      <c r="N30" s="94"/>
      <c r="O30" s="94"/>
      <c r="P30" s="94"/>
      <c r="Q30" s="88"/>
      <c r="R30" s="88"/>
      <c r="S30" s="88"/>
      <c r="T30" s="88"/>
    </row>
    <row r="31" spans="1:20" x14ac:dyDescent="0.2">
      <c r="A31" s="19" t="str">
        <f>A3</f>
        <v>Total Units Sold</v>
      </c>
      <c r="B31" s="122">
        <f t="shared" ref="B31:F32" si="7">G31*(1+ConfidenceInterval)</f>
        <v>4969.7545001767012</v>
      </c>
      <c r="C31" s="122">
        <f t="shared" si="7"/>
        <v>27252.858582258759</v>
      </c>
      <c r="D31" s="122">
        <f t="shared" si="7"/>
        <v>88646.337208606972</v>
      </c>
      <c r="E31" s="122">
        <f t="shared" si="7"/>
        <v>151525.20389977627</v>
      </c>
      <c r="F31" s="122">
        <f t="shared" si="7"/>
        <v>164631.37601688312</v>
      </c>
      <c r="G31" s="122">
        <f>G3</f>
        <v>4517.9586365242731</v>
      </c>
      <c r="H31" s="122">
        <f t="shared" ref="H31:K33" si="8">L3</f>
        <v>24775.325983871597</v>
      </c>
      <c r="I31" s="122">
        <f t="shared" si="8"/>
        <v>80587.579280551785</v>
      </c>
      <c r="J31" s="122">
        <f t="shared" si="8"/>
        <v>137750.18536343297</v>
      </c>
      <c r="K31" s="122">
        <f t="shared" si="8"/>
        <v>149664.88728807555</v>
      </c>
      <c r="L31" s="127">
        <f t="shared" ref="L31:P32" si="9">G31*(1-ConfidenceInterval)</f>
        <v>4066.1627728718458</v>
      </c>
      <c r="M31" s="127">
        <f t="shared" si="9"/>
        <v>22297.793385484438</v>
      </c>
      <c r="N31" s="127">
        <f t="shared" si="9"/>
        <v>72528.821352496612</v>
      </c>
      <c r="O31" s="127">
        <f t="shared" si="9"/>
        <v>123975.16682708968</v>
      </c>
      <c r="P31" s="127">
        <f t="shared" si="9"/>
        <v>134698.39855926801</v>
      </c>
      <c r="Q31" s="88"/>
      <c r="R31" s="88"/>
      <c r="S31" s="88"/>
      <c r="T31" s="88"/>
    </row>
    <row r="32" spans="1:20" x14ac:dyDescent="0.2">
      <c r="A32" s="19" t="str">
        <f t="shared" ref="A32:A33" si="10">A4</f>
        <v>Total Revenue</v>
      </c>
      <c r="B32" s="126">
        <f t="shared" si="7"/>
        <v>99395.090003534016</v>
      </c>
      <c r="C32" s="126">
        <f t="shared" si="7"/>
        <v>545057.17164517508</v>
      </c>
      <c r="D32" s="126">
        <f t="shared" si="7"/>
        <v>1772926.7441721396</v>
      </c>
      <c r="E32" s="126">
        <f t="shared" si="7"/>
        <v>3030504.0779955252</v>
      </c>
      <c r="F32" s="126">
        <f t="shared" si="7"/>
        <v>3292627.5203376622</v>
      </c>
      <c r="G32" s="116">
        <f>G4</f>
        <v>90359.172730485458</v>
      </c>
      <c r="H32" s="115">
        <f t="shared" si="8"/>
        <v>495506.5196774319</v>
      </c>
      <c r="I32" s="115">
        <f t="shared" si="8"/>
        <v>1611751.5856110358</v>
      </c>
      <c r="J32" s="115">
        <f t="shared" si="8"/>
        <v>2755003.707268659</v>
      </c>
      <c r="K32" s="115">
        <f t="shared" si="8"/>
        <v>2993297.7457615109</v>
      </c>
      <c r="L32" s="128">
        <f t="shared" si="9"/>
        <v>81323.255457436913</v>
      </c>
      <c r="M32" s="128">
        <f t="shared" si="9"/>
        <v>445955.86770968873</v>
      </c>
      <c r="N32" s="128">
        <f t="shared" si="9"/>
        <v>1450576.4270499323</v>
      </c>
      <c r="O32" s="128">
        <f t="shared" si="9"/>
        <v>2479503.3365417933</v>
      </c>
      <c r="P32" s="128">
        <f t="shared" si="9"/>
        <v>2693967.9711853601</v>
      </c>
      <c r="Q32" s="88"/>
      <c r="R32" s="88"/>
      <c r="S32" s="88"/>
      <c r="T32" s="88"/>
    </row>
    <row r="33" spans="1:20" x14ac:dyDescent="0.2">
      <c r="A33" s="19" t="str">
        <f t="shared" si="10"/>
        <v>Total Costs</v>
      </c>
      <c r="B33" s="126">
        <f ca="1">G33*(1-ConfidenceInterval)</f>
        <v>-324791.11620063614</v>
      </c>
      <c r="C33" s="126">
        <f ca="1">H33*(1-ConfidenceInterval)</f>
        <v>-335710.29089613148</v>
      </c>
      <c r="D33" s="126">
        <f ca="1">I33*(1-ConfidenceInterval)</f>
        <v>-556726.81395098486</v>
      </c>
      <c r="E33" s="126">
        <f ca="1">J33*(1-ConfidenceInterval)</f>
        <v>-783090.73403919442</v>
      </c>
      <c r="F33" s="126">
        <f ca="1">K33*(1-ConfidenceInterval)</f>
        <v>-830272.95366077917</v>
      </c>
      <c r="G33" s="116">
        <f ca="1">G5</f>
        <v>-360879.0180007068</v>
      </c>
      <c r="H33" s="115">
        <f t="shared" ca="1" si="8"/>
        <v>-373011.43432903499</v>
      </c>
      <c r="I33" s="115">
        <f t="shared" ca="1" si="8"/>
        <v>-618585.34883442754</v>
      </c>
      <c r="J33" s="115">
        <f t="shared" ca="1" si="8"/>
        <v>-870100.81559910486</v>
      </c>
      <c r="K33" s="115">
        <f t="shared" ca="1" si="8"/>
        <v>-922525.50406753237</v>
      </c>
      <c r="L33" s="128">
        <f ca="1">G33*(1+ConfidenceInterval)</f>
        <v>-396966.91980077751</v>
      </c>
      <c r="M33" s="128">
        <f ca="1">H33*(1+ConfidenceInterval)</f>
        <v>-410312.5777619385</v>
      </c>
      <c r="N33" s="128">
        <f ca="1">I33*(1+ConfidenceInterval)</f>
        <v>-680443.88371787034</v>
      </c>
      <c r="O33" s="128">
        <f ca="1">J33*(1+ConfidenceInterval)</f>
        <v>-957110.89715901541</v>
      </c>
      <c r="P33" s="128">
        <f ca="1">K33*(1+ConfidenceInterval)</f>
        <v>-1014778.0544742857</v>
      </c>
      <c r="Q33" s="88"/>
      <c r="R33" s="88"/>
      <c r="S33" s="88"/>
      <c r="T33" s="88"/>
    </row>
    <row r="34" spans="1:20" x14ac:dyDescent="0.2">
      <c r="A34" s="19" t="str">
        <f t="shared" ref="A34:A39" si="11">A21</f>
        <v>Gross Income</v>
      </c>
      <c r="B34" s="116">
        <f ca="1">B32+B33</f>
        <v>-225396.02619710212</v>
      </c>
      <c r="C34" s="116">
        <f t="shared" ref="C34" ca="1" si="12">C32+C33</f>
        <v>209346.8807490436</v>
      </c>
      <c r="D34" s="116">
        <f t="shared" ref="D34" ca="1" si="13">D32+D33</f>
        <v>1216199.9302211548</v>
      </c>
      <c r="E34" s="116">
        <f t="shared" ref="E34" ca="1" si="14">E32+E33</f>
        <v>2247413.3439563308</v>
      </c>
      <c r="F34" s="116">
        <f t="shared" ref="F34" ca="1" si="15">F32+F33</f>
        <v>2462354.566676883</v>
      </c>
      <c r="G34" s="116">
        <f ca="1">G32+G33</f>
        <v>-270519.84527022135</v>
      </c>
      <c r="H34" s="116">
        <f t="shared" ref="H34:K34" ca="1" si="16">H32+H33</f>
        <v>122495.08534839691</v>
      </c>
      <c r="I34" s="116">
        <f t="shared" ca="1" si="16"/>
        <v>993166.23677660828</v>
      </c>
      <c r="J34" s="116">
        <f t="shared" ca="1" si="16"/>
        <v>1884902.8916695542</v>
      </c>
      <c r="K34" s="116">
        <f t="shared" ca="1" si="16"/>
        <v>2070772.2416939787</v>
      </c>
      <c r="L34" s="116">
        <f ca="1">L32+L33</f>
        <v>-315643.66434334061</v>
      </c>
      <c r="M34" s="116">
        <f t="shared" ref="M34" ca="1" si="17">M32+M33</f>
        <v>35643.289947750221</v>
      </c>
      <c r="N34" s="116">
        <f t="shared" ref="N34" ca="1" si="18">N32+N33</f>
        <v>770132.54333206196</v>
      </c>
      <c r="O34" s="116">
        <f t="shared" ref="O34" ca="1" si="19">O32+O33</f>
        <v>1522392.439382778</v>
      </c>
      <c r="P34" s="116">
        <f t="shared" ref="P34" ca="1" si="20">P32+P33</f>
        <v>1679189.9167110743</v>
      </c>
      <c r="Q34" s="88"/>
      <c r="R34" s="88"/>
      <c r="S34" s="88"/>
      <c r="T34" s="88"/>
    </row>
    <row r="35" spans="1:20" x14ac:dyDescent="0.2">
      <c r="A35" s="19" t="str">
        <f t="shared" si="11"/>
        <v>Taxes</v>
      </c>
      <c r="B35" s="116">
        <f t="shared" ref="B35:P35" ca="1" si="21">B34*TaxRate*-1</f>
        <v>78888.609168985742</v>
      </c>
      <c r="C35" s="116">
        <f t="shared" ca="1" si="21"/>
        <v>-73271.408262165249</v>
      </c>
      <c r="D35" s="116">
        <f t="shared" ca="1" si="21"/>
        <v>-425669.97557740414</v>
      </c>
      <c r="E35" s="116">
        <f t="shared" ca="1" si="21"/>
        <v>-786594.67038471578</v>
      </c>
      <c r="F35" s="116">
        <f t="shared" ca="1" si="21"/>
        <v>-861824.09833690897</v>
      </c>
      <c r="G35" s="116">
        <f t="shared" ca="1" si="21"/>
        <v>94681.945844577465</v>
      </c>
      <c r="H35" s="116">
        <f t="shared" ca="1" si="21"/>
        <v>-42873.279871938917</v>
      </c>
      <c r="I35" s="116">
        <f t="shared" ca="1" si="21"/>
        <v>-347608.1828718129</v>
      </c>
      <c r="J35" s="116">
        <f t="shared" ca="1" si="21"/>
        <v>-659716.01208434394</v>
      </c>
      <c r="K35" s="116">
        <f t="shared" ca="1" si="21"/>
        <v>-724770.28459289251</v>
      </c>
      <c r="L35" s="116">
        <f t="shared" ca="1" si="21"/>
        <v>110475.2825201692</v>
      </c>
      <c r="M35" s="116">
        <f t="shared" ca="1" si="21"/>
        <v>-12475.151481712577</v>
      </c>
      <c r="N35" s="116">
        <f t="shared" ca="1" si="21"/>
        <v>-269546.39016622165</v>
      </c>
      <c r="O35" s="116">
        <f t="shared" ca="1" si="21"/>
        <v>-532837.35378397233</v>
      </c>
      <c r="P35" s="116">
        <f t="shared" ca="1" si="21"/>
        <v>-587716.47084887594</v>
      </c>
      <c r="Q35" s="88"/>
      <c r="R35" s="88"/>
      <c r="S35" s="88"/>
      <c r="T35" s="88"/>
    </row>
    <row r="36" spans="1:20" x14ac:dyDescent="0.2">
      <c r="A36" s="19" t="str">
        <f t="shared" si="11"/>
        <v>Net Income</v>
      </c>
      <c r="B36" s="121">
        <f ca="1">B34+B35</f>
        <v>-146507.41702811638</v>
      </c>
      <c r="C36" s="121">
        <f t="shared" ref="C36" ca="1" si="22">C34+C35</f>
        <v>136075.47248687834</v>
      </c>
      <c r="D36" s="121">
        <f t="shared" ref="D36" ca="1" si="23">D34+D35</f>
        <v>790529.95464375068</v>
      </c>
      <c r="E36" s="121">
        <f t="shared" ref="E36" ca="1" si="24">E34+E35</f>
        <v>1460818.673571615</v>
      </c>
      <c r="F36" s="121">
        <f t="shared" ref="F36" ca="1" si="25">F34+F35</f>
        <v>1600530.4683399741</v>
      </c>
      <c r="G36" s="121">
        <f ca="1">G34+G35</f>
        <v>-175837.8994256439</v>
      </c>
      <c r="H36" s="121">
        <f t="shared" ref="H36:K36" ca="1" si="26">H34+H35</f>
        <v>79621.805476457987</v>
      </c>
      <c r="I36" s="121">
        <f t="shared" ca="1" si="26"/>
        <v>645558.05390479532</v>
      </c>
      <c r="J36" s="121">
        <f t="shared" ca="1" si="26"/>
        <v>1225186.8795852102</v>
      </c>
      <c r="K36" s="121">
        <f t="shared" ca="1" si="26"/>
        <v>1346001.9571010862</v>
      </c>
      <c r="L36" s="121">
        <f ca="1">L34+L35</f>
        <v>-205168.3818231714</v>
      </c>
      <c r="M36" s="121">
        <f t="shared" ref="M36" ca="1" si="27">M34+M35</f>
        <v>23168.138466037643</v>
      </c>
      <c r="N36" s="121">
        <f t="shared" ref="N36" ca="1" si="28">N34+N35</f>
        <v>500586.15316584031</v>
      </c>
      <c r="O36" s="121">
        <f t="shared" ref="O36" ca="1" si="29">O34+O35</f>
        <v>989555.08559880569</v>
      </c>
      <c r="P36" s="121">
        <f t="shared" ref="P36" ca="1" si="30">P34+P35</f>
        <v>1091473.4458621982</v>
      </c>
      <c r="Q36" s="88"/>
      <c r="R36" s="88"/>
      <c r="S36" s="88"/>
      <c r="T36" s="88"/>
    </row>
    <row r="37" spans="1:20" x14ac:dyDescent="0.2">
      <c r="A37" s="19" t="str">
        <f t="shared" si="11"/>
        <v>Cumulative Cash Flow</v>
      </c>
      <c r="B37" s="116">
        <f ca="1">B36</f>
        <v>-146507.41702811638</v>
      </c>
      <c r="C37" s="115">
        <f ca="1">C36+B37</f>
        <v>-10431.944541238045</v>
      </c>
      <c r="D37" s="115">
        <f t="shared" ref="D37" ca="1" si="31">D36+C37</f>
        <v>780098.01010251266</v>
      </c>
      <c r="E37" s="115">
        <f t="shared" ref="E37" ca="1" si="32">E36+D37</f>
        <v>2240916.6836741278</v>
      </c>
      <c r="F37" s="115">
        <f t="shared" ref="F37" ca="1" si="33">F36+E37</f>
        <v>3841447.1520141019</v>
      </c>
      <c r="G37" s="116">
        <f ca="1">G36</f>
        <v>-175837.8994256439</v>
      </c>
      <c r="H37" s="115">
        <f ca="1">H36+G37</f>
        <v>-96216.093949185917</v>
      </c>
      <c r="I37" s="115">
        <f t="shared" ref="I37:K37" ca="1" si="34">I36+H37</f>
        <v>549341.9599556094</v>
      </c>
      <c r="J37" s="115">
        <f t="shared" ca="1" si="34"/>
        <v>1774528.8395408196</v>
      </c>
      <c r="K37" s="115">
        <f t="shared" ca="1" si="34"/>
        <v>3120530.7966419058</v>
      </c>
      <c r="L37" s="116">
        <f ca="1">L36</f>
        <v>-205168.3818231714</v>
      </c>
      <c r="M37" s="115">
        <f ca="1">M36+L37</f>
        <v>-182000.24335713376</v>
      </c>
      <c r="N37" s="115">
        <f t="shared" ref="N37" ca="1" si="35">N36+M37</f>
        <v>318585.90980870655</v>
      </c>
      <c r="O37" s="115">
        <f t="shared" ref="O37" ca="1" si="36">O36+N37</f>
        <v>1308140.9954075122</v>
      </c>
      <c r="P37" s="115">
        <f t="shared" ref="P37" ca="1" si="37">P36+O37</f>
        <v>2399614.4412697107</v>
      </c>
      <c r="Q37" s="88"/>
      <c r="R37" s="88"/>
      <c r="S37" s="88"/>
      <c r="T37" s="88"/>
    </row>
    <row r="38" spans="1:20" x14ac:dyDescent="0.2">
      <c r="A38" s="19" t="str">
        <f t="shared" si="11"/>
        <v>Gross Profit Margin</v>
      </c>
      <c r="B38" s="108">
        <f ca="1">B34/B32</f>
        <v>-2.2676776708898609</v>
      </c>
      <c r="C38" s="108">
        <f t="shared" ref="C38:F38" ca="1" si="38">C34/C32</f>
        <v>0.38408242591719466</v>
      </c>
      <c r="D38" s="108">
        <f t="shared" ca="1" si="38"/>
        <v>0.68598431053001807</v>
      </c>
      <c r="E38" s="108">
        <f t="shared" ca="1" si="38"/>
        <v>0.74159720169155607</v>
      </c>
      <c r="F38" s="108">
        <f t="shared" ca="1" si="38"/>
        <v>0.74783878573193918</v>
      </c>
      <c r="G38" s="108">
        <f ca="1">G34/G32</f>
        <v>-2.9938282644209417</v>
      </c>
      <c r="H38" s="108">
        <f t="shared" ref="H38:K38" ca="1" si="39">H34/H32</f>
        <v>0.24721185389879344</v>
      </c>
      <c r="I38" s="108">
        <f t="shared" ca="1" si="39"/>
        <v>0.61620304620335531</v>
      </c>
      <c r="J38" s="108">
        <f t="shared" ca="1" si="39"/>
        <v>0.68417435762301304</v>
      </c>
      <c r="K38" s="108">
        <f t="shared" ca="1" si="39"/>
        <v>0.69180296033903677</v>
      </c>
      <c r="L38" s="108">
        <f ca="1">L34/L32</f>
        <v>-3.8813456565144846</v>
      </c>
      <c r="M38" s="108">
        <f t="shared" ref="M38:P38" ca="1" si="40">M34/M32</f>
        <v>7.9925599209636419E-2</v>
      </c>
      <c r="N38" s="108">
        <f t="shared" ca="1" si="40"/>
        <v>0.53091483424854535</v>
      </c>
      <c r="O38" s="108">
        <f t="shared" ca="1" si="40"/>
        <v>0.6139908815392382</v>
      </c>
      <c r="P38" s="108">
        <f t="shared" ca="1" si="40"/>
        <v>0.62331472930326703</v>
      </c>
      <c r="Q38" s="88"/>
      <c r="R38" s="88"/>
      <c r="S38" s="88"/>
      <c r="T38" s="88"/>
    </row>
    <row r="39" spans="1:20" x14ac:dyDescent="0.2">
      <c r="A39" s="19" t="str">
        <f t="shared" si="11"/>
        <v>Net Profit Margin</v>
      </c>
      <c r="B39" s="113">
        <f ca="1">B36/B32</f>
        <v>-1.4739904860784097</v>
      </c>
      <c r="C39" s="113">
        <f t="shared" ref="C39:F39" ca="1" si="41">C36/C32</f>
        <v>0.24965357684617651</v>
      </c>
      <c r="D39" s="113">
        <f t="shared" ca="1" si="41"/>
        <v>0.44588980184451177</v>
      </c>
      <c r="E39" s="113">
        <f t="shared" ca="1" si="41"/>
        <v>0.48203818109951146</v>
      </c>
      <c r="F39" s="113">
        <f t="shared" ca="1" si="41"/>
        <v>0.48609521072576045</v>
      </c>
      <c r="G39" s="113">
        <f ca="1">G36/G32</f>
        <v>-1.9459883718736124</v>
      </c>
      <c r="H39" s="113">
        <f t="shared" ref="H39:K39" ca="1" si="42">H36/H32</f>
        <v>0.16068770503421573</v>
      </c>
      <c r="I39" s="113">
        <f t="shared" ca="1" si="42"/>
        <v>0.40053198003218093</v>
      </c>
      <c r="J39" s="113">
        <f t="shared" ca="1" si="42"/>
        <v>0.44471333245495848</v>
      </c>
      <c r="K39" s="113">
        <f t="shared" ca="1" si="42"/>
        <v>0.44967192422037389</v>
      </c>
      <c r="L39" s="113">
        <f ca="1">L36/L32</f>
        <v>-2.522874676734415</v>
      </c>
      <c r="M39" s="113">
        <f t="shared" ref="M39:P39" ca="1" si="43">M36/M32</f>
        <v>5.1951639486263669E-2</v>
      </c>
      <c r="N39" s="113">
        <f t="shared" ca="1" si="43"/>
        <v>0.34509464226155451</v>
      </c>
      <c r="O39" s="113">
        <f t="shared" ca="1" si="43"/>
        <v>0.39909407300050481</v>
      </c>
      <c r="P39" s="113">
        <f t="shared" ca="1" si="43"/>
        <v>0.40515457404712357</v>
      </c>
      <c r="Q39" s="88"/>
      <c r="R39" s="88"/>
      <c r="S39" s="88"/>
      <c r="T39" s="88"/>
    </row>
    <row r="41" spans="1:20" x14ac:dyDescent="0.2">
      <c r="A41" s="33" t="s">
        <v>137</v>
      </c>
      <c r="B41" s="125">
        <v>0.1</v>
      </c>
    </row>
    <row r="66" spans="3:12" x14ac:dyDescent="0.2">
      <c r="C66" s="98" t="e">
        <f>SUM(Units1Q1)</f>
        <v>#NAME?</v>
      </c>
      <c r="D66" s="98" t="e">
        <f>SUM(Units1Q2)</f>
        <v>#NAME?</v>
      </c>
      <c r="E66" s="98" t="e">
        <f>SUM(Units1Q3)</f>
        <v>#NAME?</v>
      </c>
      <c r="F66" s="98" t="e">
        <f>SUM(Units1Q4)</f>
        <v>#NAME?</v>
      </c>
      <c r="G66" s="99">
        <f>SUM(G31:K31)</f>
        <v>397295.93655245617</v>
      </c>
      <c r="H66" s="98" t="e">
        <f>SUM(Units1Q5)</f>
        <v>#NAME?</v>
      </c>
      <c r="I66" s="98" t="e">
        <f>SUM(Units1Q6)</f>
        <v>#NAME?</v>
      </c>
      <c r="J66" s="98" t="e">
        <f>SUM(Units1Q7)</f>
        <v>#NAME?</v>
      </c>
      <c r="K66" s="98" t="e">
        <f>SUM(Units1Q8)</f>
        <v>#NAME?</v>
      </c>
      <c r="L66" s="98" t="e">
        <f t="shared" ref="L66:L73" si="44">SUM(H66:K66)</f>
        <v>#NAME?</v>
      </c>
    </row>
    <row r="67" spans="3:12" x14ac:dyDescent="0.2">
      <c r="C67" s="98" t="e">
        <f>SUM(Units2Q1)</f>
        <v>#NAME?</v>
      </c>
      <c r="D67" s="98" t="e">
        <f>SUM(Units2Q2)</f>
        <v>#NAME?</v>
      </c>
      <c r="E67" s="98" t="e">
        <f>SUM(Units2Q3)</f>
        <v>#NAME?</v>
      </c>
      <c r="F67" s="98" t="e">
        <f>SUM(Units2Q4)</f>
        <v>#NAME?</v>
      </c>
      <c r="G67" s="99">
        <f>SUM(G32:K32)</f>
        <v>7945918.7310491232</v>
      </c>
      <c r="H67" s="98" t="e">
        <f>SUM(Units2Q5)</f>
        <v>#NAME?</v>
      </c>
      <c r="I67" s="98" t="e">
        <f>SUM(Units2Q6)</f>
        <v>#NAME?</v>
      </c>
      <c r="J67" s="98" t="e">
        <f>SUM(Units2Q7)</f>
        <v>#NAME?</v>
      </c>
      <c r="K67" s="98" t="e">
        <f>SUM(Units2Q8)</f>
        <v>#NAME?</v>
      </c>
      <c r="L67" s="98" t="e">
        <f t="shared" si="44"/>
        <v>#NAME?</v>
      </c>
    </row>
    <row r="68" spans="3:12" x14ac:dyDescent="0.2">
      <c r="C68" s="98" t="e">
        <f>SUM(Units3Q1)</f>
        <v>#NAME?</v>
      </c>
      <c r="D68" s="98" t="e">
        <f>SUM(Units3Q2)</f>
        <v>#NAME?</v>
      </c>
      <c r="E68" s="98" t="e">
        <f>SUM(Units3Q3)</f>
        <v>#NAME?</v>
      </c>
      <c r="F68" s="98" t="e">
        <f>SUM(Units3Q4)</f>
        <v>#NAME?</v>
      </c>
      <c r="G68" s="99">
        <f ca="1">SUM(G33:K33)</f>
        <v>-3145102.1208308064</v>
      </c>
      <c r="H68" s="98" t="e">
        <f>SUM(Units3Q5)</f>
        <v>#NAME?</v>
      </c>
      <c r="I68" s="98" t="e">
        <f>SUM(Units3Q)</f>
        <v>#NAME?</v>
      </c>
      <c r="J68" s="98" t="e">
        <f>SUM(Units3Q7)</f>
        <v>#NAME?</v>
      </c>
      <c r="K68" s="98" t="e">
        <f>SUM(Units3Q8)</f>
        <v>#NAME?</v>
      </c>
      <c r="L68" s="98" t="e">
        <f t="shared" si="44"/>
        <v>#NAME?</v>
      </c>
    </row>
    <row r="69" spans="3:12" x14ac:dyDescent="0.2">
      <c r="C69" s="98" t="e">
        <f>SUM(Units4Q1)</f>
        <v>#NAME?</v>
      </c>
      <c r="D69" s="98" t="e">
        <f>SUM(Units4Q2)</f>
        <v>#NAME?</v>
      </c>
      <c r="E69" s="98" t="e">
        <f>SUM(Units4Q3)</f>
        <v>#NAME?</v>
      </c>
      <c r="F69" s="98" t="e">
        <f>SUM(Units4Q4)</f>
        <v>#NAME?</v>
      </c>
      <c r="G69" s="99" t="e">
        <f>SUM(#REF!)</f>
        <v>#REF!</v>
      </c>
      <c r="H69" s="98" t="e">
        <f>SUM(Units4Q5)</f>
        <v>#NAME?</v>
      </c>
      <c r="I69" s="98" t="e">
        <f>SUM(Units4Q6)</f>
        <v>#NAME?</v>
      </c>
      <c r="J69" s="98" t="e">
        <f>SUM(Units4Q7)</f>
        <v>#NAME?</v>
      </c>
      <c r="K69" s="98" t="e">
        <f>SUM(Units4Q8)</f>
        <v>#NAME?</v>
      </c>
      <c r="L69" s="98" t="e">
        <f t="shared" si="44"/>
        <v>#NAME?</v>
      </c>
    </row>
    <row r="70" spans="3:12" x14ac:dyDescent="0.2">
      <c r="C70" s="98" t="e">
        <f>SUM(Units5Q1)</f>
        <v>#NAME?</v>
      </c>
      <c r="D70" s="98" t="e">
        <f>SUM(Units5Q2)</f>
        <v>#NAME?</v>
      </c>
      <c r="E70" s="98" t="e">
        <f>SUM(Units5Q3)</f>
        <v>#NAME?</v>
      </c>
      <c r="F70" s="98" t="e">
        <f>SUM(Units5Q4)</f>
        <v>#NAME?</v>
      </c>
      <c r="G70" s="99" t="e">
        <f>SUM(#REF!)</f>
        <v>#REF!</v>
      </c>
      <c r="H70" s="98" t="e">
        <f>SUM(Units5Q5)</f>
        <v>#NAME?</v>
      </c>
      <c r="I70" s="98" t="e">
        <f>SUM(Units5Q6)</f>
        <v>#NAME?</v>
      </c>
      <c r="J70" s="98" t="e">
        <f>SUM(Units5Q7)</f>
        <v>#NAME?</v>
      </c>
      <c r="K70" s="98" t="e">
        <f>SUM(Units5Q8)</f>
        <v>#NAME?</v>
      </c>
      <c r="L70" s="98" t="e">
        <f t="shared" si="44"/>
        <v>#NAME?</v>
      </c>
    </row>
    <row r="71" spans="3:12" x14ac:dyDescent="0.2">
      <c r="C71" s="98" t="e">
        <f>SUM(Units6Q1)</f>
        <v>#NAME?</v>
      </c>
      <c r="D71" s="98" t="e">
        <f>SUM(Units6Q2)</f>
        <v>#NAME?</v>
      </c>
      <c r="E71" s="98" t="e">
        <f>SUM(Units6Q3)</f>
        <v>#NAME?</v>
      </c>
      <c r="F71" s="98" t="e">
        <f>SUM(Units6Q4)</f>
        <v>#NAME?</v>
      </c>
      <c r="G71" s="99" t="e">
        <f>SUM(#REF!)</f>
        <v>#REF!</v>
      </c>
      <c r="H71" s="98" t="e">
        <f>SUM(Units6Q5)</f>
        <v>#NAME?</v>
      </c>
      <c r="I71" s="98" t="e">
        <f>SUM(Units6Q6)</f>
        <v>#NAME?</v>
      </c>
      <c r="J71" s="98" t="e">
        <f>SUM(Units6Q7)</f>
        <v>#NAME?</v>
      </c>
      <c r="K71" s="98" t="e">
        <f>SUM(Units6Q8)</f>
        <v>#NAME?</v>
      </c>
      <c r="L71" s="98" t="e">
        <f t="shared" si="44"/>
        <v>#NAME?</v>
      </c>
    </row>
    <row r="72" spans="3:12" x14ac:dyDescent="0.2">
      <c r="C72" s="98" t="e">
        <f>SUM(Units7Q1)</f>
        <v>#NAME?</v>
      </c>
      <c r="D72" s="98" t="e">
        <f>SUM(Units7Q2)</f>
        <v>#NAME?</v>
      </c>
      <c r="E72" s="98" t="e">
        <f>SUM(Units7Q3)</f>
        <v>#NAME?</v>
      </c>
      <c r="F72" s="98" t="e">
        <f>SUM(Units7Q4)</f>
        <v>#NAME?</v>
      </c>
      <c r="G72" s="99" t="e">
        <f>SUM(#REF!)</f>
        <v>#REF!</v>
      </c>
      <c r="H72" s="98" t="e">
        <f>SUM(Units7Q5)</f>
        <v>#NAME?</v>
      </c>
      <c r="I72" s="98" t="e">
        <f>SUM(Units7Q6)</f>
        <v>#NAME?</v>
      </c>
      <c r="J72" s="98" t="e">
        <f>SUM(Units7Q7)</f>
        <v>#NAME?</v>
      </c>
      <c r="K72" s="98" t="e">
        <f>SUM(Units7Q8)</f>
        <v>#NAME?</v>
      </c>
      <c r="L72" s="98" t="e">
        <f t="shared" si="44"/>
        <v>#NAME?</v>
      </c>
    </row>
    <row r="73" spans="3:12" x14ac:dyDescent="0.2">
      <c r="C73" s="98" t="e">
        <f>SUM(Units8Q1)</f>
        <v>#NAME?</v>
      </c>
      <c r="D73" s="98" t="e">
        <f>SUM(Units8Q2)</f>
        <v>#NAME?</v>
      </c>
      <c r="E73" s="98" t="e">
        <f>SUM(Units8Q3)</f>
        <v>#NAME?</v>
      </c>
      <c r="F73" s="98" t="e">
        <f>SUM(Units8Q4)</f>
        <v>#NAME?</v>
      </c>
      <c r="G73" s="99" t="e">
        <f>SUM(#REF!)</f>
        <v>#REF!</v>
      </c>
      <c r="H73" s="98" t="e">
        <f>SUM(Units8Q5)</f>
        <v>#NAME?</v>
      </c>
      <c r="I73" s="98" t="e">
        <f>SUM(Units8Q6)</f>
        <v>#NAME?</v>
      </c>
      <c r="J73" s="98" t="e">
        <f>SUM(Units8Q7)</f>
        <v>#NAME?</v>
      </c>
      <c r="K73" s="98" t="e">
        <f>SUM(Units8Q8)</f>
        <v>#NAME?</v>
      </c>
      <c r="L73" s="98" t="e">
        <f t="shared" si="44"/>
        <v>#NAME?</v>
      </c>
    </row>
  </sheetData>
  <sheetProtection sheet="1" objects="1" scenarios="1" formatCells="0" formatColumns="0" formatRows="0"/>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5" operator="notEqual" id="{9B1B2CE9-F2EE-41B8-AAFF-6A7B8353B1D6}">
            <xm:f>'Pre-Release'!$B$17*-1</xm:f>
            <x14:dxf>
              <fill>
                <patternFill>
                  <bgColor rgb="FFFF0000"/>
                </patternFill>
              </fill>
            </x14:dxf>
          </x14:cfRule>
          <xm:sqref>B21</xm:sqref>
        </x14:conditionalFormatting>
        <x14:conditionalFormatting xmlns:xm="http://schemas.microsoft.com/office/excel/2006/main">
          <x14:cfRule type="cellIs" priority="13" operator="notEqual" id="{E96ED369-2B64-460F-930D-0B45760CF426}">
            <xm:f>SUM(DetailedForecast!$D$129:$F$129)</xm:f>
            <x14:dxf>
              <fill>
                <patternFill>
                  <bgColor theme="9" tint="0.39994506668294322"/>
                </patternFill>
              </fill>
            </x14:dxf>
          </x14:cfRule>
          <xm:sqref>C21</xm:sqref>
        </x14:conditionalFormatting>
        <x14:conditionalFormatting xmlns:xm="http://schemas.microsoft.com/office/excel/2006/main">
          <x14:cfRule type="cellIs" priority="12" operator="notEqual" id="{9AE2D2B8-7351-4BB1-89B5-218E52D4D39A}">
            <xm:f>SUM(DetailedForecast!$G$129:$I$129)</xm:f>
            <x14:dxf>
              <fill>
                <patternFill>
                  <bgColor theme="9" tint="0.39994506668294322"/>
                </patternFill>
              </fill>
            </x14:dxf>
          </x14:cfRule>
          <xm:sqref>D21</xm:sqref>
        </x14:conditionalFormatting>
        <x14:conditionalFormatting xmlns:xm="http://schemas.microsoft.com/office/excel/2006/main">
          <x14:cfRule type="cellIs" priority="11" operator="lessThan" id="{DF2176B5-AD84-4C43-8287-A60196C657C5}">
            <xm:f>SUM(DetailedForecast!$J$127:$L$127)-$E$21</xm:f>
            <x14:dxf>
              <fill>
                <patternFill>
                  <bgColor theme="9" tint="0.39994506668294322"/>
                </patternFill>
              </fill>
            </x14:dxf>
          </x14:cfRule>
          <xm:sqref>E21</xm:sqref>
        </x14:conditionalFormatting>
        <x14:conditionalFormatting xmlns:xm="http://schemas.microsoft.com/office/excel/2006/main">
          <x14:cfRule type="cellIs" priority="10" operator="notEqual" id="{6C47231B-8F65-4F62-9189-D06401AC7F26}">
            <xm:f>SUM(DetailedForecast!$M$129:$O$129)</xm:f>
            <x14:dxf>
              <fill>
                <patternFill>
                  <bgColor theme="9" tint="0.39994506668294322"/>
                </patternFill>
              </fill>
            </x14:dxf>
          </x14:cfRule>
          <xm:sqref>F21</xm:sqref>
        </x14:conditionalFormatting>
        <x14:conditionalFormatting xmlns:xm="http://schemas.microsoft.com/office/excel/2006/main">
          <x14:cfRule type="cellIs" priority="9" operator="notEqual" id="{CC0D5A48-E5B6-4065-ACCF-44EA85CE5767}">
            <xm:f>SUM(DetailedForecast!$C$129:$O$129)</xm:f>
            <x14:dxf>
              <fill>
                <patternFill>
                  <bgColor theme="9" tint="0.39994506668294322"/>
                </patternFill>
              </fill>
            </x14:dxf>
          </x14:cfRule>
          <xm:sqref>G21</xm:sqref>
        </x14:conditionalFormatting>
        <x14:conditionalFormatting xmlns:xm="http://schemas.microsoft.com/office/excel/2006/main">
          <x14:cfRule type="cellIs" priority="8" operator="notEqual" id="{8E742CF8-9DCB-442E-89EA-B3193E18C3F2}">
            <xm:f>SUM(DetailedForecast!$P$129:$R$129)</xm:f>
            <x14:dxf>
              <fill>
                <patternFill>
                  <bgColor theme="9" tint="0.39994506668294322"/>
                </patternFill>
              </fill>
            </x14:dxf>
          </x14:cfRule>
          <xm:sqref>H21</xm:sqref>
        </x14:conditionalFormatting>
        <x14:conditionalFormatting xmlns:xm="http://schemas.microsoft.com/office/excel/2006/main">
          <x14:cfRule type="cellIs" priority="7" operator="notEqual" id="{EB7F5F78-B88D-42E2-899A-2A681F3CE457}">
            <xm:f>SUM(DetailedForecast!$S$129:$U$129)</xm:f>
            <x14:dxf>
              <fill>
                <patternFill>
                  <bgColor theme="9" tint="0.39994506668294322"/>
                </patternFill>
              </fill>
            </x14:dxf>
          </x14:cfRule>
          <xm:sqref>I21</xm:sqref>
        </x14:conditionalFormatting>
        <x14:conditionalFormatting xmlns:xm="http://schemas.microsoft.com/office/excel/2006/main">
          <x14:cfRule type="cellIs" priority="6" operator="notEqual" id="{2A8FE780-2614-4AA3-A496-6ADD9AD0EE7F}">
            <xm:f>SUM(DetailedForecast!$V$129:$X$129)</xm:f>
            <x14:dxf>
              <fill>
                <patternFill>
                  <bgColor theme="9" tint="0.39994506668294322"/>
                </patternFill>
              </fill>
            </x14:dxf>
          </x14:cfRule>
          <xm:sqref>J21</xm:sqref>
        </x14:conditionalFormatting>
        <x14:conditionalFormatting xmlns:xm="http://schemas.microsoft.com/office/excel/2006/main">
          <x14:cfRule type="cellIs" priority="5" operator="notEqual" id="{F9C70AE1-2379-4F56-8852-47229A67CE0A}">
            <xm:f>SUM(DetailedForecast!$Y$129:$AA$129)</xm:f>
            <x14:dxf>
              <fill>
                <patternFill>
                  <bgColor theme="9" tint="0.39994506668294322"/>
                </patternFill>
              </fill>
            </x14:dxf>
          </x14:cfRule>
          <xm:sqref>K21</xm:sqref>
        </x14:conditionalFormatting>
        <x14:conditionalFormatting xmlns:xm="http://schemas.microsoft.com/office/excel/2006/main">
          <x14:cfRule type="cellIs" priority="4" operator="notEqual" id="{27143272-6C0E-4990-989E-8DDAEE812876}">
            <xm:f>SUM(DetailedForecast!$P$129:$AA$129)</xm:f>
            <x14:dxf>
              <fill>
                <patternFill>
                  <bgColor theme="9" tint="0.39994506668294322"/>
                </patternFill>
              </fill>
            </x14:dxf>
          </x14:cfRule>
          <xm:sqref>L21</xm:sqref>
        </x14:conditionalFormatting>
        <x14:conditionalFormatting xmlns:xm="http://schemas.microsoft.com/office/excel/2006/main">
          <x14:cfRule type="cellIs" priority="3" operator="notEqual" id="{9DC91A8B-50B1-4908-81BD-78B24DF5A261}">
            <xm:f>SUM(DetailedForecast!$AB$129:$AM$129)</xm:f>
            <x14:dxf>
              <fill>
                <patternFill>
                  <bgColor theme="9" tint="0.39994506668294322"/>
                </patternFill>
              </fill>
            </x14:dxf>
          </x14:cfRule>
          <xm:sqref>M21</xm:sqref>
        </x14:conditionalFormatting>
        <x14:conditionalFormatting xmlns:xm="http://schemas.microsoft.com/office/excel/2006/main">
          <x14:cfRule type="cellIs" priority="2" operator="notEqual" id="{B6D2B2AB-38C7-47FA-BD54-7253C52CB124}">
            <xm:f>SUM(DetailedForecast!$D$32:$O$32)</xm:f>
            <x14:dxf>
              <fill>
                <patternFill>
                  <bgColor theme="9" tint="0.39994506668294322"/>
                </patternFill>
              </fill>
            </x14:dxf>
          </x14:cfRule>
          <xm:sqref>G3</xm:sqref>
        </x14:conditionalFormatting>
        <x14:conditionalFormatting xmlns:xm="http://schemas.microsoft.com/office/excel/2006/main">
          <x14:cfRule type="cellIs" priority="1" operator="notEqual" id="{C56305A9-63E4-4F32-8AC2-BE31FC06DBFB}">
            <xm:f>SUM(DetailedForecast!$P$32:$AA$32)</xm:f>
            <x14:dxf>
              <fill>
                <patternFill>
                  <bgColor theme="9" tint="0.39994506668294322"/>
                </patternFill>
              </fill>
            </x14:dxf>
          </x14:cfRule>
          <xm:sqref>L3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activeCell="E50" sqref="E50"/>
    </sheetView>
  </sheetViews>
  <sheetFormatPr baseColWidth="10" defaultColWidth="8.83203125" defaultRowHeight="15" x14ac:dyDescent="0.2"/>
  <cols>
    <col min="1" max="1" width="41.5" bestFit="1" customWidth="1"/>
    <col min="2" max="3" width="13.6640625" bestFit="1" customWidth="1"/>
    <col min="4" max="5" width="12.5" bestFit="1" customWidth="1"/>
  </cols>
  <sheetData>
    <row r="1" spans="1:6" x14ac:dyDescent="0.2">
      <c r="A1" s="131" t="s">
        <v>160</v>
      </c>
      <c r="C1" t="s">
        <v>164</v>
      </c>
      <c r="D1" t="s">
        <v>165</v>
      </c>
      <c r="E1" t="s">
        <v>166</v>
      </c>
    </row>
    <row r="2" spans="1:6" x14ac:dyDescent="0.2">
      <c r="A2" s="19" t="s">
        <v>161</v>
      </c>
      <c r="B2" s="133">
        <v>20</v>
      </c>
      <c r="C2" s="138"/>
      <c r="D2" s="138"/>
      <c r="E2" s="138"/>
    </row>
    <row r="3" spans="1:6" x14ac:dyDescent="0.2">
      <c r="A3" s="19" t="s">
        <v>162</v>
      </c>
      <c r="B3" s="132">
        <f ca="1">Year5AfterTaxEarnings</f>
        <v>1346001.9571010862</v>
      </c>
      <c r="C3" s="138"/>
      <c r="D3" s="138"/>
      <c r="E3" s="138"/>
    </row>
    <row r="4" spans="1:6" x14ac:dyDescent="0.2">
      <c r="A4" s="19" t="s">
        <v>163</v>
      </c>
      <c r="B4" s="132">
        <f ca="1">(IndustrySpecificPERatio * Year5AfterTaxEarnings)+CashOnHandAtYear5</f>
        <v>30040569.938663628</v>
      </c>
      <c r="C4" s="138"/>
      <c r="D4" s="138"/>
      <c r="E4" s="138"/>
    </row>
    <row r="5" spans="1:6" x14ac:dyDescent="0.2">
      <c r="A5" s="19" t="s">
        <v>167</v>
      </c>
      <c r="B5" s="138"/>
      <c r="C5" s="132">
        <f ca="1">TerminalValue/10</f>
        <v>3004056.9938663626</v>
      </c>
      <c r="D5" s="132">
        <f ca="1">TerminalValue/20</f>
        <v>1502028.4969331813</v>
      </c>
      <c r="E5" s="132">
        <f ca="1">TerminalValue/30</f>
        <v>1001352.3312887877</v>
      </c>
    </row>
    <row r="6" spans="1:6" x14ac:dyDescent="0.2">
      <c r="A6" s="19" t="s">
        <v>188</v>
      </c>
      <c r="B6" s="134">
        <v>500000</v>
      </c>
      <c r="C6" s="138"/>
      <c r="D6" s="138"/>
      <c r="E6" s="138"/>
    </row>
    <row r="7" spans="1:6" ht="18" x14ac:dyDescent="0.35">
      <c r="A7" s="20" t="s">
        <v>168</v>
      </c>
      <c r="B7" s="138"/>
      <c r="C7" s="135">
        <f ca="1">PostMoneyValuation-InvestmentRequired</f>
        <v>2504056.9938663626</v>
      </c>
      <c r="D7" s="135">
        <f ca="1">PostMoneyValuation-InvestmentRequired</f>
        <v>1002028.4969331813</v>
      </c>
      <c r="E7" s="135">
        <f ca="1">PostMoneyValuation-InvestmentRequired</f>
        <v>501352.33128878765</v>
      </c>
      <c r="F7" s="136"/>
    </row>
    <row r="8" spans="1:6" x14ac:dyDescent="0.2">
      <c r="A8" s="19" t="s">
        <v>189</v>
      </c>
      <c r="B8" s="138"/>
      <c r="C8" s="136">
        <f ca="1">InvestmentRequired/PostMoneyValuation</f>
        <v>0.16644158250688729</v>
      </c>
      <c r="D8" s="136">
        <f ca="1">InvestmentRequired/PostMoneyValuation</f>
        <v>0.33288316501377457</v>
      </c>
      <c r="E8" s="136">
        <f ca="1">InvestmentRequired/PostMoneyValuation</f>
        <v>0.4993247475206618</v>
      </c>
    </row>
    <row r="9" spans="1:6" x14ac:dyDescent="0.2">
      <c r="A9" s="19" t="s">
        <v>169</v>
      </c>
      <c r="B9" s="138"/>
      <c r="C9" s="137">
        <f ca="1">RATE(5,0,-1*PostMoneyValuation,TerminalValue)</f>
        <v>0.58489319246111371</v>
      </c>
      <c r="D9" s="137">
        <f ca="1">RATE(5,0,-1*PostMoneyValuation,TerminalValue)</f>
        <v>0.82056420302608024</v>
      </c>
      <c r="E9" s="137">
        <f ca="1">RATE(5,0,-1*PostMoneyValuation,TerminalValue)</f>
        <v>0.97435048583481998</v>
      </c>
    </row>
    <row r="10" spans="1:6" x14ac:dyDescent="0.2">
      <c r="A10" s="19" t="s">
        <v>201</v>
      </c>
      <c r="B10" s="138"/>
      <c r="C10" s="137">
        <f ca="1">RATE(10,0,-1*PostMoneyValuation,TerminalValue)</f>
        <v>0.25892541179416689</v>
      </c>
      <c r="D10" s="137">
        <f ca="1">RATE(10,0,-1*PostMoneyValuation,TerminalValue)</f>
        <v>0.34928284767356343</v>
      </c>
      <c r="E10" s="137">
        <f ca="1">RATE(10,0,-1*PostMoneyValuation,TerminalValue)</f>
        <v>0.40511582648364619</v>
      </c>
    </row>
    <row r="11" spans="1:6" x14ac:dyDescent="0.2">
      <c r="A11" s="19"/>
    </row>
    <row r="12" spans="1:6" x14ac:dyDescent="0.2">
      <c r="A12" s="131" t="s">
        <v>170</v>
      </c>
    </row>
    <row r="13" spans="1:6" x14ac:dyDescent="0.2">
      <c r="A13" s="19" t="s">
        <v>171</v>
      </c>
      <c r="B13" s="21"/>
      <c r="C13" s="132"/>
    </row>
    <row r="14" spans="1:6" x14ac:dyDescent="0.2">
      <c r="A14" s="19" t="s">
        <v>172</v>
      </c>
      <c r="B14" s="21"/>
    </row>
    <row r="15" spans="1:6" x14ac:dyDescent="0.2">
      <c r="A15" s="19" t="s">
        <v>173</v>
      </c>
      <c r="B15" s="21"/>
    </row>
    <row r="16" spans="1:6" x14ac:dyDescent="0.2">
      <c r="A16" s="19" t="s">
        <v>174</v>
      </c>
      <c r="B16" s="21"/>
    </row>
    <row r="17" spans="1:5" x14ac:dyDescent="0.2">
      <c r="A17" s="19" t="s">
        <v>175</v>
      </c>
      <c r="B17" s="21"/>
    </row>
    <row r="18" spans="1:5" x14ac:dyDescent="0.2">
      <c r="A18" s="19" t="s">
        <v>176</v>
      </c>
      <c r="B18" s="21"/>
    </row>
    <row r="19" spans="1:5" x14ac:dyDescent="0.2">
      <c r="A19" s="19" t="s">
        <v>177</v>
      </c>
      <c r="B19" s="21"/>
    </row>
    <row r="20" spans="1:5" x14ac:dyDescent="0.2">
      <c r="A20" s="19" t="s">
        <v>178</v>
      </c>
      <c r="B20" s="21"/>
    </row>
    <row r="21" spans="1:5" x14ac:dyDescent="0.2">
      <c r="A21" s="19" t="s">
        <v>179</v>
      </c>
      <c r="B21" s="21"/>
    </row>
    <row r="22" spans="1:5" x14ac:dyDescent="0.2">
      <c r="A22" s="19" t="s">
        <v>196</v>
      </c>
      <c r="B22" s="21"/>
    </row>
    <row r="23" spans="1:5" x14ac:dyDescent="0.2">
      <c r="A23" s="19" t="s">
        <v>180</v>
      </c>
      <c r="B23" s="21"/>
    </row>
    <row r="24" spans="1:5" x14ac:dyDescent="0.2">
      <c r="A24" s="19" t="s">
        <v>181</v>
      </c>
      <c r="B24" s="21"/>
    </row>
    <row r="25" spans="1:5" x14ac:dyDescent="0.2">
      <c r="A25" s="58" t="s">
        <v>152</v>
      </c>
      <c r="B25" s="39">
        <f>((COUNTIF(B13:B24,LikertVeryPositive)*2)+COUNTIF(B13:B24,LikertPositive)+(COUNTIF(B13:B24,LikertNegative)*-1)+(COUNTIF(B13:B24,LikertVeryNegative)*-2))*250000</f>
        <v>0</v>
      </c>
      <c r="C25" s="20"/>
    </row>
    <row r="26" spans="1:5" x14ac:dyDescent="0.2">
      <c r="A26" s="33"/>
    </row>
    <row r="27" spans="1:5" x14ac:dyDescent="0.2">
      <c r="A27" s="131" t="s">
        <v>140</v>
      </c>
    </row>
    <row r="28" spans="1:5" x14ac:dyDescent="0.2">
      <c r="A28" s="20" t="s">
        <v>150</v>
      </c>
      <c r="B28" s="20" t="s">
        <v>149</v>
      </c>
      <c r="C28" s="20" t="s">
        <v>158</v>
      </c>
      <c r="D28" s="20" t="s">
        <v>151</v>
      </c>
      <c r="E28" s="20" t="s">
        <v>148</v>
      </c>
    </row>
    <row r="29" spans="1:5" x14ac:dyDescent="0.2">
      <c r="A29" s="19" t="s">
        <v>141</v>
      </c>
      <c r="B29" s="6">
        <v>0.3</v>
      </c>
      <c r="C29" s="130"/>
      <c r="D29" s="27" t="e">
        <f t="shared" ref="D29:D35" si="0">VLOOKUP(C29,ComparisonTable,2,FALSE)</f>
        <v>#N/A</v>
      </c>
      <c r="E29" s="129" t="e">
        <f>D29*B29</f>
        <v>#N/A</v>
      </c>
    </row>
    <row r="30" spans="1:5" x14ac:dyDescent="0.2">
      <c r="A30" s="19" t="s">
        <v>142</v>
      </c>
      <c r="B30" s="6">
        <v>0.25</v>
      </c>
      <c r="C30" s="130"/>
      <c r="D30" s="27" t="e">
        <f t="shared" si="0"/>
        <v>#N/A</v>
      </c>
      <c r="E30" s="129" t="e">
        <f t="shared" ref="E30:E35" si="1">D30*B30</f>
        <v>#N/A</v>
      </c>
    </row>
    <row r="31" spans="1:5" x14ac:dyDescent="0.2">
      <c r="A31" s="19" t="s">
        <v>143</v>
      </c>
      <c r="B31" s="6">
        <v>0.15</v>
      </c>
      <c r="C31" s="130"/>
      <c r="D31" s="27" t="e">
        <f t="shared" si="0"/>
        <v>#N/A</v>
      </c>
      <c r="E31" s="129" t="e">
        <f t="shared" si="1"/>
        <v>#N/A</v>
      </c>
    </row>
    <row r="32" spans="1:5" x14ac:dyDescent="0.2">
      <c r="A32" s="19" t="s">
        <v>144</v>
      </c>
      <c r="B32" s="6">
        <v>0.1</v>
      </c>
      <c r="C32" s="130"/>
      <c r="D32" s="27" t="e">
        <f t="shared" si="0"/>
        <v>#N/A</v>
      </c>
      <c r="E32" s="129" t="e">
        <f t="shared" si="1"/>
        <v>#N/A</v>
      </c>
    </row>
    <row r="33" spans="1:5" x14ac:dyDescent="0.2">
      <c r="A33" s="19" t="s">
        <v>145</v>
      </c>
      <c r="B33" s="6">
        <v>0.1</v>
      </c>
      <c r="C33" s="130"/>
      <c r="D33" s="27" t="e">
        <f t="shared" si="0"/>
        <v>#N/A</v>
      </c>
      <c r="E33" s="129" t="e">
        <f t="shared" si="1"/>
        <v>#N/A</v>
      </c>
    </row>
    <row r="34" spans="1:5" x14ac:dyDescent="0.2">
      <c r="A34" s="19" t="s">
        <v>146</v>
      </c>
      <c r="B34" s="6">
        <v>0.05</v>
      </c>
      <c r="C34" s="130"/>
      <c r="D34" s="27" t="e">
        <f t="shared" si="0"/>
        <v>#N/A</v>
      </c>
      <c r="E34" s="129" t="e">
        <f t="shared" si="1"/>
        <v>#N/A</v>
      </c>
    </row>
    <row r="35" spans="1:5" x14ac:dyDescent="0.2">
      <c r="A35" s="19" t="s">
        <v>147</v>
      </c>
      <c r="B35" s="6">
        <v>0.05</v>
      </c>
      <c r="C35" s="130"/>
      <c r="D35" s="27" t="e">
        <f t="shared" si="0"/>
        <v>#N/A</v>
      </c>
      <c r="E35" s="129" t="e">
        <f t="shared" si="1"/>
        <v>#N/A</v>
      </c>
    </row>
    <row r="36" spans="1:5" x14ac:dyDescent="0.2">
      <c r="C36" t="s">
        <v>29</v>
      </c>
      <c r="E36" s="6" t="e">
        <f>SUM(E29:E35)</f>
        <v>#N/A</v>
      </c>
    </row>
    <row r="37" spans="1:5" x14ac:dyDescent="0.2">
      <c r="C37" s="20" t="s">
        <v>152</v>
      </c>
      <c r="D37" s="20"/>
      <c r="E37" s="39" t="e">
        <f>E36*1500000</f>
        <v>#N/A</v>
      </c>
    </row>
    <row r="39" spans="1:5" x14ac:dyDescent="0.2">
      <c r="A39" s="131" t="s">
        <v>190</v>
      </c>
    </row>
    <row r="40" spans="1:5" x14ac:dyDescent="0.2">
      <c r="A40" s="19" t="s">
        <v>191</v>
      </c>
      <c r="B40" s="21"/>
    </row>
    <row r="41" spans="1:5" x14ac:dyDescent="0.2">
      <c r="A41" s="19" t="s">
        <v>192</v>
      </c>
      <c r="B41" s="21"/>
    </row>
    <row r="42" spans="1:5" x14ac:dyDescent="0.2">
      <c r="A42" s="19" t="s">
        <v>193</v>
      </c>
      <c r="B42" s="21"/>
    </row>
    <row r="43" spans="1:5" x14ac:dyDescent="0.2">
      <c r="A43" s="19" t="s">
        <v>194</v>
      </c>
      <c r="B43" s="21"/>
    </row>
    <row r="44" spans="1:5" x14ac:dyDescent="0.2">
      <c r="A44" s="19" t="s">
        <v>195</v>
      </c>
      <c r="B44" s="21"/>
    </row>
    <row r="45" spans="1:5" ht="18" x14ac:dyDescent="0.35">
      <c r="A45" s="58" t="s">
        <v>152</v>
      </c>
      <c r="B45" s="139">
        <f>((COUNTIF(B40:B44,LikertVeryPositive)*500000)+(COUNTIF(B40:B44,LikertPositive)*300000)+(COUNTIF(B40:B44,LikertNeutral)*100000))</f>
        <v>0</v>
      </c>
    </row>
  </sheetData>
  <sheetProtection sheet="1" objects="1" scenarios="1" formatCells="0" formatColumns="0" formatRows="0"/>
  <conditionalFormatting sqref="B2">
    <cfRule type="cellIs" dxfId="84" priority="19" operator="equal">
      <formula>0</formula>
    </cfRule>
  </conditionalFormatting>
  <conditionalFormatting sqref="B2">
    <cfRule type="cellIs" dxfId="83" priority="18" operator="equal">
      <formula>0</formula>
    </cfRule>
  </conditionalFormatting>
  <conditionalFormatting sqref="B2">
    <cfRule type="cellIs" dxfId="82" priority="17" operator="equal">
      <formula>0</formula>
    </cfRule>
  </conditionalFormatting>
  <conditionalFormatting sqref="B2">
    <cfRule type="cellIs" dxfId="81" priority="16" operator="equal">
      <formula>0</formula>
    </cfRule>
  </conditionalFormatting>
  <conditionalFormatting sqref="C29:C35">
    <cfRule type="cellIs" dxfId="80" priority="15" operator="equal">
      <formula>0</formula>
    </cfRule>
  </conditionalFormatting>
  <conditionalFormatting sqref="C29:C35">
    <cfRule type="cellIs" dxfId="79" priority="14" operator="equal">
      <formula>0</formula>
    </cfRule>
  </conditionalFormatting>
  <conditionalFormatting sqref="C29:C35">
    <cfRule type="cellIs" dxfId="78" priority="13" operator="equal">
      <formula>0</formula>
    </cfRule>
  </conditionalFormatting>
  <conditionalFormatting sqref="C29:C35">
    <cfRule type="cellIs" dxfId="77" priority="12" operator="equal">
      <formula>0</formula>
    </cfRule>
  </conditionalFormatting>
  <conditionalFormatting sqref="B6">
    <cfRule type="cellIs" dxfId="76" priority="11" operator="equal">
      <formula>0</formula>
    </cfRule>
  </conditionalFormatting>
  <conditionalFormatting sqref="B6">
    <cfRule type="cellIs" dxfId="75" priority="10" operator="equal">
      <formula>0</formula>
    </cfRule>
  </conditionalFormatting>
  <conditionalFormatting sqref="B6">
    <cfRule type="cellIs" dxfId="74" priority="9" operator="equal">
      <formula>0</formula>
    </cfRule>
  </conditionalFormatting>
  <conditionalFormatting sqref="B6">
    <cfRule type="cellIs" dxfId="73" priority="8" operator="equal">
      <formula>0</formula>
    </cfRule>
  </conditionalFormatting>
  <conditionalFormatting sqref="C7:E7">
    <cfRule type="cellIs" dxfId="72" priority="7" operator="greaterThan">
      <formula>3000000</formula>
    </cfRule>
  </conditionalFormatting>
  <conditionalFormatting sqref="B13:B24">
    <cfRule type="expression" dxfId="71" priority="6">
      <formula>B13=""</formula>
    </cfRule>
  </conditionalFormatting>
  <conditionalFormatting sqref="B40">
    <cfRule type="expression" dxfId="70" priority="5">
      <formula>B40=""</formula>
    </cfRule>
  </conditionalFormatting>
  <conditionalFormatting sqref="B41">
    <cfRule type="expression" dxfId="69" priority="4">
      <formula>B41=""</formula>
    </cfRule>
  </conditionalFormatting>
  <conditionalFormatting sqref="B42">
    <cfRule type="expression" dxfId="68" priority="3">
      <formula>B42=""</formula>
    </cfRule>
  </conditionalFormatting>
  <conditionalFormatting sqref="B43">
    <cfRule type="expression" dxfId="67" priority="2">
      <formula>B43=""</formula>
    </cfRule>
  </conditionalFormatting>
  <conditionalFormatting sqref="B44">
    <cfRule type="expression" dxfId="66" priority="1">
      <formula>B44=""</formula>
    </cfRule>
  </conditionalFormatting>
  <dataValidations count="2">
    <dataValidation type="list" allowBlank="1" showInputMessage="1" showErrorMessage="1" sqref="C29:C35">
      <formula1>ComparisonList</formula1>
    </dataValidation>
    <dataValidation type="list" allowBlank="1" showInputMessage="1" showErrorMessage="1" sqref="B13:B24">
      <formula1>PositiveLikertList</formula1>
    </dataValidation>
  </dataValidation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Lists!$A$49:$A$52</xm:f>
          </x14:formula1>
          <xm:sqref>B40:B44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18" sqref="Q18"/>
    </sheetView>
  </sheetViews>
  <sheetFormatPr baseColWidth="10" defaultColWidth="8.83203125" defaultRowHeight="15" x14ac:dyDescent="0.2"/>
  <sheetData/>
  <sheetProtection sheet="1" objects="1" scenarios="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heetViews>
  <sheetFormatPr baseColWidth="10" defaultColWidth="8.83203125" defaultRowHeight="15" x14ac:dyDescent="0.2"/>
  <cols>
    <col min="1" max="1" width="31.5" bestFit="1" customWidth="1"/>
    <col min="2" max="2" width="22" customWidth="1"/>
    <col min="7" max="7" width="10" bestFit="1" customWidth="1"/>
  </cols>
  <sheetData>
    <row r="1" spans="1:7" x14ac:dyDescent="0.2">
      <c r="A1" t="s">
        <v>54</v>
      </c>
      <c r="B1" t="s">
        <v>69</v>
      </c>
      <c r="F1" s="69" t="s">
        <v>119</v>
      </c>
      <c r="G1" s="60">
        <f>ABS(SUMIFS(BusinessModelAssumptions[Cost],BusinessModelAssumptions[Stage],Prerelease))*(1+WYSIATI)</f>
        <v>77000</v>
      </c>
    </row>
    <row r="2" spans="1:7" x14ac:dyDescent="0.2">
      <c r="A2" t="str">
        <f>Lists!A8</f>
        <v>Marketing/Sales</v>
      </c>
      <c r="B2" s="59">
        <f>SUMIFS(BusinessModelAssumptions[Cost],BusinessModelAssumptions[Category],Table5[[#This Row],[Category]],BusinessModelAssumptions[Stage],Prerelease)</f>
        <v>0</v>
      </c>
      <c r="F2" s="69" t="s">
        <v>118</v>
      </c>
      <c r="G2" s="60">
        <f>PreReleaseTotal*-1</f>
        <v>77000</v>
      </c>
    </row>
    <row r="3" spans="1:7" x14ac:dyDescent="0.2">
      <c r="A3" t="str">
        <f>Lists!A9</f>
        <v>Technical Feasibility</v>
      </c>
      <c r="B3" s="59">
        <f>SUMIFS(BusinessModelAssumptions[Cost],BusinessModelAssumptions[Category],Table5[[#This Row],[Category]],BusinessModelAssumptions[Stage],Prerelease)</f>
        <v>-50000</v>
      </c>
      <c r="G3" s="60"/>
    </row>
    <row r="4" spans="1:7" x14ac:dyDescent="0.2">
      <c r="A4" t="str">
        <f>Lists!A10</f>
        <v>Software</v>
      </c>
      <c r="B4" s="59">
        <f>SUMIFS(BusinessModelAssumptions[Cost],BusinessModelAssumptions[Category],Table5[[#This Row],[Category]],BusinessModelAssumptions[Stage],Prerelease)</f>
        <v>-20000</v>
      </c>
      <c r="G4" s="60"/>
    </row>
    <row r="5" spans="1:7" x14ac:dyDescent="0.2">
      <c r="A5" t="str">
        <f>Lists!A11</f>
        <v>Hardware</v>
      </c>
      <c r="B5" s="59">
        <f>SUMIFS(BusinessModelAssumptions[Cost],BusinessModelAssumptions[Category],Table5[[#This Row],[Category]],BusinessModelAssumptions[Stage],Prerelease)</f>
        <v>0</v>
      </c>
      <c r="G5" s="60"/>
    </row>
    <row r="6" spans="1:7" x14ac:dyDescent="0.2">
      <c r="A6" t="str">
        <f>Lists!A12</f>
        <v>Prototype</v>
      </c>
      <c r="B6" s="59">
        <f>SUMIFS(BusinessModelAssumptions[Cost],BusinessModelAssumptions[Category],Table5[[#This Row],[Category]],BusinessModelAssumptions[Stage],Prerelease)</f>
        <v>0</v>
      </c>
      <c r="G6" s="60"/>
    </row>
    <row r="7" spans="1:7" x14ac:dyDescent="0.2">
      <c r="A7" t="str">
        <f>Lists!A13</f>
        <v>Legal</v>
      </c>
      <c r="B7" s="59">
        <f>SUMIFS(BusinessModelAssumptions[Cost],BusinessModelAssumptions[Category],Table5[[#This Row],[Category]],BusinessModelAssumptions[Stage],Prerelease)</f>
        <v>0</v>
      </c>
      <c r="G7" s="60"/>
    </row>
    <row r="8" spans="1:7" x14ac:dyDescent="0.2">
      <c r="A8" t="str">
        <f>Lists!A14</f>
        <v>Manufacturing</v>
      </c>
      <c r="B8" s="59">
        <f>SUMIFS(BusinessModelAssumptions[Cost],BusinessModelAssumptions[Category],Table5[[#This Row],[Category]],BusinessModelAssumptions[Stage],Prerelease)</f>
        <v>0</v>
      </c>
      <c r="G8" s="60"/>
    </row>
    <row r="9" spans="1:7" x14ac:dyDescent="0.2">
      <c r="A9" t="str">
        <f>Lists!A15</f>
        <v>Customer Service</v>
      </c>
      <c r="B9" s="59">
        <f>SUMIFS(BusinessModelAssumptions[Cost],BusinessModelAssumptions[Category],Table5[[#This Row],[Category]],BusinessModelAssumptions[Stage],Prerelease)</f>
        <v>0</v>
      </c>
      <c r="G9" s="60"/>
    </row>
    <row r="10" spans="1:7" x14ac:dyDescent="0.2">
      <c r="A10" t="str">
        <f>Lists!A16</f>
        <v>Overhead</v>
      </c>
      <c r="B10" s="59">
        <f>SUMIFS(BusinessModelAssumptions[Cost],BusinessModelAssumptions[Category],Table5[[#This Row],[Category]],BusinessModelAssumptions[Stage],Prerelease)</f>
        <v>0</v>
      </c>
      <c r="G10" s="60"/>
    </row>
    <row r="11" spans="1:7" x14ac:dyDescent="0.2">
      <c r="A11" t="str">
        <f>Lists!A17</f>
        <v>Misc.</v>
      </c>
      <c r="B11" s="59">
        <f>SUMIFS(BusinessModelAssumptions[Cost],BusinessModelAssumptions[Category],Table5[[#This Row],[Category]],BusinessModelAssumptions[Stage],Prerelease)</f>
        <v>0</v>
      </c>
      <c r="G11" s="60"/>
    </row>
    <row r="12" spans="1:7" x14ac:dyDescent="0.2">
      <c r="A12" t="str">
        <f>Lists!A18</f>
        <v>N/A</v>
      </c>
      <c r="B12" s="59">
        <f>SUMIFS(BusinessModelAssumptions[Cost],BusinessModelAssumptions[Category],Table5[[#This Row],[Category]],BusinessModelAssumptions[Stage],Prerelease)</f>
        <v>0</v>
      </c>
      <c r="G12" s="60"/>
    </row>
    <row r="13" spans="1:7" x14ac:dyDescent="0.2">
      <c r="A13" t="str">
        <f>Lists!A19</f>
        <v>N/A</v>
      </c>
      <c r="B13" s="59">
        <f>SUMIFS(BusinessModelAssumptions[Cost],BusinessModelAssumptions[Category],Table5[[#This Row],[Category]],BusinessModelAssumptions[Stage],Prerelease)</f>
        <v>0</v>
      </c>
      <c r="G13" s="60"/>
    </row>
    <row r="14" spans="1:7" x14ac:dyDescent="0.2">
      <c r="A14" t="str">
        <f>Lists!A20</f>
        <v>N/A</v>
      </c>
      <c r="B14" s="59">
        <f>SUMIFS(BusinessModelAssumptions[Cost],BusinessModelAssumptions[Category],Table5[[#This Row],[Category]],BusinessModelAssumptions[Stage],Prerelease)</f>
        <v>0</v>
      </c>
      <c r="G14" s="60"/>
    </row>
    <row r="15" spans="1:7" x14ac:dyDescent="0.2">
      <c r="A15" t="str">
        <f>Lists!A21</f>
        <v>N/A</v>
      </c>
      <c r="B15" s="59">
        <f>SUMIFS(BusinessModelAssumptions[Cost],BusinessModelAssumptions[Category],Table5[[#This Row],[Category]],BusinessModelAssumptions[Stage],Prerelease)</f>
        <v>0</v>
      </c>
      <c r="G15" s="60"/>
    </row>
    <row r="16" spans="1:7" x14ac:dyDescent="0.2">
      <c r="A16" s="58" t="s">
        <v>113</v>
      </c>
      <c r="B16" s="67">
        <f>ABS(SUM(Table5[Total Estimated Costs]))*WYSIATI</f>
        <v>7000</v>
      </c>
      <c r="G16" s="60"/>
    </row>
    <row r="17" spans="1:9" x14ac:dyDescent="0.2">
      <c r="A17" s="58" t="s">
        <v>88</v>
      </c>
      <c r="B17" s="68">
        <f>ABS(SUM(Table5[Total Estimated Costs]))+B16</f>
        <v>77000</v>
      </c>
      <c r="F17" s="69"/>
      <c r="G17" s="60"/>
    </row>
    <row r="18" spans="1:9" x14ac:dyDescent="0.2">
      <c r="A18" s="69" t="s">
        <v>84</v>
      </c>
      <c r="B18" s="70">
        <f>WeightedPreReleaseUncertainty</f>
        <v>0.25714285714285712</v>
      </c>
      <c r="G18" s="4"/>
      <c r="H18" s="4"/>
      <c r="I18" s="4"/>
    </row>
    <row r="19" spans="1:9" x14ac:dyDescent="0.2">
      <c r="A19" s="69" t="s">
        <v>85</v>
      </c>
      <c r="B19" s="70">
        <f>((B18-MinimumUncertainty)/UncertaintyInterval)+MinimumUncertainty</f>
        <v>8.4523809523809529E-2</v>
      </c>
    </row>
    <row r="20" spans="1:9" x14ac:dyDescent="0.2">
      <c r="A20" s="58" t="s">
        <v>86</v>
      </c>
      <c r="B20" s="71">
        <f>$B$17-($B$17*$B$19)</f>
        <v>70491.666666666672</v>
      </c>
    </row>
    <row r="21" spans="1:9" x14ac:dyDescent="0.2">
      <c r="A21" s="58" t="s">
        <v>87</v>
      </c>
      <c r="B21" s="72">
        <f>$B$17+($B$17*$B$19)</f>
        <v>83508.333333333328</v>
      </c>
    </row>
    <row r="22" spans="1:9" x14ac:dyDescent="0.2">
      <c r="A22" s="58"/>
      <c r="B22" s="20"/>
    </row>
    <row r="23" spans="1:9" x14ac:dyDescent="0.2">
      <c r="A23" s="58"/>
      <c r="B23" s="20"/>
    </row>
    <row r="24" spans="1:9" x14ac:dyDescent="0.2">
      <c r="A24" s="58"/>
      <c r="B24" s="20"/>
    </row>
    <row r="25" spans="1:9" x14ac:dyDescent="0.2">
      <c r="A25" s="58"/>
    </row>
    <row r="26" spans="1:9" x14ac:dyDescent="0.2">
      <c r="A26" s="58"/>
    </row>
    <row r="27" spans="1:9" x14ac:dyDescent="0.2">
      <c r="A27" s="58"/>
    </row>
    <row r="28" spans="1:9" x14ac:dyDescent="0.2">
      <c r="A28" s="20"/>
    </row>
    <row r="29" spans="1:9" x14ac:dyDescent="0.2">
      <c r="A29" s="20"/>
    </row>
    <row r="30" spans="1:9" x14ac:dyDescent="0.2">
      <c r="A30" s="20"/>
    </row>
    <row r="31" spans="1:9" x14ac:dyDescent="0.2">
      <c r="A31" s="20"/>
    </row>
  </sheetData>
  <sheetProtection sheet="1" objects="1" scenarios="1" formatCells="0" formatColumns="0" formatRows="0"/>
  <conditionalFormatting sqref="G1">
    <cfRule type="cellIs" dxfId="65" priority="5" operator="greaterThan">
      <formula>$B$17</formula>
    </cfRule>
    <cfRule type="cellIs" dxfId="64" priority="6" operator="lessThan">
      <formula>$B$17</formula>
    </cfRule>
    <cfRule type="cellIs" dxfId="63" priority="7" operator="equal">
      <formula>$B$17</formula>
    </cfRule>
  </conditionalFormatting>
  <conditionalFormatting sqref="G2">
    <cfRule type="cellIs" dxfId="62" priority="2" operator="greaterThan">
      <formula>$B$17</formula>
    </cfRule>
    <cfRule type="cellIs" dxfId="61" priority="3" operator="lessThan">
      <formula>$B$17</formula>
    </cfRule>
    <cfRule type="cellIs" dxfId="60" priority="4" operator="equal">
      <formula>$B$17</formula>
    </cfRule>
  </conditionalFormatting>
  <conditionalFormatting sqref="B28">
    <cfRule type="cellIs" priority="1" operator="notEqual">
      <formula>$B$17*-1</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7"/>
  <sheetViews>
    <sheetView workbookViewId="0">
      <selection activeCell="H3" sqref="H3"/>
    </sheetView>
  </sheetViews>
  <sheetFormatPr baseColWidth="10" defaultColWidth="8.83203125" defaultRowHeight="15" x14ac:dyDescent="0.2"/>
  <cols>
    <col min="1" max="1" width="33" customWidth="1"/>
    <col min="2" max="9" width="17.83203125" customWidth="1"/>
  </cols>
  <sheetData>
    <row r="1" spans="1:9" x14ac:dyDescent="0.2">
      <c r="A1" s="8" t="s">
        <v>5</v>
      </c>
      <c r="B1" s="8"/>
      <c r="C1" s="8"/>
      <c r="D1" s="8"/>
      <c r="E1" s="8"/>
      <c r="F1" s="8"/>
      <c r="G1" s="8"/>
      <c r="H1" s="8"/>
      <c r="I1" s="8"/>
    </row>
    <row r="2" spans="1:9" ht="38.25" customHeight="1" x14ac:dyDescent="0.2">
      <c r="A2" s="1" t="s">
        <v>0</v>
      </c>
      <c r="B2" s="1" t="s">
        <v>1</v>
      </c>
      <c r="C2" s="1" t="s">
        <v>2</v>
      </c>
      <c r="D2" s="1" t="s">
        <v>3</v>
      </c>
      <c r="E2" s="1" t="s">
        <v>4</v>
      </c>
      <c r="F2" s="1" t="s">
        <v>16</v>
      </c>
      <c r="G2" s="1" t="s">
        <v>32</v>
      </c>
      <c r="H2" s="1" t="s">
        <v>34</v>
      </c>
      <c r="I2" s="1" t="s">
        <v>40</v>
      </c>
    </row>
    <row r="3" spans="1:9" x14ac:dyDescent="0.2">
      <c r="A3" s="21" t="s">
        <v>219</v>
      </c>
      <c r="B3" s="22">
        <v>1000000</v>
      </c>
      <c r="C3" s="23">
        <v>0.1</v>
      </c>
      <c r="D3" s="22">
        <v>1</v>
      </c>
      <c r="E3" s="46">
        <f>PopulationAssumptions[[#This Row],[Total Population of Target Market]]*PopulationAssumptions[[#This Row],[Target Percent of Population]]*PopulationAssumptions[[#This Row],[Average Number of Purchases]]</f>
        <v>100000</v>
      </c>
      <c r="F3" s="149">
        <v>20</v>
      </c>
      <c r="G3" s="44">
        <v>0</v>
      </c>
      <c r="H3" s="25" t="s">
        <v>37</v>
      </c>
      <c r="I3" s="23">
        <v>0.9</v>
      </c>
    </row>
    <row r="4" spans="1:9" x14ac:dyDescent="0.2">
      <c r="A4" s="21" t="s">
        <v>220</v>
      </c>
      <c r="B4" s="22">
        <v>500000</v>
      </c>
      <c r="C4" s="23">
        <v>0.1</v>
      </c>
      <c r="D4" s="22">
        <v>1</v>
      </c>
      <c r="E4" s="46">
        <f>PopulationAssumptions[[#This Row],[Total Population of Target Market]]*PopulationAssumptions[[#This Row],[Target Percent of Population]]*PopulationAssumptions[[#This Row],[Average Number of Purchases]]</f>
        <v>50000</v>
      </c>
      <c r="F4" s="149">
        <v>20</v>
      </c>
      <c r="G4" s="44">
        <v>0</v>
      </c>
      <c r="H4" s="25" t="s">
        <v>36</v>
      </c>
      <c r="I4" s="23">
        <v>0.9</v>
      </c>
    </row>
    <row r="5" spans="1:9" x14ac:dyDescent="0.2">
      <c r="A5" s="21" t="s">
        <v>221</v>
      </c>
      <c r="B5" s="22">
        <v>2000000</v>
      </c>
      <c r="C5" s="23">
        <v>0.1</v>
      </c>
      <c r="D5" s="22">
        <v>1</v>
      </c>
      <c r="E5" s="46">
        <f>PopulationAssumptions[[#This Row],[Total Population of Target Market]]*PopulationAssumptions[[#This Row],[Target Percent of Population]]*PopulationAssumptions[[#This Row],[Average Number of Purchases]]</f>
        <v>200000</v>
      </c>
      <c r="F5" s="149">
        <v>20</v>
      </c>
      <c r="G5" s="44">
        <v>0</v>
      </c>
      <c r="H5" s="24"/>
      <c r="I5" s="24"/>
    </row>
    <row r="6" spans="1:9" x14ac:dyDescent="0.2">
      <c r="A6" s="21" t="s">
        <v>6</v>
      </c>
      <c r="B6" s="22"/>
      <c r="C6" s="23"/>
      <c r="D6" s="22"/>
      <c r="E6" s="46">
        <f>PopulationAssumptions[[#This Row],[Total Population of Target Market]]*PopulationAssumptions[[#This Row],[Target Percent of Population]]*PopulationAssumptions[[#This Row],[Average Number of Purchases]]</f>
        <v>0</v>
      </c>
      <c r="F6" s="25"/>
      <c r="G6" s="44"/>
      <c r="H6" s="24"/>
      <c r="I6" s="24"/>
    </row>
    <row r="7" spans="1:9" x14ac:dyDescent="0.2">
      <c r="A7" s="21" t="s">
        <v>6</v>
      </c>
      <c r="B7" s="22"/>
      <c r="C7" s="23"/>
      <c r="D7" s="22"/>
      <c r="E7" s="46">
        <f>PopulationAssumptions[[#This Row],[Total Population of Target Market]]*PopulationAssumptions[[#This Row],[Target Percent of Population]]*PopulationAssumptions[[#This Row],[Average Number of Purchases]]</f>
        <v>0</v>
      </c>
      <c r="F7" s="25"/>
      <c r="G7" s="44"/>
      <c r="H7" s="24"/>
      <c r="I7" s="24"/>
    </row>
    <row r="8" spans="1:9" x14ac:dyDescent="0.2">
      <c r="A8" s="21" t="s">
        <v>6</v>
      </c>
      <c r="B8" s="22"/>
      <c r="C8" s="23"/>
      <c r="D8" s="22"/>
      <c r="E8" s="46">
        <f>PopulationAssumptions[[#This Row],[Total Population of Target Market]]*PopulationAssumptions[[#This Row],[Target Percent of Population]]*PopulationAssumptions[[#This Row],[Average Number of Purchases]]</f>
        <v>0</v>
      </c>
      <c r="F8" s="25"/>
      <c r="G8" s="44"/>
      <c r="H8" s="24"/>
      <c r="I8" s="24"/>
    </row>
    <row r="9" spans="1:9" x14ac:dyDescent="0.2">
      <c r="A9" s="21" t="s">
        <v>6</v>
      </c>
      <c r="B9" s="22"/>
      <c r="C9" s="23"/>
      <c r="D9" s="22"/>
      <c r="E9" s="46">
        <f>PopulationAssumptions[[#This Row],[Total Population of Target Market]]*PopulationAssumptions[[#This Row],[Target Percent of Population]]*PopulationAssumptions[[#This Row],[Average Number of Purchases]]</f>
        <v>0</v>
      </c>
      <c r="F9" s="25"/>
      <c r="G9" s="44"/>
      <c r="H9" s="24"/>
      <c r="I9" s="24"/>
    </row>
    <row r="10" spans="1:9" x14ac:dyDescent="0.2">
      <c r="A10" s="21" t="s">
        <v>6</v>
      </c>
      <c r="B10" s="22"/>
      <c r="C10" s="23"/>
      <c r="D10" s="22"/>
      <c r="E10" s="46">
        <f>PopulationAssumptions[[#This Row],[Total Population of Target Market]]*PopulationAssumptions[[#This Row],[Target Percent of Population]]*PopulationAssumptions[[#This Row],[Average Number of Purchases]]</f>
        <v>0</v>
      </c>
      <c r="F10" s="25"/>
      <c r="G10" s="44"/>
      <c r="H10" s="24"/>
      <c r="I10" s="24"/>
    </row>
    <row r="11" spans="1:9" x14ac:dyDescent="0.2">
      <c r="A11" s="58" t="s">
        <v>29</v>
      </c>
      <c r="E11" s="20">
        <f>SUM(PopulationAssumptions[Total Amount of Target Units Sold])</f>
        <v>350000</v>
      </c>
    </row>
    <row r="12" spans="1:9" x14ac:dyDescent="0.2">
      <c r="A12" s="8" t="s">
        <v>7</v>
      </c>
      <c r="B12" s="8"/>
      <c r="C12" s="8"/>
      <c r="D12" s="8"/>
      <c r="E12" s="8"/>
      <c r="F12" s="8"/>
      <c r="G12" s="8"/>
      <c r="H12" s="8"/>
    </row>
    <row r="13" spans="1:9" ht="30" x14ac:dyDescent="0.2">
      <c r="A13" s="1" t="s">
        <v>17</v>
      </c>
      <c r="B13" s="1" t="s">
        <v>8</v>
      </c>
      <c r="C13" s="1" t="s">
        <v>9</v>
      </c>
      <c r="D13" s="1" t="s">
        <v>10</v>
      </c>
      <c r="E13" s="1" t="s">
        <v>11</v>
      </c>
      <c r="F13" s="1" t="s">
        <v>12</v>
      </c>
      <c r="G13" s="1" t="s">
        <v>13</v>
      </c>
      <c r="H13" s="1" t="s">
        <v>14</v>
      </c>
    </row>
    <row r="14" spans="1:9" x14ac:dyDescent="0.2">
      <c r="A14" s="10" t="s">
        <v>15</v>
      </c>
      <c r="B14" s="7">
        <v>0</v>
      </c>
      <c r="C14" s="7">
        <v>1</v>
      </c>
      <c r="D14" s="7">
        <v>2</v>
      </c>
      <c r="E14" s="7">
        <v>3</v>
      </c>
      <c r="F14" s="7">
        <v>4</v>
      </c>
      <c r="G14" s="7">
        <v>5</v>
      </c>
      <c r="H14" s="7">
        <v>6</v>
      </c>
    </row>
    <row r="15" spans="1:9" x14ac:dyDescent="0.2">
      <c r="A15" s="1" t="s">
        <v>18</v>
      </c>
      <c r="B15" s="24"/>
      <c r="C15" s="26"/>
      <c r="D15" s="26"/>
      <c r="E15" s="44"/>
      <c r="F15" s="44"/>
      <c r="G15" s="44"/>
      <c r="H15" s="44"/>
    </row>
    <row r="17" spans="1:9" s="19" customFormat="1" x14ac:dyDescent="0.2">
      <c r="A17"/>
      <c r="B17"/>
      <c r="C17"/>
      <c r="D17"/>
      <c r="E17"/>
      <c r="F17"/>
      <c r="G17"/>
      <c r="H17"/>
      <c r="I17"/>
    </row>
  </sheetData>
  <sheetProtection sheet="1" objects="1" scenarios="1" formatCells="0" formatColumns="0" formatRows="0"/>
  <conditionalFormatting sqref="B7">
    <cfRule type="cellIs" dxfId="59" priority="45" operator="equal">
      <formula>$B$7=""</formula>
    </cfRule>
    <cfRule type="containsText" dxfId="58" priority="46" operator="containsText" text=" ">
      <formula>NOT(ISERROR(SEARCH(" ",B7)))</formula>
    </cfRule>
  </conditionalFormatting>
  <conditionalFormatting sqref="B3:F10">
    <cfRule type="cellIs" dxfId="57" priority="44" operator="equal">
      <formula>0</formula>
    </cfRule>
  </conditionalFormatting>
  <conditionalFormatting sqref="B3:B10">
    <cfRule type="cellIs" dxfId="56" priority="43" operator="equal">
      <formula>0</formula>
    </cfRule>
  </conditionalFormatting>
  <conditionalFormatting sqref="B4">
    <cfRule type="cellIs" dxfId="55" priority="42" operator="equal">
      <formula>0</formula>
    </cfRule>
  </conditionalFormatting>
  <conditionalFormatting sqref="B5">
    <cfRule type="cellIs" dxfId="54" priority="41" operator="equal">
      <formula>0</formula>
    </cfRule>
  </conditionalFormatting>
  <conditionalFormatting sqref="D15:H15">
    <cfRule type="cellIs" dxfId="53" priority="39" operator="equal">
      <formula>$B$7=""</formula>
    </cfRule>
    <cfRule type="containsText" dxfId="52" priority="40" operator="containsText" text=" ">
      <formula>NOT(ISERROR(SEARCH(" ",D15)))</formula>
    </cfRule>
  </conditionalFormatting>
  <conditionalFormatting sqref="D15:H15">
    <cfRule type="cellIs" dxfId="51" priority="38" operator="equal">
      <formula>0</formula>
    </cfRule>
  </conditionalFormatting>
  <conditionalFormatting sqref="C15">
    <cfRule type="cellIs" dxfId="50" priority="36" operator="equal">
      <formula>$B$7=""</formula>
    </cfRule>
    <cfRule type="containsText" dxfId="49" priority="37" operator="containsText" text=" ">
      <formula>NOT(ISERROR(SEARCH(" ",C15)))</formula>
    </cfRule>
  </conditionalFormatting>
  <conditionalFormatting sqref="C15">
    <cfRule type="cellIs" dxfId="48" priority="35" operator="equal">
      <formula>0</formula>
    </cfRule>
  </conditionalFormatting>
  <conditionalFormatting sqref="B4">
    <cfRule type="cellIs" dxfId="47" priority="34" operator="equal">
      <formula>0</formula>
    </cfRule>
  </conditionalFormatting>
  <conditionalFormatting sqref="G3:G10">
    <cfRule type="containsBlanks" dxfId="46" priority="31">
      <formula>LEN(TRIM(G3))=0</formula>
    </cfRule>
    <cfRule type="expression" dxfId="45" priority="32">
      <formula>""</formula>
    </cfRule>
  </conditionalFormatting>
  <conditionalFormatting sqref="H3">
    <cfRule type="cellIs" dxfId="44" priority="30" operator="equal">
      <formula>0</formula>
    </cfRule>
  </conditionalFormatting>
  <conditionalFormatting sqref="H4">
    <cfRule type="cellIs" dxfId="43" priority="29" operator="equal">
      <formula>0</formula>
    </cfRule>
  </conditionalFormatting>
  <conditionalFormatting sqref="I3">
    <cfRule type="cellIs" dxfId="42" priority="21" operator="equal">
      <formula>0</formula>
    </cfRule>
  </conditionalFormatting>
  <conditionalFormatting sqref="I4">
    <cfRule type="cellIs" dxfId="41" priority="20" operator="equal">
      <formula>0</formula>
    </cfRule>
  </conditionalFormatting>
  <conditionalFormatting sqref="I3:I11">
    <cfRule type="cellIs" dxfId="40" priority="13" operator="greaterThan">
      <formula>1</formula>
    </cfRule>
  </conditionalFormatting>
  <conditionalFormatting sqref="I18">
    <cfRule type="containsText" dxfId="39" priority="2" operator="containsText" text="Estimated backed by Knowledge">
      <formula>NOT(ISERROR(SEARCH("Estimated backed by Knowledge",I18)))</formula>
    </cfRule>
  </conditionalFormatting>
  <dataValidations count="4">
    <dataValidation type="list" allowBlank="1" showInputMessage="1" showErrorMessage="1" sqref="H3:H4">
      <formula1>RepeatPurchasesList</formula1>
    </dataValidation>
    <dataValidation type="list" allowBlank="1" showInputMessage="1" showErrorMessage="1" sqref="B18">
      <formula1>StageList</formula1>
    </dataValidation>
    <dataValidation type="list" allowBlank="1" showInputMessage="1" showErrorMessage="1" sqref="I18">
      <formula1>UncertaintyLevel</formula1>
    </dataValidation>
    <dataValidation type="list" allowBlank="1" showInputMessage="1" showErrorMessage="1" sqref="C18">
      <formula1>CategoryList</formula1>
    </dataValidation>
  </dataValidations>
  <pageMargins left="0.7" right="0.7" top="0.75" bottom="0.75" header="0.3" footer="0.3"/>
  <pageSetup orientation="portrait" verticalDpi="0" r:id="rId1"/>
  <legacyDrawing r:id="rId2"/>
  <tableParts count="2">
    <tablePart r:id="rId3"/>
    <tablePart r:id="rId4"/>
  </tableParts>
  <extLst>
    <ext xmlns:x14="http://schemas.microsoft.com/office/spreadsheetml/2009/9/main" uri="{78C0D931-6437-407d-A8EE-F0AAD7539E65}">
      <x14:conditionalFormattings>
        <x14:conditionalFormatting xmlns:xm="http://schemas.microsoft.com/office/excel/2006/main">
          <x14:cfRule type="containsText" priority="1" operator="containsText" id="{963AF2DE-DFC3-49CF-8178-0BA2A2B046EF}">
            <xm:f>NOT(ISERROR(SEARCH(Certain,I18)))</xm:f>
            <xm:f>Certain</xm:f>
            <x14:dxf>
              <font>
                <color rgb="FF006100"/>
              </font>
              <fill>
                <patternFill>
                  <bgColor rgb="FFC6EFCE"/>
                </patternFill>
              </fill>
            </x14:dxf>
          </x14:cfRule>
          <x14:cfRule type="containsText" priority="3" operator="containsText" id="{A9A25BD4-EA76-4301-9E47-22A329C9A019}">
            <xm:f>NOT(ISERROR(SEARCH(EducatedGuess,I18)))</xm:f>
            <xm:f>EducatedGuess</xm:f>
            <x14:dxf>
              <font>
                <color rgb="FF9C6500"/>
              </font>
              <fill>
                <patternFill>
                  <bgColor rgb="FFFFEB9C"/>
                </patternFill>
              </fill>
            </x14:dxf>
          </x14:cfRule>
          <x14:cfRule type="containsText" priority="4" operator="containsText" id="{C22A75ED-006E-4BCD-8C73-8282FC516914}">
            <xm:f>NOT(ISERROR(SEARCH(Guess,I18)))</xm:f>
            <xm:f>Guess</xm:f>
            <x14:dxf>
              <font>
                <color rgb="FF9C6500"/>
              </font>
              <fill>
                <patternFill>
                  <bgColor rgb="FFFFEB9C"/>
                </patternFill>
              </fill>
            </x14:dxf>
          </x14:cfRule>
          <x14:cfRule type="containsText" priority="5" operator="containsText" id="{79C453CF-EE76-4536-971C-AE219F77DA57}">
            <xm:f>NOT(ISERROR(SEARCH(HighlyUncertain,I18)))</xm:f>
            <xm:f>HighlyUncertain</xm:f>
            <x14:dxf>
              <font>
                <color rgb="FF9C0006"/>
              </font>
              <fill>
                <patternFill>
                  <bgColor rgb="FFFFC7CE"/>
                </patternFill>
              </fill>
            </x14:dxf>
          </x14:cfRule>
          <x14:cfRule type="containsText" priority="6" operator="containsText" id="{AD30669A-02E7-458E-B567-0023BE599A81}">
            <xm:f>NOT(ISERROR(SEARCH(NoIdea,I18)))</xm:f>
            <xm:f>NoIdea</xm:f>
            <x14:dxf>
              <font>
                <color rgb="FF9C0006"/>
              </font>
              <fill>
                <patternFill>
                  <bgColor rgb="FFFFC7CE"/>
                </patternFill>
              </fill>
            </x14:dxf>
          </x14:cfRule>
          <xm:sqref>I18</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E7" sqref="E7"/>
    </sheetView>
  </sheetViews>
  <sheetFormatPr baseColWidth="10" defaultColWidth="8.83203125" defaultRowHeight="15" x14ac:dyDescent="0.2"/>
  <cols>
    <col min="1" max="1" width="41.5" style="1" customWidth="1"/>
    <col min="2" max="3" width="18.33203125" style="1" customWidth="1"/>
    <col min="4" max="4" width="54.6640625" style="1" customWidth="1"/>
    <col min="5" max="5" width="20.6640625" customWidth="1"/>
    <col min="6" max="6" width="16.5" bestFit="1" customWidth="1"/>
    <col min="7" max="7" width="15.6640625" bestFit="1" customWidth="1"/>
    <col min="8" max="8" width="12.5" customWidth="1"/>
    <col min="9" max="9" width="12.1640625" customWidth="1"/>
  </cols>
  <sheetData>
    <row r="1" spans="1:9" s="1" customFormat="1" ht="30" x14ac:dyDescent="0.2">
      <c r="A1" s="64" t="s">
        <v>52</v>
      </c>
      <c r="B1" s="64" t="s">
        <v>53</v>
      </c>
      <c r="C1" s="64" t="s">
        <v>54</v>
      </c>
      <c r="D1" s="65" t="s">
        <v>77</v>
      </c>
      <c r="E1" s="64" t="s">
        <v>108</v>
      </c>
      <c r="F1" s="64" t="s">
        <v>109</v>
      </c>
      <c r="G1" s="64" t="s">
        <v>78</v>
      </c>
      <c r="H1" s="65" t="s">
        <v>82</v>
      </c>
      <c r="I1" s="65" t="s">
        <v>83</v>
      </c>
    </row>
    <row r="2" spans="1:9" s="1" customFormat="1" x14ac:dyDescent="0.2">
      <c r="A2" s="83" t="s">
        <v>116</v>
      </c>
      <c r="B2" s="84" t="s">
        <v>67</v>
      </c>
      <c r="C2" s="84" t="s">
        <v>90</v>
      </c>
      <c r="D2" s="84"/>
      <c r="E2" s="79">
        <v>-10000</v>
      </c>
      <c r="F2" s="21" t="s">
        <v>115</v>
      </c>
      <c r="G2" s="21" t="s">
        <v>71</v>
      </c>
      <c r="H2" s="66">
        <f>VLOOKUP(BusinessModelAssumptions[[#This Row],[Certainty]],UncertaintyLookupTable,2,FALSE)</f>
        <v>0.95</v>
      </c>
      <c r="I2" s="66">
        <f>BusinessModelAssumptions[[#This Row],[Uncertainty Value]]*ABS(BusinessModelAssumptions[[#This Row],[Cost]])</f>
        <v>9500</v>
      </c>
    </row>
    <row r="3" spans="1:9" s="1" customFormat="1" x14ac:dyDescent="0.2">
      <c r="A3" s="83" t="s">
        <v>212</v>
      </c>
      <c r="B3" s="84" t="s">
        <v>67</v>
      </c>
      <c r="C3" s="84" t="s">
        <v>59</v>
      </c>
      <c r="D3" s="84" t="s">
        <v>213</v>
      </c>
      <c r="E3" s="79">
        <v>-4</v>
      </c>
      <c r="F3" s="21" t="s">
        <v>112</v>
      </c>
      <c r="G3" s="21" t="s">
        <v>73</v>
      </c>
      <c r="H3" s="66">
        <f>VLOOKUP(BusinessModelAssumptions[[#This Row],[Certainty]],UncertaintyLookupTable,2,FALSE)</f>
        <v>0.5</v>
      </c>
      <c r="I3" s="66">
        <f>BusinessModelAssumptions[[#This Row],[Uncertainty Value]]*ABS(BusinessModelAssumptions[[#This Row],[Cost]])</f>
        <v>2</v>
      </c>
    </row>
    <row r="4" spans="1:9" s="1" customFormat="1" x14ac:dyDescent="0.2">
      <c r="A4" s="83" t="s">
        <v>60</v>
      </c>
      <c r="B4" s="84" t="s">
        <v>66</v>
      </c>
      <c r="C4" s="84" t="s">
        <v>64</v>
      </c>
      <c r="D4" s="84" t="s">
        <v>214</v>
      </c>
      <c r="E4" s="79">
        <v>-50000</v>
      </c>
      <c r="F4" s="21" t="s">
        <v>115</v>
      </c>
      <c r="G4" s="21" t="s">
        <v>74</v>
      </c>
      <c r="H4" s="66">
        <f>VLOOKUP(BusinessModelAssumptions[[#This Row],[Certainty]],UncertaintyLookupTable,2,FALSE)</f>
        <v>0.3</v>
      </c>
      <c r="I4" s="66">
        <f>BusinessModelAssumptions[[#This Row],[Uncertainty Value]]*ABS(BusinessModelAssumptions[[#This Row],[Cost]])</f>
        <v>15000</v>
      </c>
    </row>
    <row r="5" spans="1:9" s="1" customFormat="1" x14ac:dyDescent="0.2">
      <c r="A5" s="83" t="s">
        <v>216</v>
      </c>
      <c r="B5" s="84" t="s">
        <v>66</v>
      </c>
      <c r="C5" s="84" t="s">
        <v>58</v>
      </c>
      <c r="D5" s="84" t="s">
        <v>217</v>
      </c>
      <c r="E5" s="79">
        <v>-20000</v>
      </c>
      <c r="F5" s="21" t="s">
        <v>115</v>
      </c>
      <c r="G5" s="21" t="s">
        <v>75</v>
      </c>
      <c r="H5" s="66">
        <f>VLOOKUP(BusinessModelAssumptions[[#This Row],[Certainty]],UncertaintyLookupTable,2,FALSE)</f>
        <v>0.15</v>
      </c>
      <c r="I5" s="66">
        <f>BusinessModelAssumptions[[#This Row],[Uncertainty Value]]*ABS(BusinessModelAssumptions[[#This Row],[Cost]])</f>
        <v>3000</v>
      </c>
    </row>
    <row r="6" spans="1:9" s="1" customFormat="1" x14ac:dyDescent="0.2">
      <c r="A6" s="83" t="s">
        <v>215</v>
      </c>
      <c r="B6" s="84" t="s">
        <v>67</v>
      </c>
      <c r="C6" s="84" t="s">
        <v>58</v>
      </c>
      <c r="D6" s="84" t="s">
        <v>218</v>
      </c>
      <c r="E6" s="79">
        <v>-10000</v>
      </c>
      <c r="F6" s="21" t="s">
        <v>115</v>
      </c>
      <c r="G6" s="21" t="s">
        <v>71</v>
      </c>
      <c r="H6" s="66">
        <f>VLOOKUP(BusinessModelAssumptions[[#This Row],[Certainty]],UncertaintyLookupTable,2,FALSE)</f>
        <v>0.95</v>
      </c>
      <c r="I6" s="66">
        <f>BusinessModelAssumptions[[#This Row],[Uncertainty Value]]*ABS(BusinessModelAssumptions[[#This Row],[Cost]])</f>
        <v>9500</v>
      </c>
    </row>
    <row r="7" spans="1:9" ht="30" x14ac:dyDescent="0.2">
      <c r="A7" s="86" t="s">
        <v>113</v>
      </c>
      <c r="B7" s="81"/>
      <c r="C7" s="81"/>
      <c r="D7" s="87" t="s">
        <v>117</v>
      </c>
      <c r="E7" s="27">
        <v>0.1</v>
      </c>
      <c r="F7" s="80" t="s">
        <v>110</v>
      </c>
      <c r="G7" s="81"/>
      <c r="H7" s="82"/>
      <c r="I7" s="82"/>
    </row>
    <row r="8" spans="1:9" x14ac:dyDescent="0.2">
      <c r="D8" s="85"/>
      <c r="F8" s="63"/>
      <c r="G8" s="20"/>
      <c r="H8" s="58" t="s">
        <v>80</v>
      </c>
      <c r="I8" s="30">
        <f>ABS(SUMIF(BusinessModelAssumptions[Stage],Prerelease,BusinessModelAssumptions[Uncertainty Weight]) / SUMIF(BusinessModelAssumptions[Stage],Prerelease,BusinessModelAssumptions[Cost]))</f>
        <v>0.25714285714285712</v>
      </c>
    </row>
    <row r="9" spans="1:9" x14ac:dyDescent="0.2">
      <c r="D9" s="40"/>
      <c r="E9" s="80"/>
      <c r="F9" s="20"/>
      <c r="G9" s="20"/>
      <c r="H9" s="58" t="s">
        <v>81</v>
      </c>
      <c r="I9" s="30">
        <f>ABS(SUMIF(BusinessModelAssumptions[Stage],PostRelease,BusinessModelAssumptions[Uncertainty Weight]) / SUMIF(BusinessModelAssumptions[Stage],PostRelease,BusinessModelAssumptions[Cost]))</f>
        <v>0.94991001799640074</v>
      </c>
    </row>
    <row r="10" spans="1:9" x14ac:dyDescent="0.2">
      <c r="D10" s="40"/>
      <c r="F10" s="58"/>
      <c r="G10" s="58"/>
    </row>
    <row r="11" spans="1:9" x14ac:dyDescent="0.2">
      <c r="D11" s="40"/>
      <c r="E11" s="58"/>
      <c r="F11" s="58"/>
      <c r="G11" s="58"/>
    </row>
    <row r="12" spans="1:9" x14ac:dyDescent="0.2">
      <c r="D12" s="40"/>
      <c r="E12" s="20"/>
      <c r="F12" s="20"/>
      <c r="G12" s="20"/>
    </row>
    <row r="13" spans="1:9" x14ac:dyDescent="0.2">
      <c r="D13" s="40"/>
      <c r="E13" s="20"/>
      <c r="F13" s="20"/>
      <c r="G13" s="20"/>
    </row>
    <row r="14" spans="1:9" x14ac:dyDescent="0.2">
      <c r="D14" s="40"/>
      <c r="E14" s="20"/>
      <c r="F14" s="20"/>
      <c r="G14" s="20"/>
    </row>
    <row r="15" spans="1:9" x14ac:dyDescent="0.2">
      <c r="D15" s="40"/>
      <c r="E15" s="20"/>
      <c r="F15" s="20"/>
      <c r="G15" s="20"/>
    </row>
    <row r="16" spans="1:9" x14ac:dyDescent="0.2">
      <c r="D16" s="40"/>
      <c r="E16" s="20"/>
      <c r="F16" s="20"/>
      <c r="G16" s="20"/>
    </row>
    <row r="17" spans="4:7" x14ac:dyDescent="0.2">
      <c r="D17" s="40"/>
      <c r="E17" s="20"/>
      <c r="F17" s="20"/>
      <c r="G17" s="20"/>
    </row>
    <row r="18" spans="4:7" x14ac:dyDescent="0.2">
      <c r="D18" s="40"/>
      <c r="E18" s="20"/>
      <c r="F18" s="20"/>
      <c r="G18" s="20"/>
    </row>
  </sheetData>
  <sheetProtection sheet="1" objects="1" scenarios="1" formatCells="0" formatColumns="0" formatRows="0"/>
  <conditionalFormatting sqref="G7">
    <cfRule type="containsText" dxfId="33" priority="83" operator="containsText" text="Estimated backed by Knowledge">
      <formula>NOT(ISERROR(SEARCH("Estimated backed by Knowledge",G7)))</formula>
    </cfRule>
  </conditionalFormatting>
  <conditionalFormatting sqref="A7 E7">
    <cfRule type="cellIs" dxfId="32" priority="73" operator="equal">
      <formula>0</formula>
    </cfRule>
  </conditionalFormatting>
  <conditionalFormatting sqref="D7">
    <cfRule type="cellIs" dxfId="31" priority="45" operator="equal">
      <formula>0</formula>
    </cfRule>
  </conditionalFormatting>
  <conditionalFormatting sqref="D7">
    <cfRule type="cellIs" dxfId="30" priority="44" operator="equal">
      <formula>0</formula>
    </cfRule>
  </conditionalFormatting>
  <conditionalFormatting sqref="D7">
    <cfRule type="cellIs" dxfId="29" priority="43" operator="equal">
      <formula>0</formula>
    </cfRule>
  </conditionalFormatting>
  <conditionalFormatting sqref="D7">
    <cfRule type="cellIs" dxfId="28" priority="42" operator="equal">
      <formula>0</formula>
    </cfRule>
  </conditionalFormatting>
  <conditionalFormatting sqref="F2:F7">
    <cfRule type="expression" dxfId="27" priority="25">
      <formula>B2=Prerelease</formula>
    </cfRule>
  </conditionalFormatting>
  <conditionalFormatting sqref="C7">
    <cfRule type="containsText" dxfId="26" priority="16" operator="containsText" text="Estimated backed by Knowledge">
      <formula>NOT(ISERROR(SEARCH("Estimated backed by Knowledge",C7)))</formula>
    </cfRule>
  </conditionalFormatting>
  <conditionalFormatting sqref="B7">
    <cfRule type="containsText" dxfId="25" priority="10" operator="containsText" text="Estimated backed by Knowledge">
      <formula>NOT(ISERROR(SEARCH("Estimated backed by Knowledge",B7)))</formula>
    </cfRule>
  </conditionalFormatting>
  <conditionalFormatting sqref="G2:G6">
    <cfRule type="containsText" dxfId="9" priority="4" operator="containsText" text="Estimated backed by Knowledge">
      <formula>NOT(ISERROR(SEARCH("Estimated backed by Knowledge",G2)))</formula>
    </cfRule>
  </conditionalFormatting>
  <conditionalFormatting sqref="A2:E6">
    <cfRule type="cellIs" dxfId="8" priority="2" operator="equal">
      <formula>0</formula>
    </cfRule>
  </conditionalFormatting>
  <dataValidations count="4">
    <dataValidation type="list" allowBlank="1" showInputMessage="1" showErrorMessage="1" sqref="C2:C6">
      <formula1>CategoryList</formula1>
    </dataValidation>
    <dataValidation type="list" allowBlank="1" showInputMessage="1" showErrorMessage="1" sqref="G2:G6">
      <formula1>UncertaintyLevel</formula1>
    </dataValidation>
    <dataValidation type="list" allowBlank="1" showInputMessage="1" showErrorMessage="1" sqref="B2:B6">
      <formula1>StageList</formula1>
    </dataValidation>
    <dataValidation type="list" allowBlank="1" showInputMessage="1" showErrorMessage="1" sqref="F2:F7">
      <formula1>CostType</formula1>
    </dataValidation>
  </dataValidation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82" operator="containsText" id="{AD8D4B2A-E0DF-481A-A10D-F1D9775AF612}">
            <xm:f>NOT(ISERROR(SEARCH(Certain,G7)))</xm:f>
            <xm:f>Certain</xm:f>
            <x14:dxf>
              <font>
                <color rgb="FF006100"/>
              </font>
              <fill>
                <patternFill>
                  <bgColor rgb="FFC6EFCE"/>
                </patternFill>
              </fill>
            </x14:dxf>
          </x14:cfRule>
          <x14:cfRule type="containsText" priority="84" operator="containsText" id="{C207FB92-31F6-4065-9A64-AD6BBB51277C}">
            <xm:f>NOT(ISERROR(SEARCH(EducatedGuess,G7)))</xm:f>
            <xm:f>EducatedGuess</xm:f>
            <x14:dxf>
              <font>
                <color rgb="FF9C6500"/>
              </font>
              <fill>
                <patternFill>
                  <bgColor rgb="FFFFEB9C"/>
                </patternFill>
              </fill>
            </x14:dxf>
          </x14:cfRule>
          <x14:cfRule type="containsText" priority="85" operator="containsText" id="{AC202834-6762-4DA9-B8AD-C2F0FC7C7C56}">
            <xm:f>NOT(ISERROR(SEARCH(Guess,G7)))</xm:f>
            <xm:f>Guess</xm:f>
            <x14:dxf>
              <font>
                <color rgb="FF9C6500"/>
              </font>
              <fill>
                <patternFill>
                  <bgColor rgb="FFFFEB9C"/>
                </patternFill>
              </fill>
            </x14:dxf>
          </x14:cfRule>
          <x14:cfRule type="containsText" priority="86" operator="containsText" id="{214505C0-093A-4462-96F9-45162B853A3A}">
            <xm:f>NOT(ISERROR(SEARCH(HighlyUncertain,G7)))</xm:f>
            <xm:f>HighlyUncertain</xm:f>
            <x14:dxf>
              <font>
                <color rgb="FF9C0006"/>
              </font>
              <fill>
                <patternFill>
                  <bgColor rgb="FFFFC7CE"/>
                </patternFill>
              </fill>
            </x14:dxf>
          </x14:cfRule>
          <x14:cfRule type="containsText" priority="87" operator="containsText" id="{80D577FB-79D2-4F33-BDB4-F5EE46AA7586}">
            <xm:f>NOT(ISERROR(SEARCH(NoIdea,G7)))</xm:f>
            <xm:f>NoIdea</xm:f>
            <x14:dxf>
              <font>
                <color rgb="FF9C0006"/>
              </font>
              <fill>
                <patternFill>
                  <bgColor rgb="FFFFC7CE"/>
                </patternFill>
              </fill>
            </x14:dxf>
          </x14:cfRule>
          <xm:sqref>G7</xm:sqref>
        </x14:conditionalFormatting>
        <x14:conditionalFormatting xmlns:xm="http://schemas.microsoft.com/office/excel/2006/main">
          <x14:cfRule type="containsText" priority="15" operator="containsText" id="{6A4C8653-0E59-4348-84EF-2EA0A8A9B7C5}">
            <xm:f>NOT(ISERROR(SEARCH(Certain,C7)))</xm:f>
            <xm:f>Certain</xm:f>
            <x14:dxf>
              <font>
                <color rgb="FF006100"/>
              </font>
              <fill>
                <patternFill>
                  <bgColor rgb="FFC6EFCE"/>
                </patternFill>
              </fill>
            </x14:dxf>
          </x14:cfRule>
          <x14:cfRule type="containsText" priority="17" operator="containsText" id="{B99D1E49-C27E-4E57-A2A3-DEE0E573439B}">
            <xm:f>NOT(ISERROR(SEARCH(EducatedGuess,C7)))</xm:f>
            <xm:f>EducatedGuess</xm:f>
            <x14:dxf>
              <font>
                <color rgb="FF9C6500"/>
              </font>
              <fill>
                <patternFill>
                  <bgColor rgb="FFFFEB9C"/>
                </patternFill>
              </fill>
            </x14:dxf>
          </x14:cfRule>
          <x14:cfRule type="containsText" priority="18" operator="containsText" id="{8DE75907-D37F-48C0-BCCC-D363CB0D6747}">
            <xm:f>NOT(ISERROR(SEARCH(Guess,C7)))</xm:f>
            <xm:f>Guess</xm:f>
            <x14:dxf>
              <font>
                <color rgb="FF9C6500"/>
              </font>
              <fill>
                <patternFill>
                  <bgColor rgb="FFFFEB9C"/>
                </patternFill>
              </fill>
            </x14:dxf>
          </x14:cfRule>
          <x14:cfRule type="containsText" priority="19" operator="containsText" id="{762A54CD-3094-4D92-903C-CF1B16BFDADD}">
            <xm:f>NOT(ISERROR(SEARCH(HighlyUncertain,C7)))</xm:f>
            <xm:f>HighlyUncertain</xm:f>
            <x14:dxf>
              <font>
                <color rgb="FF9C0006"/>
              </font>
              <fill>
                <patternFill>
                  <bgColor rgb="FFFFC7CE"/>
                </patternFill>
              </fill>
            </x14:dxf>
          </x14:cfRule>
          <x14:cfRule type="containsText" priority="20" operator="containsText" id="{8163EBCE-AFB2-4F6D-8253-CC292B6C8987}">
            <xm:f>NOT(ISERROR(SEARCH(NoIdea,C7)))</xm:f>
            <xm:f>NoIdea</xm:f>
            <x14:dxf>
              <font>
                <color rgb="FF9C0006"/>
              </font>
              <fill>
                <patternFill>
                  <bgColor rgb="FFFFC7CE"/>
                </patternFill>
              </fill>
            </x14:dxf>
          </x14:cfRule>
          <xm:sqref>C7</xm:sqref>
        </x14:conditionalFormatting>
        <x14:conditionalFormatting xmlns:xm="http://schemas.microsoft.com/office/excel/2006/main">
          <x14:cfRule type="containsText" priority="9" operator="containsText" id="{98E1D8BB-67D4-43E4-ACD7-655673078CE9}">
            <xm:f>NOT(ISERROR(SEARCH(Certain,B7)))</xm:f>
            <xm:f>Certain</xm:f>
            <x14:dxf>
              <font>
                <color rgb="FF006100"/>
              </font>
              <fill>
                <patternFill>
                  <bgColor rgb="FFC6EFCE"/>
                </patternFill>
              </fill>
            </x14:dxf>
          </x14:cfRule>
          <x14:cfRule type="containsText" priority="11" operator="containsText" id="{F3CE8E6B-413A-48AF-94DC-44A9B119AB5D}">
            <xm:f>NOT(ISERROR(SEARCH(EducatedGuess,B7)))</xm:f>
            <xm:f>EducatedGuess</xm:f>
            <x14:dxf>
              <font>
                <color rgb="FF9C6500"/>
              </font>
              <fill>
                <patternFill>
                  <bgColor rgb="FFFFEB9C"/>
                </patternFill>
              </fill>
            </x14:dxf>
          </x14:cfRule>
          <x14:cfRule type="containsText" priority="12" operator="containsText" id="{000B411D-0C69-4304-9864-ABBFAC246502}">
            <xm:f>NOT(ISERROR(SEARCH(Guess,B7)))</xm:f>
            <xm:f>Guess</xm:f>
            <x14:dxf>
              <font>
                <color rgb="FF9C6500"/>
              </font>
              <fill>
                <patternFill>
                  <bgColor rgb="FFFFEB9C"/>
                </patternFill>
              </fill>
            </x14:dxf>
          </x14:cfRule>
          <x14:cfRule type="containsText" priority="13" operator="containsText" id="{7F9845F7-F54A-478D-A04C-DCDE559C8069}">
            <xm:f>NOT(ISERROR(SEARCH(HighlyUncertain,B7)))</xm:f>
            <xm:f>HighlyUncertain</xm:f>
            <x14:dxf>
              <font>
                <color rgb="FF9C0006"/>
              </font>
              <fill>
                <patternFill>
                  <bgColor rgb="FFFFC7CE"/>
                </patternFill>
              </fill>
            </x14:dxf>
          </x14:cfRule>
          <x14:cfRule type="containsText" priority="14" operator="containsText" id="{9868E98E-8B29-404D-AA6A-9FC3F3A2FAB6}">
            <xm:f>NOT(ISERROR(SEARCH(NoIdea,B7)))</xm:f>
            <xm:f>NoIdea</xm:f>
            <x14:dxf>
              <font>
                <color rgb="FF9C0006"/>
              </font>
              <fill>
                <patternFill>
                  <bgColor rgb="FFFFC7CE"/>
                </patternFill>
              </fill>
            </x14:dxf>
          </x14:cfRule>
          <xm:sqref>B7</xm:sqref>
        </x14:conditionalFormatting>
        <x14:conditionalFormatting xmlns:xm="http://schemas.microsoft.com/office/excel/2006/main">
          <x14:cfRule type="containsText" priority="3" operator="containsText" id="{7784462F-7FDE-8648-966A-8E85262EAF48}">
            <xm:f>NOT(ISERROR(SEARCH(Certain,G2)))</xm:f>
            <xm:f>Certain</xm:f>
            <x14:dxf>
              <font>
                <color rgb="FF006100"/>
              </font>
              <fill>
                <patternFill>
                  <bgColor rgb="FFC6EFCE"/>
                </patternFill>
              </fill>
            </x14:dxf>
          </x14:cfRule>
          <x14:cfRule type="containsText" priority="5" operator="containsText" id="{F357B6AB-8331-5643-9BEA-91EC14B73CCB}">
            <xm:f>NOT(ISERROR(SEARCH(EducatedGuess,G2)))</xm:f>
            <xm:f>EducatedGuess</xm:f>
            <x14:dxf>
              <font>
                <color rgb="FF9C6500"/>
              </font>
              <fill>
                <patternFill>
                  <bgColor rgb="FFFFEB9C"/>
                </patternFill>
              </fill>
            </x14:dxf>
          </x14:cfRule>
          <x14:cfRule type="containsText" priority="6" operator="containsText" id="{BC852545-2170-F84E-995C-C1760E240214}">
            <xm:f>NOT(ISERROR(SEARCH(Guess,G2)))</xm:f>
            <xm:f>Guess</xm:f>
            <x14:dxf>
              <font>
                <color rgb="FF9C6500"/>
              </font>
              <fill>
                <patternFill>
                  <bgColor rgb="FFFFEB9C"/>
                </patternFill>
              </fill>
            </x14:dxf>
          </x14:cfRule>
          <x14:cfRule type="containsText" priority="7" operator="containsText" id="{FDE78AF5-EFD3-6146-A231-5BAFF0682556}">
            <xm:f>NOT(ISERROR(SEARCH(HighlyUncertain,G2)))</xm:f>
            <xm:f>HighlyUncertain</xm:f>
            <x14:dxf>
              <font>
                <color rgb="FF9C0006"/>
              </font>
              <fill>
                <patternFill>
                  <bgColor rgb="FFFFC7CE"/>
                </patternFill>
              </fill>
            </x14:dxf>
          </x14:cfRule>
          <x14:cfRule type="containsText" priority="8" operator="containsText" id="{6051EF4E-3BDA-6240-B20A-05F120A0FD26}">
            <xm:f>NOT(ISERROR(SEARCH(NoIdea,G2)))</xm:f>
            <xm:f>NoIdea</xm:f>
            <x14:dxf>
              <font>
                <color rgb="FF9C0006"/>
              </font>
              <fill>
                <patternFill>
                  <bgColor rgb="FFFFC7CE"/>
                </patternFill>
              </fill>
            </x14:dxf>
          </x14:cfRule>
          <xm:sqref>G2:G6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30"/>
  <sheetViews>
    <sheetView workbookViewId="0">
      <selection activeCell="D128" sqref="D128"/>
    </sheetView>
  </sheetViews>
  <sheetFormatPr baseColWidth="10" defaultColWidth="8.83203125" defaultRowHeight="15" x14ac:dyDescent="0.2"/>
  <cols>
    <col min="1" max="1" width="10.1640625" customWidth="1"/>
    <col min="2" max="2" width="44.33203125" bestFit="1" customWidth="1"/>
    <col min="3" max="3" width="17" bestFit="1" customWidth="1"/>
    <col min="4" max="11" width="10.5" bestFit="1" customWidth="1"/>
    <col min="12" max="32" width="12.1640625" bestFit="1" customWidth="1"/>
    <col min="33" max="39" width="13.1640625" bestFit="1" customWidth="1"/>
    <col min="40" max="40" width="13.1640625" style="16" bestFit="1" customWidth="1"/>
    <col min="41" max="63" width="13.1640625" bestFit="1" customWidth="1"/>
  </cols>
  <sheetData>
    <row r="1" spans="1:63" x14ac:dyDescent="0.2">
      <c r="C1" s="15">
        <v>0</v>
      </c>
      <c r="D1" s="17">
        <v>1</v>
      </c>
      <c r="E1" s="17">
        <v>2</v>
      </c>
      <c r="F1" s="17">
        <v>3</v>
      </c>
      <c r="G1" s="17">
        <v>4</v>
      </c>
      <c r="H1" s="17">
        <v>5</v>
      </c>
      <c r="I1" s="17">
        <v>6</v>
      </c>
      <c r="J1" s="17">
        <v>7</v>
      </c>
      <c r="K1" s="17">
        <v>8</v>
      </c>
      <c r="L1" s="17">
        <v>9</v>
      </c>
      <c r="M1" s="17">
        <v>10</v>
      </c>
      <c r="N1" s="17">
        <v>11</v>
      </c>
      <c r="O1" s="17">
        <v>12</v>
      </c>
      <c r="P1" s="17">
        <v>13</v>
      </c>
      <c r="Q1" s="17">
        <v>14</v>
      </c>
      <c r="R1" s="17">
        <v>15</v>
      </c>
      <c r="S1" s="17">
        <v>16</v>
      </c>
      <c r="T1" s="17">
        <v>17</v>
      </c>
      <c r="U1" s="17">
        <v>18</v>
      </c>
      <c r="V1" s="17">
        <v>19</v>
      </c>
      <c r="W1" s="17">
        <v>20</v>
      </c>
      <c r="X1" s="17">
        <v>21</v>
      </c>
      <c r="Y1" s="17">
        <v>22</v>
      </c>
      <c r="Z1" s="17">
        <v>23</v>
      </c>
      <c r="AA1" s="17">
        <v>24</v>
      </c>
      <c r="AB1" s="17">
        <v>25</v>
      </c>
      <c r="AC1" s="17">
        <v>26</v>
      </c>
      <c r="AD1" s="17">
        <v>27</v>
      </c>
      <c r="AE1" s="17">
        <v>28</v>
      </c>
      <c r="AF1" s="17">
        <v>29</v>
      </c>
      <c r="AG1" s="17">
        <v>30</v>
      </c>
      <c r="AH1" s="17">
        <v>31</v>
      </c>
      <c r="AI1" s="17">
        <v>32</v>
      </c>
      <c r="AJ1" s="17">
        <v>33</v>
      </c>
      <c r="AK1" s="17">
        <v>34</v>
      </c>
      <c r="AL1" s="17">
        <v>35</v>
      </c>
      <c r="AM1" s="17">
        <v>36</v>
      </c>
      <c r="AN1" s="17">
        <v>37</v>
      </c>
      <c r="AO1" s="17">
        <v>38</v>
      </c>
      <c r="AP1" s="17">
        <v>39</v>
      </c>
      <c r="AQ1" s="17">
        <v>40</v>
      </c>
      <c r="AR1" s="17">
        <v>41</v>
      </c>
      <c r="AS1" s="17">
        <v>42</v>
      </c>
      <c r="AT1" s="17">
        <v>43</v>
      </c>
      <c r="AU1" s="17">
        <v>44</v>
      </c>
      <c r="AV1" s="17">
        <v>45</v>
      </c>
      <c r="AW1" s="17">
        <v>46</v>
      </c>
      <c r="AX1" s="17">
        <v>47</v>
      </c>
      <c r="AY1" s="17">
        <v>48</v>
      </c>
      <c r="AZ1" s="17">
        <v>49</v>
      </c>
      <c r="BA1" s="17">
        <v>50</v>
      </c>
      <c r="BB1" s="17">
        <v>51</v>
      </c>
      <c r="BC1" s="17">
        <v>52</v>
      </c>
      <c r="BD1" s="17">
        <v>53</v>
      </c>
      <c r="BE1" s="17">
        <v>54</v>
      </c>
      <c r="BF1" s="17">
        <v>55</v>
      </c>
      <c r="BG1" s="17">
        <v>56</v>
      </c>
      <c r="BH1" s="17">
        <v>57</v>
      </c>
      <c r="BI1" s="17">
        <v>58</v>
      </c>
      <c r="BJ1" s="17">
        <v>59</v>
      </c>
      <c r="BK1" s="17">
        <v>60</v>
      </c>
    </row>
    <row r="2" spans="1:63" x14ac:dyDescent="0.2">
      <c r="B2" t="s">
        <v>197</v>
      </c>
      <c r="C2" s="140"/>
      <c r="D2" s="140"/>
      <c r="E2" s="140"/>
      <c r="F2" s="140"/>
      <c r="G2" s="140"/>
      <c r="H2" s="140"/>
      <c r="I2" s="140"/>
      <c r="J2" s="140"/>
      <c r="K2" s="140"/>
      <c r="L2" s="140"/>
      <c r="M2" s="140"/>
      <c r="N2" s="140"/>
      <c r="O2" s="140"/>
      <c r="P2" s="140"/>
      <c r="Q2" s="140"/>
      <c r="R2" s="140"/>
      <c r="S2" s="140"/>
      <c r="T2" s="140"/>
      <c r="U2" s="140"/>
      <c r="V2" s="140"/>
      <c r="W2" s="140"/>
      <c r="X2" s="140"/>
      <c r="Y2" s="140"/>
      <c r="Z2" s="140"/>
      <c r="AA2" s="140"/>
      <c r="AB2" s="140"/>
      <c r="AC2" s="140"/>
      <c r="AD2" s="140"/>
      <c r="AE2" s="140"/>
      <c r="AF2" s="140"/>
      <c r="AG2" s="140"/>
      <c r="AH2" s="140"/>
      <c r="AI2" s="140"/>
      <c r="AJ2" s="140"/>
      <c r="AK2" s="140"/>
      <c r="AL2" s="140"/>
      <c r="AM2" s="140"/>
      <c r="AN2" s="140"/>
      <c r="AO2" s="140"/>
      <c r="AP2" s="140"/>
      <c r="AQ2" s="140"/>
      <c r="AR2" s="140"/>
      <c r="AS2" s="140"/>
      <c r="AT2" s="140"/>
      <c r="AU2" s="140"/>
      <c r="AV2" s="140"/>
      <c r="AW2" s="140"/>
      <c r="AX2" s="140"/>
      <c r="AY2" s="140"/>
      <c r="AZ2" s="140"/>
      <c r="BA2" s="140"/>
      <c r="BB2" s="140"/>
      <c r="BC2" s="140"/>
      <c r="BD2" s="140"/>
      <c r="BE2" s="140"/>
      <c r="BF2" s="140"/>
      <c r="BG2" s="140"/>
      <c r="BH2" s="140"/>
      <c r="BI2" s="140"/>
      <c r="BJ2" s="140"/>
      <c r="BK2" s="140"/>
    </row>
    <row r="3" spans="1:63" s="7" customFormat="1" x14ac:dyDescent="0.2">
      <c r="B3" s="7" t="s">
        <v>43</v>
      </c>
      <c r="C3" s="51">
        <f t="shared" ref="C3:AH3" si="0">MonthlySold</f>
        <v>0</v>
      </c>
      <c r="D3" s="35">
        <f t="shared" si="0"/>
        <v>2.8235755828008384E-4</v>
      </c>
      <c r="E3" s="35">
        <f t="shared" si="0"/>
        <v>3.3519846780581284E-4</v>
      </c>
      <c r="F3" s="35">
        <f t="shared" si="0"/>
        <v>3.9657674398700963E-4</v>
      </c>
      <c r="G3" s="35">
        <f t="shared" si="0"/>
        <v>4.6760061269152759E-4</v>
      </c>
      <c r="H3" s="35">
        <f t="shared" si="0"/>
        <v>5.4947192992837405E-4</v>
      </c>
      <c r="I3" s="35">
        <f t="shared" si="0"/>
        <v>6.4348519843540316E-4</v>
      </c>
      <c r="J3" s="35">
        <f t="shared" si="0"/>
        <v>7.5102470433219617E-4</v>
      </c>
      <c r="K3" s="35">
        <f t="shared" si="0"/>
        <v>8.7355950847013784E-4</v>
      </c>
      <c r="L3" s="35">
        <f t="shared" si="0"/>
        <v>1.0126360364220597E-3</v>
      </c>
      <c r="M3" s="35">
        <f t="shared" si="0"/>
        <v>1.1698680294660972E-3</v>
      </c>
      <c r="N3" s="35">
        <f t="shared" si="0"/>
        <v>1.3469236473577333E-3</v>
      </c>
      <c r="O3" s="35">
        <f t="shared" si="0"/>
        <v>1.5455095528692821E-3</v>
      </c>
      <c r="P3" s="35">
        <f t="shared" si="0"/>
        <v>1.7673518584447184E-3</v>
      </c>
      <c r="Q3" s="35">
        <f t="shared" si="0"/>
        <v>2.0141738769753545E-3</v>
      </c>
      <c r="R3" s="35">
        <f t="shared" si="0"/>
        <v>2.2876706913529162E-3</v>
      </c>
      <c r="S3" s="35">
        <f t="shared" si="0"/>
        <v>2.5894806403698074E-3</v>
      </c>
      <c r="T3" s="35">
        <f t="shared" si="0"/>
        <v>2.9211539104934542E-3</v>
      </c>
      <c r="U3" s="35">
        <f t="shared" si="0"/>
        <v>3.2841185223265457E-3</v>
      </c>
      <c r="V3" s="35">
        <f t="shared" si="0"/>
        <v>3.6796441049594814E-3</v>
      </c>
      <c r="W3" s="35">
        <f t="shared" si="0"/>
        <v>4.1088039582191614E-3</v>
      </c>
      <c r="X3" s="35">
        <f t="shared" si="0"/>
        <v>4.5724360088718746E-3</v>
      </c>
      <c r="Y3" s="35">
        <f t="shared" si="0"/>
        <v>5.0711033686253043E-3</v>
      </c>
      <c r="Z3" s="35">
        <f t="shared" si="0"/>
        <v>5.6050552954925101E-3</v>
      </c>
      <c r="AA3" s="35">
        <f t="shared" si="0"/>
        <v>6.1741894417510282E-3</v>
      </c>
      <c r="AB3" s="35">
        <f t="shared" si="0"/>
        <v>6.7780163373514085E-3</v>
      </c>
      <c r="AC3" s="35">
        <f t="shared" si="0"/>
        <v>7.4156271033179871E-3</v>
      </c>
      <c r="AD3" s="35">
        <f t="shared" si="0"/>
        <v>8.0856654118445087E-3</v>
      </c>
      <c r="AE3" s="35">
        <f t="shared" si="0"/>
        <v>8.7863047052839788E-3</v>
      </c>
      <c r="AF3" s="35">
        <f t="shared" si="0"/>
        <v>9.5152316525569519E-3</v>
      </c>
      <c r="AG3" s="35">
        <f t="shared" si="0"/>
        <v>1.0269636756942452E-2</v>
      </c>
      <c r="AH3" s="35">
        <f t="shared" si="0"/>
        <v>1.1046212932981803E-2</v>
      </c>
      <c r="AI3" s="35">
        <f t="shared" ref="AI3:BK3" si="1">MonthlySold</f>
        <v>1.184116274257789E-2</v>
      </c>
      <c r="AJ3" s="35">
        <f t="shared" si="1"/>
        <v>1.2650214822714001E-2</v>
      </c>
      <c r="AK3" s="35">
        <f t="shared" si="1"/>
        <v>1.346864985209531E-2</v>
      </c>
      <c r="AL3" s="35">
        <f t="shared" si="1"/>
        <v>1.4291336195180776E-2</v>
      </c>
      <c r="AM3" s="35">
        <f t="shared" si="1"/>
        <v>1.5112775134354467E-2</v>
      </c>
      <c r="AN3" s="35">
        <f t="shared" si="1"/>
        <v>1.5927155360246109E-2</v>
      </c>
      <c r="AO3" s="35">
        <f t="shared" si="1"/>
        <v>1.6728416143157177E-2</v>
      </c>
      <c r="AP3" s="35">
        <f t="shared" si="1"/>
        <v>1.7510318362532085E-2</v>
      </c>
      <c r="AQ3" s="35">
        <f t="shared" si="1"/>
        <v>1.8266522334228041E-2</v>
      </c>
      <c r="AR3" s="35">
        <f t="shared" si="1"/>
        <v>1.8990671154864192E-2</v>
      </c>
      <c r="AS3" s="35">
        <f t="shared" si="1"/>
        <v>1.9676478086559257E-2</v>
      </c>
      <c r="AT3" s="35">
        <f t="shared" si="1"/>
        <v>2.0317816341156925E-2</v>
      </c>
      <c r="AU3" s="35">
        <f t="shared" si="1"/>
        <v>2.0908809497171832E-2</v>
      </c>
      <c r="AV3" s="35">
        <f t="shared" si="1"/>
        <v>2.1443920700601027E-2</v>
      </c>
      <c r="AW3" s="35">
        <f t="shared" si="1"/>
        <v>2.1918038766711501E-2</v>
      </c>
      <c r="AX3" s="35">
        <f t="shared" si="1"/>
        <v>2.232655931654931E-2</v>
      </c>
      <c r="AY3" s="35">
        <f t="shared" si="1"/>
        <v>2.2665459150359946E-2</v>
      </c>
      <c r="AZ3" s="35">
        <f t="shared" si="1"/>
        <v>2.2931362179551495E-2</v>
      </c>
      <c r="BA3" s="35">
        <f t="shared" si="1"/>
        <v>2.3121595406929263E-2</v>
      </c>
      <c r="BB3" s="35">
        <f t="shared" si="1"/>
        <v>2.3234233657384307E-2</v>
      </c>
      <c r="BC3" s="35">
        <f t="shared" si="1"/>
        <v>2.3268132012330134E-2</v>
      </c>
      <c r="BD3" s="35">
        <f t="shared" si="1"/>
        <v>2.3222945183751786E-2</v>
      </c>
      <c r="BE3" s="35">
        <f t="shared" si="1"/>
        <v>2.3099133369398617E-2</v>
      </c>
      <c r="BF3" s="35">
        <f t="shared" si="1"/>
        <v>2.2897954450280089E-2</v>
      </c>
      <c r="BG3" s="35">
        <f t="shared" si="1"/>
        <v>2.26214427154523E-2</v>
      </c>
      <c r="BH3" s="35">
        <f t="shared" si="1"/>
        <v>2.2272374617309243E-2</v>
      </c>
      <c r="BI3" s="35">
        <f t="shared" si="1"/>
        <v>2.18542223634971E-2</v>
      </c>
      <c r="BJ3" s="35">
        <f t="shared" si="1"/>
        <v>2.1371096430145453E-2</v>
      </c>
      <c r="BK3" s="35">
        <f t="shared" si="1"/>
        <v>2.082767832708643E-2</v>
      </c>
    </row>
    <row r="4" spans="1:63" s="47" customFormat="1" x14ac:dyDescent="0.2">
      <c r="B4" s="47" t="str">
        <f>'Market Assumptions'!A3</f>
        <v>Target Segment 1</v>
      </c>
      <c r="C4" s="52"/>
      <c r="D4" s="48">
        <f t="shared" ref="D4:AI4" si="2">TotalUnitsSold1*GaussianSold</f>
        <v>28.235755828008383</v>
      </c>
      <c r="E4" s="48">
        <f t="shared" si="2"/>
        <v>33.519846780581283</v>
      </c>
      <c r="F4" s="48">
        <f t="shared" si="2"/>
        <v>39.657674398700962</v>
      </c>
      <c r="G4" s="48">
        <f t="shared" si="2"/>
        <v>46.760061269152757</v>
      </c>
      <c r="H4" s="48">
        <f t="shared" si="2"/>
        <v>54.947192992837408</v>
      </c>
      <c r="I4" s="48">
        <f t="shared" si="2"/>
        <v>64.348519843540316</v>
      </c>
      <c r="J4" s="48">
        <f t="shared" si="2"/>
        <v>75.102470433219622</v>
      </c>
      <c r="K4" s="48">
        <f t="shared" si="2"/>
        <v>87.355950847013787</v>
      </c>
      <c r="L4" s="48">
        <f t="shared" si="2"/>
        <v>101.26360364220598</v>
      </c>
      <c r="M4" s="48">
        <f t="shared" si="2"/>
        <v>116.98680294660973</v>
      </c>
      <c r="N4" s="48">
        <f t="shared" si="2"/>
        <v>134.69236473577334</v>
      </c>
      <c r="O4" s="48">
        <f t="shared" si="2"/>
        <v>154.5509552869282</v>
      </c>
      <c r="P4" s="48">
        <f t="shared" si="2"/>
        <v>176.73518584447183</v>
      </c>
      <c r="Q4" s="48">
        <f t="shared" si="2"/>
        <v>201.41738769753545</v>
      </c>
      <c r="R4" s="48">
        <f t="shared" si="2"/>
        <v>228.76706913529162</v>
      </c>
      <c r="S4" s="48">
        <f t="shared" si="2"/>
        <v>258.94806403698072</v>
      </c>
      <c r="T4" s="48">
        <f t="shared" si="2"/>
        <v>292.11539104934542</v>
      </c>
      <c r="U4" s="48">
        <f t="shared" si="2"/>
        <v>328.41185223265455</v>
      </c>
      <c r="V4" s="48">
        <f t="shared" si="2"/>
        <v>367.96441049594813</v>
      </c>
      <c r="W4" s="48">
        <f t="shared" si="2"/>
        <v>410.88039582191612</v>
      </c>
      <c r="X4" s="48">
        <f t="shared" si="2"/>
        <v>457.24360088718748</v>
      </c>
      <c r="Y4" s="48">
        <f t="shared" si="2"/>
        <v>507.1103368625304</v>
      </c>
      <c r="Z4" s="48">
        <f t="shared" si="2"/>
        <v>560.50552954925104</v>
      </c>
      <c r="AA4" s="48">
        <f t="shared" si="2"/>
        <v>617.41894417510287</v>
      </c>
      <c r="AB4" s="48">
        <f t="shared" si="2"/>
        <v>677.80163373514085</v>
      </c>
      <c r="AC4" s="48">
        <f t="shared" si="2"/>
        <v>741.56271033179871</v>
      </c>
      <c r="AD4" s="48">
        <f t="shared" si="2"/>
        <v>808.5665411844509</v>
      </c>
      <c r="AE4" s="48">
        <f t="shared" si="2"/>
        <v>878.63047052839784</v>
      </c>
      <c r="AF4" s="48">
        <f t="shared" si="2"/>
        <v>951.52316525569518</v>
      </c>
      <c r="AG4" s="48">
        <f t="shared" si="2"/>
        <v>1026.9636756942452</v>
      </c>
      <c r="AH4" s="48">
        <f t="shared" si="2"/>
        <v>1104.6212932981803</v>
      </c>
      <c r="AI4" s="48">
        <f t="shared" si="2"/>
        <v>1184.116274257789</v>
      </c>
      <c r="AJ4" s="48">
        <f t="shared" ref="AJ4:BK4" si="3">TotalUnitsSold1*GaussianSold</f>
        <v>1265.0214822714001</v>
      </c>
      <c r="AK4" s="48">
        <f t="shared" si="3"/>
        <v>1346.8649852095309</v>
      </c>
      <c r="AL4" s="48">
        <f t="shared" si="3"/>
        <v>1429.1336195180777</v>
      </c>
      <c r="AM4" s="48">
        <f t="shared" si="3"/>
        <v>1511.2775134354467</v>
      </c>
      <c r="AN4" s="48">
        <f t="shared" si="3"/>
        <v>1592.7155360246109</v>
      </c>
      <c r="AO4" s="48">
        <f t="shared" si="3"/>
        <v>1672.8416143157176</v>
      </c>
      <c r="AP4" s="48">
        <f t="shared" si="3"/>
        <v>1751.0318362532084</v>
      </c>
      <c r="AQ4" s="48">
        <f t="shared" si="3"/>
        <v>1826.6522334228041</v>
      </c>
      <c r="AR4" s="48">
        <f t="shared" si="3"/>
        <v>1899.0671154864192</v>
      </c>
      <c r="AS4" s="48">
        <f t="shared" si="3"/>
        <v>1967.6478086559257</v>
      </c>
      <c r="AT4" s="48">
        <f t="shared" si="3"/>
        <v>2031.7816341156924</v>
      </c>
      <c r="AU4" s="48">
        <f t="shared" si="3"/>
        <v>2090.8809497171833</v>
      </c>
      <c r="AV4" s="48">
        <f t="shared" si="3"/>
        <v>2144.3920700601025</v>
      </c>
      <c r="AW4" s="48">
        <f t="shared" si="3"/>
        <v>2191.8038766711502</v>
      </c>
      <c r="AX4" s="48">
        <f t="shared" si="3"/>
        <v>2232.655931654931</v>
      </c>
      <c r="AY4" s="48">
        <f t="shared" si="3"/>
        <v>2266.5459150359948</v>
      </c>
      <c r="AZ4" s="48">
        <f t="shared" si="3"/>
        <v>2293.1362179551497</v>
      </c>
      <c r="BA4" s="48">
        <f t="shared" si="3"/>
        <v>2312.1595406929264</v>
      </c>
      <c r="BB4" s="48">
        <f t="shared" si="3"/>
        <v>2323.4233657384307</v>
      </c>
      <c r="BC4" s="48">
        <f t="shared" si="3"/>
        <v>2326.8132012330134</v>
      </c>
      <c r="BD4" s="48">
        <f t="shared" si="3"/>
        <v>2322.2945183751785</v>
      </c>
      <c r="BE4" s="48">
        <f t="shared" si="3"/>
        <v>2309.9133369398619</v>
      </c>
      <c r="BF4" s="48">
        <f t="shared" si="3"/>
        <v>2289.795445028009</v>
      </c>
      <c r="BG4" s="48">
        <f t="shared" si="3"/>
        <v>2262.1442715452299</v>
      </c>
      <c r="BH4" s="48">
        <f t="shared" si="3"/>
        <v>2227.2374617309242</v>
      </c>
      <c r="BI4" s="48">
        <f t="shared" si="3"/>
        <v>2185.4222363497101</v>
      </c>
      <c r="BJ4" s="48">
        <f t="shared" si="3"/>
        <v>2137.1096430145453</v>
      </c>
      <c r="BK4" s="48">
        <f t="shared" si="3"/>
        <v>2082.7678327086428</v>
      </c>
    </row>
    <row r="5" spans="1:63" s="47" customFormat="1" x14ac:dyDescent="0.2">
      <c r="B5" s="47" t="str">
        <f>'Market Assumptions'!A4</f>
        <v>Target Segment 2</v>
      </c>
      <c r="C5" s="52"/>
      <c r="D5" s="48">
        <f t="shared" ref="D5:AI5" si="4">TotalUnitsSold2*GaussianSold</f>
        <v>14.117877914004191</v>
      </c>
      <c r="E5" s="48">
        <f t="shared" si="4"/>
        <v>16.759923390290641</v>
      </c>
      <c r="F5" s="48">
        <f t="shared" si="4"/>
        <v>19.828837199350481</v>
      </c>
      <c r="G5" s="48">
        <f t="shared" si="4"/>
        <v>23.380030634576379</v>
      </c>
      <c r="H5" s="48">
        <f t="shared" si="4"/>
        <v>27.473596496418704</v>
      </c>
      <c r="I5" s="48">
        <f t="shared" si="4"/>
        <v>32.174259921770158</v>
      </c>
      <c r="J5" s="48">
        <f t="shared" si="4"/>
        <v>37.551235216609811</v>
      </c>
      <c r="K5" s="48">
        <f t="shared" si="4"/>
        <v>43.677975423506894</v>
      </c>
      <c r="L5" s="48">
        <f t="shared" si="4"/>
        <v>50.631801821102989</v>
      </c>
      <c r="M5" s="48">
        <f t="shared" si="4"/>
        <v>58.493401473304864</v>
      </c>
      <c r="N5" s="48">
        <f t="shared" si="4"/>
        <v>67.346182367886669</v>
      </c>
      <c r="O5" s="48">
        <f t="shared" si="4"/>
        <v>77.2754776434641</v>
      </c>
      <c r="P5" s="48">
        <f t="shared" si="4"/>
        <v>88.367592922235914</v>
      </c>
      <c r="Q5" s="48">
        <f t="shared" si="4"/>
        <v>100.70869384876772</v>
      </c>
      <c r="R5" s="48">
        <f t="shared" si="4"/>
        <v>114.38353456764581</v>
      </c>
      <c r="S5" s="48">
        <f t="shared" si="4"/>
        <v>129.47403201849036</v>
      </c>
      <c r="T5" s="48">
        <f t="shared" si="4"/>
        <v>146.05769552467271</v>
      </c>
      <c r="U5" s="48">
        <f t="shared" si="4"/>
        <v>164.20592611632728</v>
      </c>
      <c r="V5" s="48">
        <f t="shared" si="4"/>
        <v>183.98220524797406</v>
      </c>
      <c r="W5" s="48">
        <f t="shared" si="4"/>
        <v>205.44019791095806</v>
      </c>
      <c r="X5" s="48">
        <f t="shared" si="4"/>
        <v>228.62180044359374</v>
      </c>
      <c r="Y5" s="48">
        <f t="shared" si="4"/>
        <v>253.5551684312652</v>
      </c>
      <c r="Z5" s="48">
        <f t="shared" si="4"/>
        <v>280.25276477462552</v>
      </c>
      <c r="AA5" s="48">
        <f t="shared" si="4"/>
        <v>308.70947208755143</v>
      </c>
      <c r="AB5" s="48">
        <f t="shared" si="4"/>
        <v>338.90081686757043</v>
      </c>
      <c r="AC5" s="48">
        <f t="shared" si="4"/>
        <v>370.78135516589936</v>
      </c>
      <c r="AD5" s="48">
        <f t="shared" si="4"/>
        <v>404.28327059222545</v>
      </c>
      <c r="AE5" s="48">
        <f t="shared" si="4"/>
        <v>439.31523526419892</v>
      </c>
      <c r="AF5" s="48">
        <f t="shared" si="4"/>
        <v>475.76158262784759</v>
      </c>
      <c r="AG5" s="48">
        <f t="shared" si="4"/>
        <v>513.48183784712262</v>
      </c>
      <c r="AH5" s="48">
        <f t="shared" si="4"/>
        <v>552.31064664909013</v>
      </c>
      <c r="AI5" s="48">
        <f t="shared" si="4"/>
        <v>592.05813712889449</v>
      </c>
      <c r="AJ5" s="48">
        <f t="shared" ref="AJ5:BK5" si="5">TotalUnitsSold2*GaussianSold</f>
        <v>632.51074113570007</v>
      </c>
      <c r="AK5" s="48">
        <f t="shared" si="5"/>
        <v>673.43249260476546</v>
      </c>
      <c r="AL5" s="48">
        <f t="shared" si="5"/>
        <v>714.56680975903885</v>
      </c>
      <c r="AM5" s="48">
        <f t="shared" si="5"/>
        <v>755.63875671772337</v>
      </c>
      <c r="AN5" s="48">
        <f t="shared" si="5"/>
        <v>796.35776801230543</v>
      </c>
      <c r="AO5" s="48">
        <f t="shared" si="5"/>
        <v>836.4208071578588</v>
      </c>
      <c r="AP5" s="48">
        <f t="shared" si="5"/>
        <v>875.51591812660422</v>
      </c>
      <c r="AQ5" s="48">
        <f t="shared" si="5"/>
        <v>913.32611671140205</v>
      </c>
      <c r="AR5" s="48">
        <f t="shared" si="5"/>
        <v>949.5335577432096</v>
      </c>
      <c r="AS5" s="48">
        <f t="shared" si="5"/>
        <v>983.82390432796285</v>
      </c>
      <c r="AT5" s="48">
        <f t="shared" si="5"/>
        <v>1015.8908170578462</v>
      </c>
      <c r="AU5" s="48">
        <f t="shared" si="5"/>
        <v>1045.4404748585916</v>
      </c>
      <c r="AV5" s="48">
        <f t="shared" si="5"/>
        <v>1072.1960350300512</v>
      </c>
      <c r="AW5" s="48">
        <f t="shared" si="5"/>
        <v>1095.9019383355751</v>
      </c>
      <c r="AX5" s="48">
        <f t="shared" si="5"/>
        <v>1116.3279658274655</v>
      </c>
      <c r="AY5" s="48">
        <f t="shared" si="5"/>
        <v>1133.2729575179974</v>
      </c>
      <c r="AZ5" s="48">
        <f t="shared" si="5"/>
        <v>1146.5681089775749</v>
      </c>
      <c r="BA5" s="48">
        <f t="shared" si="5"/>
        <v>1156.0797703464632</v>
      </c>
      <c r="BB5" s="48">
        <f t="shared" si="5"/>
        <v>1161.7116828692153</v>
      </c>
      <c r="BC5" s="48">
        <f t="shared" si="5"/>
        <v>1163.4066006165067</v>
      </c>
      <c r="BD5" s="48">
        <f t="shared" si="5"/>
        <v>1161.1472591875893</v>
      </c>
      <c r="BE5" s="48">
        <f t="shared" si="5"/>
        <v>1154.9566684699309</v>
      </c>
      <c r="BF5" s="48">
        <f t="shared" si="5"/>
        <v>1144.8977225140045</v>
      </c>
      <c r="BG5" s="48">
        <f t="shared" si="5"/>
        <v>1131.072135772615</v>
      </c>
      <c r="BH5" s="48">
        <f t="shared" si="5"/>
        <v>1113.6187308654621</v>
      </c>
      <c r="BI5" s="48">
        <f t="shared" si="5"/>
        <v>1092.7111181748551</v>
      </c>
      <c r="BJ5" s="48">
        <f t="shared" si="5"/>
        <v>1068.5548215072727</v>
      </c>
      <c r="BK5" s="48">
        <f t="shared" si="5"/>
        <v>1041.3839163543214</v>
      </c>
    </row>
    <row r="6" spans="1:63" s="47" customFormat="1" x14ac:dyDescent="0.2">
      <c r="B6" s="47" t="str">
        <f>'Market Assumptions'!A5</f>
        <v>Target Segment 3</v>
      </c>
      <c r="C6" s="52"/>
      <c r="D6" s="48">
        <f t="shared" ref="D6:AI6" si="6">TotalUnitsSold3*GaussianSold</f>
        <v>56.471511656016766</v>
      </c>
      <c r="E6" s="48">
        <f t="shared" si="6"/>
        <v>67.039693561162565</v>
      </c>
      <c r="F6" s="48">
        <f t="shared" si="6"/>
        <v>79.315348797401924</v>
      </c>
      <c r="G6" s="48">
        <f t="shared" si="6"/>
        <v>93.520122538305515</v>
      </c>
      <c r="H6" s="48">
        <f t="shared" si="6"/>
        <v>109.89438598567482</v>
      </c>
      <c r="I6" s="48">
        <f t="shared" si="6"/>
        <v>128.69703968708063</v>
      </c>
      <c r="J6" s="48">
        <f t="shared" si="6"/>
        <v>150.20494086643924</v>
      </c>
      <c r="K6" s="48">
        <f t="shared" si="6"/>
        <v>174.71190169402757</v>
      </c>
      <c r="L6" s="48">
        <f t="shared" si="6"/>
        <v>202.52720728441196</v>
      </c>
      <c r="M6" s="48">
        <f t="shared" si="6"/>
        <v>233.97360589321946</v>
      </c>
      <c r="N6" s="48">
        <f t="shared" si="6"/>
        <v>269.38472947154668</v>
      </c>
      <c r="O6" s="48">
        <f t="shared" si="6"/>
        <v>309.1019105738564</v>
      </c>
      <c r="P6" s="48">
        <f t="shared" si="6"/>
        <v>353.47037168894366</v>
      </c>
      <c r="Q6" s="48">
        <f t="shared" si="6"/>
        <v>402.83477539507089</v>
      </c>
      <c r="R6" s="48">
        <f t="shared" si="6"/>
        <v>457.53413827058324</v>
      </c>
      <c r="S6" s="48">
        <f t="shared" si="6"/>
        <v>517.89612807396145</v>
      </c>
      <c r="T6" s="48">
        <f t="shared" si="6"/>
        <v>584.23078209869084</v>
      </c>
      <c r="U6" s="48">
        <f t="shared" si="6"/>
        <v>656.82370446530911</v>
      </c>
      <c r="V6" s="48">
        <f t="shared" si="6"/>
        <v>735.92882099189626</v>
      </c>
      <c r="W6" s="48">
        <f t="shared" si="6"/>
        <v>821.76079164383225</v>
      </c>
      <c r="X6" s="48">
        <f t="shared" si="6"/>
        <v>914.48720177437497</v>
      </c>
      <c r="Y6" s="48">
        <f t="shared" si="6"/>
        <v>1014.2206737250608</v>
      </c>
      <c r="Z6" s="48">
        <f t="shared" si="6"/>
        <v>1121.0110590985021</v>
      </c>
      <c r="AA6" s="48">
        <f t="shared" si="6"/>
        <v>1234.8378883502057</v>
      </c>
      <c r="AB6" s="48">
        <f t="shared" si="6"/>
        <v>1355.6032674702817</v>
      </c>
      <c r="AC6" s="48">
        <f t="shared" si="6"/>
        <v>1483.1254206635974</v>
      </c>
      <c r="AD6" s="48">
        <f t="shared" si="6"/>
        <v>1617.1330823689018</v>
      </c>
      <c r="AE6" s="48">
        <f t="shared" si="6"/>
        <v>1757.2609410567957</v>
      </c>
      <c r="AF6" s="48">
        <f t="shared" si="6"/>
        <v>1903.0463305113904</v>
      </c>
      <c r="AG6" s="48">
        <f t="shared" si="6"/>
        <v>2053.9273513884905</v>
      </c>
      <c r="AH6" s="48">
        <f t="shared" si="6"/>
        <v>2209.2425865963605</v>
      </c>
      <c r="AI6" s="48">
        <f t="shared" si="6"/>
        <v>2368.2325485155779</v>
      </c>
      <c r="AJ6" s="48">
        <f t="shared" ref="AJ6:BK6" si="7">TotalUnitsSold3*GaussianSold</f>
        <v>2530.0429645428003</v>
      </c>
      <c r="AK6" s="48">
        <f t="shared" si="7"/>
        <v>2693.7299704190618</v>
      </c>
      <c r="AL6" s="48">
        <f t="shared" si="7"/>
        <v>2858.2672390361554</v>
      </c>
      <c r="AM6" s="48">
        <f t="shared" si="7"/>
        <v>3022.5550268708935</v>
      </c>
      <c r="AN6" s="48">
        <f t="shared" si="7"/>
        <v>3185.4310720492217</v>
      </c>
      <c r="AO6" s="48">
        <f t="shared" si="7"/>
        <v>3345.6832286314352</v>
      </c>
      <c r="AP6" s="48">
        <f t="shared" si="7"/>
        <v>3502.0636725064169</v>
      </c>
      <c r="AQ6" s="48">
        <f t="shared" si="7"/>
        <v>3653.3044668456082</v>
      </c>
      <c r="AR6" s="48">
        <f t="shared" si="7"/>
        <v>3798.1342309728384</v>
      </c>
      <c r="AS6" s="48">
        <f t="shared" si="7"/>
        <v>3935.2956173118514</v>
      </c>
      <c r="AT6" s="48">
        <f t="shared" si="7"/>
        <v>4063.5632682313849</v>
      </c>
      <c r="AU6" s="48">
        <f t="shared" si="7"/>
        <v>4181.7618994343666</v>
      </c>
      <c r="AV6" s="48">
        <f t="shared" si="7"/>
        <v>4288.7841401202049</v>
      </c>
      <c r="AW6" s="48">
        <f t="shared" si="7"/>
        <v>4383.6077533423004</v>
      </c>
      <c r="AX6" s="48">
        <f t="shared" si="7"/>
        <v>4465.311863309862</v>
      </c>
      <c r="AY6" s="48">
        <f t="shared" si="7"/>
        <v>4533.0918300719895</v>
      </c>
      <c r="AZ6" s="48">
        <f t="shared" si="7"/>
        <v>4586.2724359102995</v>
      </c>
      <c r="BA6" s="48">
        <f t="shared" si="7"/>
        <v>4624.3190813858528</v>
      </c>
      <c r="BB6" s="48">
        <f t="shared" si="7"/>
        <v>4646.8467314768614</v>
      </c>
      <c r="BC6" s="48">
        <f t="shared" si="7"/>
        <v>4653.6264024660268</v>
      </c>
      <c r="BD6" s="48">
        <f t="shared" si="7"/>
        <v>4644.5890367503571</v>
      </c>
      <c r="BE6" s="48">
        <f t="shared" si="7"/>
        <v>4619.8266738797238</v>
      </c>
      <c r="BF6" s="48">
        <f t="shared" si="7"/>
        <v>4579.590890056018</v>
      </c>
      <c r="BG6" s="48">
        <f t="shared" si="7"/>
        <v>4524.2885430904598</v>
      </c>
      <c r="BH6" s="48">
        <f t="shared" si="7"/>
        <v>4454.4749234618484</v>
      </c>
      <c r="BI6" s="48">
        <f t="shared" si="7"/>
        <v>4370.8444726994203</v>
      </c>
      <c r="BJ6" s="48">
        <f t="shared" si="7"/>
        <v>4274.2192860290907</v>
      </c>
      <c r="BK6" s="48">
        <f t="shared" si="7"/>
        <v>4165.5356654172856</v>
      </c>
    </row>
    <row r="7" spans="1:63" s="47" customFormat="1" x14ac:dyDescent="0.2">
      <c r="B7" s="47" t="str">
        <f>'Market Assumptions'!A6</f>
        <v>N/A</v>
      </c>
      <c r="C7" s="52"/>
      <c r="D7" s="48">
        <f t="shared" ref="D7:AI7" si="8">TotalUnitsSold4*GaussianSold</f>
        <v>0</v>
      </c>
      <c r="E7" s="48">
        <f t="shared" si="8"/>
        <v>0</v>
      </c>
      <c r="F7" s="48">
        <f t="shared" si="8"/>
        <v>0</v>
      </c>
      <c r="G7" s="48">
        <f t="shared" si="8"/>
        <v>0</v>
      </c>
      <c r="H7" s="48">
        <f t="shared" si="8"/>
        <v>0</v>
      </c>
      <c r="I7" s="48">
        <f t="shared" si="8"/>
        <v>0</v>
      </c>
      <c r="J7" s="48">
        <f t="shared" si="8"/>
        <v>0</v>
      </c>
      <c r="K7" s="48">
        <f t="shared" si="8"/>
        <v>0</v>
      </c>
      <c r="L7" s="48">
        <f t="shared" si="8"/>
        <v>0</v>
      </c>
      <c r="M7" s="48">
        <f t="shared" si="8"/>
        <v>0</v>
      </c>
      <c r="N7" s="48">
        <f t="shared" si="8"/>
        <v>0</v>
      </c>
      <c r="O7" s="48">
        <f t="shared" si="8"/>
        <v>0</v>
      </c>
      <c r="P7" s="48">
        <f t="shared" si="8"/>
        <v>0</v>
      </c>
      <c r="Q7" s="48">
        <f t="shared" si="8"/>
        <v>0</v>
      </c>
      <c r="R7" s="48">
        <f t="shared" si="8"/>
        <v>0</v>
      </c>
      <c r="S7" s="48">
        <f t="shared" si="8"/>
        <v>0</v>
      </c>
      <c r="T7" s="48">
        <f t="shared" si="8"/>
        <v>0</v>
      </c>
      <c r="U7" s="48">
        <f t="shared" si="8"/>
        <v>0</v>
      </c>
      <c r="V7" s="48">
        <f t="shared" si="8"/>
        <v>0</v>
      </c>
      <c r="W7" s="48">
        <f t="shared" si="8"/>
        <v>0</v>
      </c>
      <c r="X7" s="48">
        <f t="shared" si="8"/>
        <v>0</v>
      </c>
      <c r="Y7" s="48">
        <f t="shared" si="8"/>
        <v>0</v>
      </c>
      <c r="Z7" s="48">
        <f t="shared" si="8"/>
        <v>0</v>
      </c>
      <c r="AA7" s="48">
        <f t="shared" si="8"/>
        <v>0</v>
      </c>
      <c r="AB7" s="48">
        <f t="shared" si="8"/>
        <v>0</v>
      </c>
      <c r="AC7" s="48">
        <f t="shared" si="8"/>
        <v>0</v>
      </c>
      <c r="AD7" s="48">
        <f t="shared" si="8"/>
        <v>0</v>
      </c>
      <c r="AE7" s="48">
        <f t="shared" si="8"/>
        <v>0</v>
      </c>
      <c r="AF7" s="48">
        <f t="shared" si="8"/>
        <v>0</v>
      </c>
      <c r="AG7" s="48">
        <f t="shared" si="8"/>
        <v>0</v>
      </c>
      <c r="AH7" s="48">
        <f t="shared" si="8"/>
        <v>0</v>
      </c>
      <c r="AI7" s="48">
        <f t="shared" si="8"/>
        <v>0</v>
      </c>
      <c r="AJ7" s="48">
        <f t="shared" ref="AJ7:BK7" si="9">TotalUnitsSold4*GaussianSold</f>
        <v>0</v>
      </c>
      <c r="AK7" s="48">
        <f t="shared" si="9"/>
        <v>0</v>
      </c>
      <c r="AL7" s="48">
        <f t="shared" si="9"/>
        <v>0</v>
      </c>
      <c r="AM7" s="48">
        <f t="shared" si="9"/>
        <v>0</v>
      </c>
      <c r="AN7" s="48">
        <f t="shared" si="9"/>
        <v>0</v>
      </c>
      <c r="AO7" s="48">
        <f t="shared" si="9"/>
        <v>0</v>
      </c>
      <c r="AP7" s="48">
        <f t="shared" si="9"/>
        <v>0</v>
      </c>
      <c r="AQ7" s="48">
        <f t="shared" si="9"/>
        <v>0</v>
      </c>
      <c r="AR7" s="48">
        <f t="shared" si="9"/>
        <v>0</v>
      </c>
      <c r="AS7" s="48">
        <f t="shared" si="9"/>
        <v>0</v>
      </c>
      <c r="AT7" s="48">
        <f t="shared" si="9"/>
        <v>0</v>
      </c>
      <c r="AU7" s="48">
        <f t="shared" si="9"/>
        <v>0</v>
      </c>
      <c r="AV7" s="48">
        <f t="shared" si="9"/>
        <v>0</v>
      </c>
      <c r="AW7" s="48">
        <f t="shared" si="9"/>
        <v>0</v>
      </c>
      <c r="AX7" s="48">
        <f t="shared" si="9"/>
        <v>0</v>
      </c>
      <c r="AY7" s="48">
        <f t="shared" si="9"/>
        <v>0</v>
      </c>
      <c r="AZ7" s="48">
        <f t="shared" si="9"/>
        <v>0</v>
      </c>
      <c r="BA7" s="48">
        <f t="shared" si="9"/>
        <v>0</v>
      </c>
      <c r="BB7" s="48">
        <f t="shared" si="9"/>
        <v>0</v>
      </c>
      <c r="BC7" s="48">
        <f t="shared" si="9"/>
        <v>0</v>
      </c>
      <c r="BD7" s="48">
        <f t="shared" si="9"/>
        <v>0</v>
      </c>
      <c r="BE7" s="48">
        <f t="shared" si="9"/>
        <v>0</v>
      </c>
      <c r="BF7" s="48">
        <f t="shared" si="9"/>
        <v>0</v>
      </c>
      <c r="BG7" s="48">
        <f t="shared" si="9"/>
        <v>0</v>
      </c>
      <c r="BH7" s="48">
        <f t="shared" si="9"/>
        <v>0</v>
      </c>
      <c r="BI7" s="48">
        <f t="shared" si="9"/>
        <v>0</v>
      </c>
      <c r="BJ7" s="48">
        <f t="shared" si="9"/>
        <v>0</v>
      </c>
      <c r="BK7" s="48">
        <f t="shared" si="9"/>
        <v>0</v>
      </c>
    </row>
    <row r="8" spans="1:63" s="47" customFormat="1" x14ac:dyDescent="0.2">
      <c r="B8" s="47" t="str">
        <f>'Market Assumptions'!A7</f>
        <v>N/A</v>
      </c>
      <c r="C8" s="52"/>
      <c r="D8" s="48">
        <f t="shared" ref="D8:AI8" si="10">TotalUnitsSold5*GaussianSold</f>
        <v>0</v>
      </c>
      <c r="E8" s="48">
        <f t="shared" si="10"/>
        <v>0</v>
      </c>
      <c r="F8" s="48">
        <f t="shared" si="10"/>
        <v>0</v>
      </c>
      <c r="G8" s="48">
        <f t="shared" si="10"/>
        <v>0</v>
      </c>
      <c r="H8" s="48">
        <f t="shared" si="10"/>
        <v>0</v>
      </c>
      <c r="I8" s="48">
        <f t="shared" si="10"/>
        <v>0</v>
      </c>
      <c r="J8" s="48">
        <f t="shared" si="10"/>
        <v>0</v>
      </c>
      <c r="K8" s="48">
        <f t="shared" si="10"/>
        <v>0</v>
      </c>
      <c r="L8" s="48">
        <f t="shared" si="10"/>
        <v>0</v>
      </c>
      <c r="M8" s="48">
        <f t="shared" si="10"/>
        <v>0</v>
      </c>
      <c r="N8" s="48">
        <f t="shared" si="10"/>
        <v>0</v>
      </c>
      <c r="O8" s="48">
        <f t="shared" si="10"/>
        <v>0</v>
      </c>
      <c r="P8" s="48">
        <f t="shared" si="10"/>
        <v>0</v>
      </c>
      <c r="Q8" s="48">
        <f t="shared" si="10"/>
        <v>0</v>
      </c>
      <c r="R8" s="48">
        <f t="shared" si="10"/>
        <v>0</v>
      </c>
      <c r="S8" s="48">
        <f t="shared" si="10"/>
        <v>0</v>
      </c>
      <c r="T8" s="48">
        <f t="shared" si="10"/>
        <v>0</v>
      </c>
      <c r="U8" s="48">
        <f t="shared" si="10"/>
        <v>0</v>
      </c>
      <c r="V8" s="48">
        <f t="shared" si="10"/>
        <v>0</v>
      </c>
      <c r="W8" s="48">
        <f t="shared" si="10"/>
        <v>0</v>
      </c>
      <c r="X8" s="48">
        <f t="shared" si="10"/>
        <v>0</v>
      </c>
      <c r="Y8" s="48">
        <f t="shared" si="10"/>
        <v>0</v>
      </c>
      <c r="Z8" s="48">
        <f t="shared" si="10"/>
        <v>0</v>
      </c>
      <c r="AA8" s="48">
        <f t="shared" si="10"/>
        <v>0</v>
      </c>
      <c r="AB8" s="48">
        <f t="shared" si="10"/>
        <v>0</v>
      </c>
      <c r="AC8" s="48">
        <f t="shared" si="10"/>
        <v>0</v>
      </c>
      <c r="AD8" s="48">
        <f t="shared" si="10"/>
        <v>0</v>
      </c>
      <c r="AE8" s="48">
        <f t="shared" si="10"/>
        <v>0</v>
      </c>
      <c r="AF8" s="48">
        <f t="shared" si="10"/>
        <v>0</v>
      </c>
      <c r="AG8" s="48">
        <f t="shared" si="10"/>
        <v>0</v>
      </c>
      <c r="AH8" s="48">
        <f t="shared" si="10"/>
        <v>0</v>
      </c>
      <c r="AI8" s="48">
        <f t="shared" si="10"/>
        <v>0</v>
      </c>
      <c r="AJ8" s="48">
        <f t="shared" ref="AJ8:BK8" si="11">TotalUnitsSold5*GaussianSold</f>
        <v>0</v>
      </c>
      <c r="AK8" s="48">
        <f t="shared" si="11"/>
        <v>0</v>
      </c>
      <c r="AL8" s="48">
        <f t="shared" si="11"/>
        <v>0</v>
      </c>
      <c r="AM8" s="48">
        <f t="shared" si="11"/>
        <v>0</v>
      </c>
      <c r="AN8" s="48">
        <f t="shared" si="11"/>
        <v>0</v>
      </c>
      <c r="AO8" s="48">
        <f t="shared" si="11"/>
        <v>0</v>
      </c>
      <c r="AP8" s="48">
        <f t="shared" si="11"/>
        <v>0</v>
      </c>
      <c r="AQ8" s="48">
        <f t="shared" si="11"/>
        <v>0</v>
      </c>
      <c r="AR8" s="48">
        <f t="shared" si="11"/>
        <v>0</v>
      </c>
      <c r="AS8" s="48">
        <f t="shared" si="11"/>
        <v>0</v>
      </c>
      <c r="AT8" s="48">
        <f t="shared" si="11"/>
        <v>0</v>
      </c>
      <c r="AU8" s="48">
        <f t="shared" si="11"/>
        <v>0</v>
      </c>
      <c r="AV8" s="48">
        <f t="shared" si="11"/>
        <v>0</v>
      </c>
      <c r="AW8" s="48">
        <f t="shared" si="11"/>
        <v>0</v>
      </c>
      <c r="AX8" s="48">
        <f t="shared" si="11"/>
        <v>0</v>
      </c>
      <c r="AY8" s="48">
        <f t="shared" si="11"/>
        <v>0</v>
      </c>
      <c r="AZ8" s="48">
        <f t="shared" si="11"/>
        <v>0</v>
      </c>
      <c r="BA8" s="48">
        <f t="shared" si="11"/>
        <v>0</v>
      </c>
      <c r="BB8" s="48">
        <f t="shared" si="11"/>
        <v>0</v>
      </c>
      <c r="BC8" s="48">
        <f t="shared" si="11"/>
        <v>0</v>
      </c>
      <c r="BD8" s="48">
        <f t="shared" si="11"/>
        <v>0</v>
      </c>
      <c r="BE8" s="48">
        <f t="shared" si="11"/>
        <v>0</v>
      </c>
      <c r="BF8" s="48">
        <f t="shared" si="11"/>
        <v>0</v>
      </c>
      <c r="BG8" s="48">
        <f t="shared" si="11"/>
        <v>0</v>
      </c>
      <c r="BH8" s="48">
        <f t="shared" si="11"/>
        <v>0</v>
      </c>
      <c r="BI8" s="48">
        <f t="shared" si="11"/>
        <v>0</v>
      </c>
      <c r="BJ8" s="48">
        <f t="shared" si="11"/>
        <v>0</v>
      </c>
      <c r="BK8" s="48">
        <f t="shared" si="11"/>
        <v>0</v>
      </c>
    </row>
    <row r="9" spans="1:63" s="47" customFormat="1" x14ac:dyDescent="0.2">
      <c r="B9" s="47" t="str">
        <f>'Market Assumptions'!A8</f>
        <v>N/A</v>
      </c>
      <c r="C9" s="52"/>
      <c r="D9" s="48">
        <f t="shared" ref="D9:AI9" si="12">TotalUnitsSold6*GaussianSold</f>
        <v>0</v>
      </c>
      <c r="E9" s="48">
        <f t="shared" si="12"/>
        <v>0</v>
      </c>
      <c r="F9" s="48">
        <f t="shared" si="12"/>
        <v>0</v>
      </c>
      <c r="G9" s="48">
        <f t="shared" si="12"/>
        <v>0</v>
      </c>
      <c r="H9" s="48">
        <f t="shared" si="12"/>
        <v>0</v>
      </c>
      <c r="I9" s="48">
        <f t="shared" si="12"/>
        <v>0</v>
      </c>
      <c r="J9" s="48">
        <f t="shared" si="12"/>
        <v>0</v>
      </c>
      <c r="K9" s="48">
        <f t="shared" si="12"/>
        <v>0</v>
      </c>
      <c r="L9" s="48">
        <f t="shared" si="12"/>
        <v>0</v>
      </c>
      <c r="M9" s="48">
        <f t="shared" si="12"/>
        <v>0</v>
      </c>
      <c r="N9" s="48">
        <f t="shared" si="12"/>
        <v>0</v>
      </c>
      <c r="O9" s="48">
        <f t="shared" si="12"/>
        <v>0</v>
      </c>
      <c r="P9" s="48">
        <f t="shared" si="12"/>
        <v>0</v>
      </c>
      <c r="Q9" s="48">
        <f t="shared" si="12"/>
        <v>0</v>
      </c>
      <c r="R9" s="48">
        <f t="shared" si="12"/>
        <v>0</v>
      </c>
      <c r="S9" s="48">
        <f t="shared" si="12"/>
        <v>0</v>
      </c>
      <c r="T9" s="48">
        <f t="shared" si="12"/>
        <v>0</v>
      </c>
      <c r="U9" s="48">
        <f t="shared" si="12"/>
        <v>0</v>
      </c>
      <c r="V9" s="48">
        <f t="shared" si="12"/>
        <v>0</v>
      </c>
      <c r="W9" s="48">
        <f t="shared" si="12"/>
        <v>0</v>
      </c>
      <c r="X9" s="48">
        <f t="shared" si="12"/>
        <v>0</v>
      </c>
      <c r="Y9" s="48">
        <f t="shared" si="12"/>
        <v>0</v>
      </c>
      <c r="Z9" s="48">
        <f t="shared" si="12"/>
        <v>0</v>
      </c>
      <c r="AA9" s="48">
        <f t="shared" si="12"/>
        <v>0</v>
      </c>
      <c r="AB9" s="48">
        <f t="shared" si="12"/>
        <v>0</v>
      </c>
      <c r="AC9" s="48">
        <f t="shared" si="12"/>
        <v>0</v>
      </c>
      <c r="AD9" s="48">
        <f t="shared" si="12"/>
        <v>0</v>
      </c>
      <c r="AE9" s="48">
        <f t="shared" si="12"/>
        <v>0</v>
      </c>
      <c r="AF9" s="48">
        <f t="shared" si="12"/>
        <v>0</v>
      </c>
      <c r="AG9" s="48">
        <f t="shared" si="12"/>
        <v>0</v>
      </c>
      <c r="AH9" s="48">
        <f t="shared" si="12"/>
        <v>0</v>
      </c>
      <c r="AI9" s="48">
        <f t="shared" si="12"/>
        <v>0</v>
      </c>
      <c r="AJ9" s="48">
        <f t="shared" ref="AJ9:BK9" si="13">TotalUnitsSold6*GaussianSold</f>
        <v>0</v>
      </c>
      <c r="AK9" s="48">
        <f t="shared" si="13"/>
        <v>0</v>
      </c>
      <c r="AL9" s="48">
        <f t="shared" si="13"/>
        <v>0</v>
      </c>
      <c r="AM9" s="48">
        <f t="shared" si="13"/>
        <v>0</v>
      </c>
      <c r="AN9" s="48">
        <f t="shared" si="13"/>
        <v>0</v>
      </c>
      <c r="AO9" s="48">
        <f t="shared" si="13"/>
        <v>0</v>
      </c>
      <c r="AP9" s="48">
        <f t="shared" si="13"/>
        <v>0</v>
      </c>
      <c r="AQ9" s="48">
        <f t="shared" si="13"/>
        <v>0</v>
      </c>
      <c r="AR9" s="48">
        <f t="shared" si="13"/>
        <v>0</v>
      </c>
      <c r="AS9" s="48">
        <f t="shared" si="13"/>
        <v>0</v>
      </c>
      <c r="AT9" s="48">
        <f t="shared" si="13"/>
        <v>0</v>
      </c>
      <c r="AU9" s="48">
        <f t="shared" si="13"/>
        <v>0</v>
      </c>
      <c r="AV9" s="48">
        <f t="shared" si="13"/>
        <v>0</v>
      </c>
      <c r="AW9" s="48">
        <f t="shared" si="13"/>
        <v>0</v>
      </c>
      <c r="AX9" s="48">
        <f t="shared" si="13"/>
        <v>0</v>
      </c>
      <c r="AY9" s="48">
        <f t="shared" si="13"/>
        <v>0</v>
      </c>
      <c r="AZ9" s="48">
        <f t="shared" si="13"/>
        <v>0</v>
      </c>
      <c r="BA9" s="48">
        <f t="shared" si="13"/>
        <v>0</v>
      </c>
      <c r="BB9" s="48">
        <f t="shared" si="13"/>
        <v>0</v>
      </c>
      <c r="BC9" s="48">
        <f t="shared" si="13"/>
        <v>0</v>
      </c>
      <c r="BD9" s="48">
        <f t="shared" si="13"/>
        <v>0</v>
      </c>
      <c r="BE9" s="48">
        <f t="shared" si="13"/>
        <v>0</v>
      </c>
      <c r="BF9" s="48">
        <f t="shared" si="13"/>
        <v>0</v>
      </c>
      <c r="BG9" s="48">
        <f t="shared" si="13"/>
        <v>0</v>
      </c>
      <c r="BH9" s="48">
        <f t="shared" si="13"/>
        <v>0</v>
      </c>
      <c r="BI9" s="48">
        <f t="shared" si="13"/>
        <v>0</v>
      </c>
      <c r="BJ9" s="48">
        <f t="shared" si="13"/>
        <v>0</v>
      </c>
      <c r="BK9" s="48">
        <f t="shared" si="13"/>
        <v>0</v>
      </c>
    </row>
    <row r="10" spans="1:63" s="47" customFormat="1" x14ac:dyDescent="0.2">
      <c r="B10" s="47" t="str">
        <f>'Market Assumptions'!A9</f>
        <v>N/A</v>
      </c>
      <c r="C10" s="52"/>
      <c r="D10" s="48">
        <f t="shared" ref="D10:AI10" si="14">TotalUnitsSold7*GaussianSold</f>
        <v>0</v>
      </c>
      <c r="E10" s="48">
        <f t="shared" si="14"/>
        <v>0</v>
      </c>
      <c r="F10" s="48">
        <f t="shared" si="14"/>
        <v>0</v>
      </c>
      <c r="G10" s="48">
        <f t="shared" si="14"/>
        <v>0</v>
      </c>
      <c r="H10" s="48">
        <f t="shared" si="14"/>
        <v>0</v>
      </c>
      <c r="I10" s="48">
        <f t="shared" si="14"/>
        <v>0</v>
      </c>
      <c r="J10" s="48">
        <f t="shared" si="14"/>
        <v>0</v>
      </c>
      <c r="K10" s="48">
        <f t="shared" si="14"/>
        <v>0</v>
      </c>
      <c r="L10" s="48">
        <f t="shared" si="14"/>
        <v>0</v>
      </c>
      <c r="M10" s="48">
        <f t="shared" si="14"/>
        <v>0</v>
      </c>
      <c r="N10" s="48">
        <f t="shared" si="14"/>
        <v>0</v>
      </c>
      <c r="O10" s="48">
        <f t="shared" si="14"/>
        <v>0</v>
      </c>
      <c r="P10" s="48">
        <f t="shared" si="14"/>
        <v>0</v>
      </c>
      <c r="Q10" s="48">
        <f t="shared" si="14"/>
        <v>0</v>
      </c>
      <c r="R10" s="48">
        <f t="shared" si="14"/>
        <v>0</v>
      </c>
      <c r="S10" s="48">
        <f t="shared" si="14"/>
        <v>0</v>
      </c>
      <c r="T10" s="48">
        <f t="shared" si="14"/>
        <v>0</v>
      </c>
      <c r="U10" s="48">
        <f t="shared" si="14"/>
        <v>0</v>
      </c>
      <c r="V10" s="48">
        <f t="shared" si="14"/>
        <v>0</v>
      </c>
      <c r="W10" s="48">
        <f t="shared" si="14"/>
        <v>0</v>
      </c>
      <c r="X10" s="48">
        <f t="shared" si="14"/>
        <v>0</v>
      </c>
      <c r="Y10" s="48">
        <f t="shared" si="14"/>
        <v>0</v>
      </c>
      <c r="Z10" s="48">
        <f t="shared" si="14"/>
        <v>0</v>
      </c>
      <c r="AA10" s="48">
        <f t="shared" si="14"/>
        <v>0</v>
      </c>
      <c r="AB10" s="48">
        <f t="shared" si="14"/>
        <v>0</v>
      </c>
      <c r="AC10" s="48">
        <f t="shared" si="14"/>
        <v>0</v>
      </c>
      <c r="AD10" s="48">
        <f t="shared" si="14"/>
        <v>0</v>
      </c>
      <c r="AE10" s="48">
        <f t="shared" si="14"/>
        <v>0</v>
      </c>
      <c r="AF10" s="48">
        <f t="shared" si="14"/>
        <v>0</v>
      </c>
      <c r="AG10" s="48">
        <f t="shared" si="14"/>
        <v>0</v>
      </c>
      <c r="AH10" s="48">
        <f t="shared" si="14"/>
        <v>0</v>
      </c>
      <c r="AI10" s="48">
        <f t="shared" si="14"/>
        <v>0</v>
      </c>
      <c r="AJ10" s="48">
        <f t="shared" ref="AJ10:BK10" si="15">TotalUnitsSold7*GaussianSold</f>
        <v>0</v>
      </c>
      <c r="AK10" s="48">
        <f t="shared" si="15"/>
        <v>0</v>
      </c>
      <c r="AL10" s="48">
        <f t="shared" si="15"/>
        <v>0</v>
      </c>
      <c r="AM10" s="48">
        <f t="shared" si="15"/>
        <v>0</v>
      </c>
      <c r="AN10" s="48">
        <f t="shared" si="15"/>
        <v>0</v>
      </c>
      <c r="AO10" s="48">
        <f t="shared" si="15"/>
        <v>0</v>
      </c>
      <c r="AP10" s="48">
        <f t="shared" si="15"/>
        <v>0</v>
      </c>
      <c r="AQ10" s="48">
        <f t="shared" si="15"/>
        <v>0</v>
      </c>
      <c r="AR10" s="48">
        <f t="shared" si="15"/>
        <v>0</v>
      </c>
      <c r="AS10" s="48">
        <f t="shared" si="15"/>
        <v>0</v>
      </c>
      <c r="AT10" s="48">
        <f t="shared" si="15"/>
        <v>0</v>
      </c>
      <c r="AU10" s="48">
        <f t="shared" si="15"/>
        <v>0</v>
      </c>
      <c r="AV10" s="48">
        <f t="shared" si="15"/>
        <v>0</v>
      </c>
      <c r="AW10" s="48">
        <f t="shared" si="15"/>
        <v>0</v>
      </c>
      <c r="AX10" s="48">
        <f t="shared" si="15"/>
        <v>0</v>
      </c>
      <c r="AY10" s="48">
        <f t="shared" si="15"/>
        <v>0</v>
      </c>
      <c r="AZ10" s="48">
        <f t="shared" si="15"/>
        <v>0</v>
      </c>
      <c r="BA10" s="48">
        <f t="shared" si="15"/>
        <v>0</v>
      </c>
      <c r="BB10" s="48">
        <f t="shared" si="15"/>
        <v>0</v>
      </c>
      <c r="BC10" s="48">
        <f t="shared" si="15"/>
        <v>0</v>
      </c>
      <c r="BD10" s="48">
        <f t="shared" si="15"/>
        <v>0</v>
      </c>
      <c r="BE10" s="48">
        <f t="shared" si="15"/>
        <v>0</v>
      </c>
      <c r="BF10" s="48">
        <f t="shared" si="15"/>
        <v>0</v>
      </c>
      <c r="BG10" s="48">
        <f t="shared" si="15"/>
        <v>0</v>
      </c>
      <c r="BH10" s="48">
        <f t="shared" si="15"/>
        <v>0</v>
      </c>
      <c r="BI10" s="48">
        <f t="shared" si="15"/>
        <v>0</v>
      </c>
      <c r="BJ10" s="48">
        <f t="shared" si="15"/>
        <v>0</v>
      </c>
      <c r="BK10" s="48">
        <f t="shared" si="15"/>
        <v>0</v>
      </c>
    </row>
    <row r="11" spans="1:63" s="47" customFormat="1" x14ac:dyDescent="0.2">
      <c r="B11" s="47" t="str">
        <f>'Market Assumptions'!A10</f>
        <v>N/A</v>
      </c>
      <c r="C11" s="52"/>
      <c r="D11" s="48">
        <f t="shared" ref="D11:AI11" si="16">TotalUnitsSold8*GaussianSold</f>
        <v>0</v>
      </c>
      <c r="E11" s="48">
        <f t="shared" si="16"/>
        <v>0</v>
      </c>
      <c r="F11" s="48">
        <f t="shared" si="16"/>
        <v>0</v>
      </c>
      <c r="G11" s="48">
        <f t="shared" si="16"/>
        <v>0</v>
      </c>
      <c r="H11" s="48">
        <f t="shared" si="16"/>
        <v>0</v>
      </c>
      <c r="I11" s="48">
        <f t="shared" si="16"/>
        <v>0</v>
      </c>
      <c r="J11" s="48">
        <f t="shared" si="16"/>
        <v>0</v>
      </c>
      <c r="K11" s="48">
        <f t="shared" si="16"/>
        <v>0</v>
      </c>
      <c r="L11" s="48">
        <f t="shared" si="16"/>
        <v>0</v>
      </c>
      <c r="M11" s="48">
        <f t="shared" si="16"/>
        <v>0</v>
      </c>
      <c r="N11" s="48">
        <f t="shared" si="16"/>
        <v>0</v>
      </c>
      <c r="O11" s="48">
        <f t="shared" si="16"/>
        <v>0</v>
      </c>
      <c r="P11" s="48">
        <f t="shared" si="16"/>
        <v>0</v>
      </c>
      <c r="Q11" s="48">
        <f t="shared" si="16"/>
        <v>0</v>
      </c>
      <c r="R11" s="48">
        <f t="shared" si="16"/>
        <v>0</v>
      </c>
      <c r="S11" s="48">
        <f t="shared" si="16"/>
        <v>0</v>
      </c>
      <c r="T11" s="48">
        <f t="shared" si="16"/>
        <v>0</v>
      </c>
      <c r="U11" s="48">
        <f t="shared" si="16"/>
        <v>0</v>
      </c>
      <c r="V11" s="48">
        <f t="shared" si="16"/>
        <v>0</v>
      </c>
      <c r="W11" s="48">
        <f t="shared" si="16"/>
        <v>0</v>
      </c>
      <c r="X11" s="48">
        <f t="shared" si="16"/>
        <v>0</v>
      </c>
      <c r="Y11" s="48">
        <f t="shared" si="16"/>
        <v>0</v>
      </c>
      <c r="Z11" s="48">
        <f t="shared" si="16"/>
        <v>0</v>
      </c>
      <c r="AA11" s="48">
        <f t="shared" si="16"/>
        <v>0</v>
      </c>
      <c r="AB11" s="48">
        <f t="shared" si="16"/>
        <v>0</v>
      </c>
      <c r="AC11" s="48">
        <f t="shared" si="16"/>
        <v>0</v>
      </c>
      <c r="AD11" s="48">
        <f t="shared" si="16"/>
        <v>0</v>
      </c>
      <c r="AE11" s="48">
        <f t="shared" si="16"/>
        <v>0</v>
      </c>
      <c r="AF11" s="48">
        <f t="shared" si="16"/>
        <v>0</v>
      </c>
      <c r="AG11" s="48">
        <f t="shared" si="16"/>
        <v>0</v>
      </c>
      <c r="AH11" s="48">
        <f t="shared" si="16"/>
        <v>0</v>
      </c>
      <c r="AI11" s="48">
        <f t="shared" si="16"/>
        <v>0</v>
      </c>
      <c r="AJ11" s="48">
        <f t="shared" ref="AJ11:BK11" si="17">TotalUnitsSold8*GaussianSold</f>
        <v>0</v>
      </c>
      <c r="AK11" s="48">
        <f t="shared" si="17"/>
        <v>0</v>
      </c>
      <c r="AL11" s="48">
        <f t="shared" si="17"/>
        <v>0</v>
      </c>
      <c r="AM11" s="48">
        <f t="shared" si="17"/>
        <v>0</v>
      </c>
      <c r="AN11" s="48">
        <f t="shared" si="17"/>
        <v>0</v>
      </c>
      <c r="AO11" s="48">
        <f t="shared" si="17"/>
        <v>0</v>
      </c>
      <c r="AP11" s="48">
        <f t="shared" si="17"/>
        <v>0</v>
      </c>
      <c r="AQ11" s="48">
        <f t="shared" si="17"/>
        <v>0</v>
      </c>
      <c r="AR11" s="48">
        <f t="shared" si="17"/>
        <v>0</v>
      </c>
      <c r="AS11" s="48">
        <f t="shared" si="17"/>
        <v>0</v>
      </c>
      <c r="AT11" s="48">
        <f t="shared" si="17"/>
        <v>0</v>
      </c>
      <c r="AU11" s="48">
        <f t="shared" si="17"/>
        <v>0</v>
      </c>
      <c r="AV11" s="48">
        <f t="shared" si="17"/>
        <v>0</v>
      </c>
      <c r="AW11" s="48">
        <f t="shared" si="17"/>
        <v>0</v>
      </c>
      <c r="AX11" s="48">
        <f t="shared" si="17"/>
        <v>0</v>
      </c>
      <c r="AY11" s="48">
        <f t="shared" si="17"/>
        <v>0</v>
      </c>
      <c r="AZ11" s="48">
        <f t="shared" si="17"/>
        <v>0</v>
      </c>
      <c r="BA11" s="48">
        <f t="shared" si="17"/>
        <v>0</v>
      </c>
      <c r="BB11" s="48">
        <f t="shared" si="17"/>
        <v>0</v>
      </c>
      <c r="BC11" s="48">
        <f t="shared" si="17"/>
        <v>0</v>
      </c>
      <c r="BD11" s="48">
        <f t="shared" si="17"/>
        <v>0</v>
      </c>
      <c r="BE11" s="48">
        <f t="shared" si="17"/>
        <v>0</v>
      </c>
      <c r="BF11" s="48">
        <f t="shared" si="17"/>
        <v>0</v>
      </c>
      <c r="BG11" s="48">
        <f t="shared" si="17"/>
        <v>0</v>
      </c>
      <c r="BH11" s="48">
        <f t="shared" si="17"/>
        <v>0</v>
      </c>
      <c r="BI11" s="48">
        <f t="shared" si="17"/>
        <v>0</v>
      </c>
      <c r="BJ11" s="48">
        <f t="shared" si="17"/>
        <v>0</v>
      </c>
      <c r="BK11" s="48">
        <f t="shared" si="17"/>
        <v>0</v>
      </c>
    </row>
    <row r="12" spans="1:63" s="47" customFormat="1" x14ac:dyDescent="0.2">
      <c r="B12" s="49" t="s">
        <v>45</v>
      </c>
      <c r="C12" s="52"/>
      <c r="D12" s="50">
        <f>SUM(D4:D11)</f>
        <v>98.825145398029349</v>
      </c>
      <c r="E12" s="50">
        <f t="shared" ref="E12:AM12" si="18">SUM(E4:E11)</f>
        <v>117.31946373203449</v>
      </c>
      <c r="F12" s="50">
        <f t="shared" si="18"/>
        <v>138.80186039545336</v>
      </c>
      <c r="G12" s="50">
        <f t="shared" si="18"/>
        <v>163.66021444203466</v>
      </c>
      <c r="H12" s="50">
        <f t="shared" si="18"/>
        <v>192.31517547493092</v>
      </c>
      <c r="I12" s="50">
        <f t="shared" si="18"/>
        <v>225.21981945239111</v>
      </c>
      <c r="J12" s="50">
        <f t="shared" si="18"/>
        <v>262.85864651626866</v>
      </c>
      <c r="K12" s="50">
        <f t="shared" si="18"/>
        <v>305.74582796454825</v>
      </c>
      <c r="L12" s="50">
        <f t="shared" si="18"/>
        <v>354.4226127477209</v>
      </c>
      <c r="M12" s="50">
        <f t="shared" si="18"/>
        <v>409.45381031313406</v>
      </c>
      <c r="N12" s="50">
        <f t="shared" si="18"/>
        <v>471.42327657520667</v>
      </c>
      <c r="O12" s="50">
        <f t="shared" si="18"/>
        <v>540.92834350424869</v>
      </c>
      <c r="P12" s="50">
        <f t="shared" si="18"/>
        <v>618.57315045565133</v>
      </c>
      <c r="Q12" s="50">
        <f t="shared" si="18"/>
        <v>704.960856941374</v>
      </c>
      <c r="R12" s="50">
        <f t="shared" si="18"/>
        <v>800.68474197352066</v>
      </c>
      <c r="S12" s="50">
        <f t="shared" si="18"/>
        <v>906.31822412943256</v>
      </c>
      <c r="T12" s="50">
        <f t="shared" si="18"/>
        <v>1022.403868672709</v>
      </c>
      <c r="U12" s="50">
        <f t="shared" si="18"/>
        <v>1149.4414828142908</v>
      </c>
      <c r="V12" s="50">
        <f t="shared" si="18"/>
        <v>1287.8754367358183</v>
      </c>
      <c r="W12" s="50">
        <f t="shared" si="18"/>
        <v>1438.0813853767063</v>
      </c>
      <c r="X12" s="50">
        <f t="shared" si="18"/>
        <v>1600.352603105156</v>
      </c>
      <c r="Y12" s="50">
        <f t="shared" si="18"/>
        <v>1774.8861790188564</v>
      </c>
      <c r="Z12" s="50">
        <f t="shared" si="18"/>
        <v>1961.7693534223786</v>
      </c>
      <c r="AA12" s="50">
        <f t="shared" si="18"/>
        <v>2160.9663046128599</v>
      </c>
      <c r="AB12" s="50">
        <f t="shared" si="18"/>
        <v>2372.3057180729929</v>
      </c>
      <c r="AC12" s="50">
        <f t="shared" si="18"/>
        <v>2595.4694861612952</v>
      </c>
      <c r="AD12" s="50">
        <f t="shared" si="18"/>
        <v>2829.982894145578</v>
      </c>
      <c r="AE12" s="50">
        <f t="shared" si="18"/>
        <v>3075.2066468493922</v>
      </c>
      <c r="AF12" s="50">
        <f t="shared" si="18"/>
        <v>3330.3310783949332</v>
      </c>
      <c r="AG12" s="50">
        <f t="shared" si="18"/>
        <v>3594.3728649298582</v>
      </c>
      <c r="AH12" s="50">
        <f t="shared" si="18"/>
        <v>3866.1745265436311</v>
      </c>
      <c r="AI12" s="50">
        <f t="shared" si="18"/>
        <v>4144.4069599022614</v>
      </c>
      <c r="AJ12" s="50">
        <f t="shared" si="18"/>
        <v>4427.5751879499003</v>
      </c>
      <c r="AK12" s="50">
        <f t="shared" si="18"/>
        <v>4714.027448233358</v>
      </c>
      <c r="AL12" s="50">
        <f t="shared" si="18"/>
        <v>5001.967668313272</v>
      </c>
      <c r="AM12" s="50">
        <f t="shared" si="18"/>
        <v>5289.4712970240635</v>
      </c>
      <c r="AN12" s="50">
        <f t="shared" ref="AN12" si="19">SUM(AN4:AN11)</f>
        <v>5574.5043760861381</v>
      </c>
      <c r="AO12" s="50">
        <f t="shared" ref="AO12" si="20">SUM(AO4:AO11)</f>
        <v>5854.9456501050117</v>
      </c>
      <c r="AP12" s="50">
        <f t="shared" ref="AP12" si="21">SUM(AP4:AP11)</f>
        <v>6128.6114268862293</v>
      </c>
      <c r="AQ12" s="50">
        <f t="shared" ref="AQ12" si="22">SUM(AQ4:AQ11)</f>
        <v>6393.282816979814</v>
      </c>
      <c r="AR12" s="50">
        <f t="shared" ref="AR12" si="23">SUM(AR4:AR11)</f>
        <v>6646.7349042024671</v>
      </c>
      <c r="AS12" s="50">
        <f t="shared" ref="AS12" si="24">SUM(AS4:AS11)</f>
        <v>6886.7673302957401</v>
      </c>
      <c r="AT12" s="50">
        <f t="shared" ref="AT12" si="25">SUM(AT4:AT11)</f>
        <v>7111.2357194049237</v>
      </c>
      <c r="AU12" s="50">
        <f t="shared" ref="AU12" si="26">SUM(AU4:AU11)</f>
        <v>7318.083324010142</v>
      </c>
      <c r="AV12" s="50">
        <f t="shared" ref="AV12" si="27">SUM(AV4:AV11)</f>
        <v>7505.3722452103584</v>
      </c>
      <c r="AW12" s="50">
        <f t="shared" ref="AW12" si="28">SUM(AW4:AW11)</f>
        <v>7671.3135683490254</v>
      </c>
      <c r="AX12" s="50">
        <f t="shared" ref="AX12" si="29">SUM(AX4:AX11)</f>
        <v>7814.2957607922581</v>
      </c>
      <c r="AY12" s="50">
        <f t="shared" ref="AY12" si="30">SUM(AY4:AY11)</f>
        <v>7932.9107026259817</v>
      </c>
      <c r="AZ12" s="50">
        <f t="shared" ref="AZ12" si="31">SUM(AZ4:AZ11)</f>
        <v>8025.9767628430236</v>
      </c>
      <c r="BA12" s="50">
        <f t="shared" ref="BA12" si="32">SUM(BA4:BA11)</f>
        <v>8092.5583924252423</v>
      </c>
      <c r="BB12" s="50">
        <f t="shared" ref="BB12" si="33">SUM(BB4:BB11)</f>
        <v>8131.9817800845076</v>
      </c>
      <c r="BC12" s="50">
        <f t="shared" ref="BC12" si="34">SUM(BC4:BC11)</f>
        <v>8143.8462043155469</v>
      </c>
      <c r="BD12" s="50">
        <f t="shared" ref="BD12" si="35">SUM(BD4:BD11)</f>
        <v>8128.0308143131251</v>
      </c>
      <c r="BE12" s="50">
        <f t="shared" ref="BE12" si="36">SUM(BE4:BE11)</f>
        <v>8084.6966792895164</v>
      </c>
      <c r="BF12" s="50">
        <f t="shared" ref="BF12" si="37">SUM(BF4:BF11)</f>
        <v>8014.2840575980317</v>
      </c>
      <c r="BG12" s="50">
        <f t="shared" ref="BG12" si="38">SUM(BG4:BG11)</f>
        <v>7917.5049504083045</v>
      </c>
      <c r="BH12" s="50">
        <f t="shared" ref="BH12" si="39">SUM(BH4:BH11)</f>
        <v>7795.3311160582343</v>
      </c>
      <c r="BI12" s="50">
        <f t="shared" ref="BI12" si="40">SUM(BI4:BI11)</f>
        <v>7648.9778272239855</v>
      </c>
      <c r="BJ12" s="50">
        <f t="shared" ref="BJ12" si="41">SUM(BJ4:BJ11)</f>
        <v>7479.8837505509091</v>
      </c>
      <c r="BK12" s="50">
        <f t="shared" ref="BK12" si="42">SUM(BK4:BK11)</f>
        <v>7289.6874144802496</v>
      </c>
    </row>
    <row r="13" spans="1:63" s="7" customFormat="1" x14ac:dyDescent="0.2">
      <c r="B13" s="7" t="s">
        <v>44</v>
      </c>
      <c r="C13" s="51"/>
      <c r="D13" s="35">
        <f>GaussianSold-(HLOOKUP(FLOOR(((Month-1)/6)+1,1),DemandAssumptions[],2)*GaussianSold)</f>
        <v>2.8235755828008384E-4</v>
      </c>
      <c r="E13" s="35">
        <f>GaussianSold-(HLOOKUP(FLOOR(((Month-1)/6)+1,1),DemandAssumptions[],2)*GaussianSold)</f>
        <v>3.3519846780581284E-4</v>
      </c>
      <c r="F13" s="35">
        <f>GaussianSold-(HLOOKUP(FLOOR(((Month-1)/6)+1,1),DemandAssumptions[],2)*GaussianSold)</f>
        <v>3.9657674398700963E-4</v>
      </c>
      <c r="G13" s="35">
        <f>GaussianSold-(HLOOKUP(FLOOR(((Month-1)/6)+1,1),DemandAssumptions[],2)*GaussianSold)</f>
        <v>4.6760061269152759E-4</v>
      </c>
      <c r="H13" s="35">
        <f>GaussianSold-(HLOOKUP(FLOOR(((Month-1)/6)+1,1),DemandAssumptions[],2)*GaussianSold)</f>
        <v>5.4947192992837405E-4</v>
      </c>
      <c r="I13" s="35">
        <f>GaussianSold-(HLOOKUP(FLOOR(((Month-1)/6)+1,1),DemandAssumptions[],2)*GaussianSold)</f>
        <v>6.4348519843540316E-4</v>
      </c>
      <c r="J13" s="35">
        <f>GaussianSold-(HLOOKUP(FLOOR(((Month-1)/6)+1,1),DemandAssumptions[],2)*GaussianSold)</f>
        <v>7.5102470433219617E-4</v>
      </c>
      <c r="K13" s="35">
        <f>GaussianSold-(HLOOKUP(FLOOR(((Month-1)/6)+1,1),DemandAssumptions[],2)*GaussianSold)</f>
        <v>8.7355950847013784E-4</v>
      </c>
      <c r="L13" s="35">
        <f>GaussianSold-(HLOOKUP(FLOOR(((Month-1)/6)+1,1),DemandAssumptions[],2)*GaussianSold)</f>
        <v>1.0126360364220597E-3</v>
      </c>
      <c r="M13" s="35">
        <f>GaussianSold-(HLOOKUP(FLOOR(((Month-1)/6)+1,1),DemandAssumptions[],2)*GaussianSold)</f>
        <v>1.1698680294660972E-3</v>
      </c>
      <c r="N13" s="35">
        <f>GaussianSold-(HLOOKUP(FLOOR(((Month-1)/6)+1,1),DemandAssumptions[],2)*GaussianSold)</f>
        <v>1.3469236473577333E-3</v>
      </c>
      <c r="O13" s="35">
        <f>GaussianSold-(HLOOKUP(FLOOR(((Month-1)/6)+1,1),DemandAssumptions[],2)*GaussianSold)</f>
        <v>1.5455095528692821E-3</v>
      </c>
      <c r="P13" s="35">
        <f>GaussianSold-(HLOOKUP(FLOOR(((Month-1)/6)+1,1),DemandAssumptions[],2)*GaussianSold)</f>
        <v>1.7673518584447184E-3</v>
      </c>
      <c r="Q13" s="35">
        <f>GaussianSold-(HLOOKUP(FLOOR(((Month-1)/6)+1,1),DemandAssumptions[],2)*GaussianSold)</f>
        <v>2.0141738769753545E-3</v>
      </c>
      <c r="R13" s="35">
        <f>GaussianSold-(HLOOKUP(FLOOR(((Month-1)/6)+1,1),DemandAssumptions[],2)*GaussianSold)</f>
        <v>2.2876706913529162E-3</v>
      </c>
      <c r="S13" s="35">
        <f>GaussianSold-(HLOOKUP(FLOOR(((Month-1)/6)+1,1),DemandAssumptions[],2)*GaussianSold)</f>
        <v>2.5894806403698074E-3</v>
      </c>
      <c r="T13" s="35">
        <f>GaussianSold-(HLOOKUP(FLOOR(((Month-1)/6)+1,1),DemandAssumptions[],2)*GaussianSold)</f>
        <v>2.9211539104934542E-3</v>
      </c>
      <c r="U13" s="35">
        <f>GaussianSold-(HLOOKUP(FLOOR(((Month-1)/6)+1,1),DemandAssumptions[],2)*GaussianSold)</f>
        <v>3.2841185223265457E-3</v>
      </c>
      <c r="V13" s="35">
        <f>GaussianSold-(HLOOKUP(FLOOR(((Month-1)/6)+1,1),DemandAssumptions[],2)*GaussianSold)</f>
        <v>3.6796441049594814E-3</v>
      </c>
      <c r="W13" s="35">
        <f>GaussianSold-(HLOOKUP(FLOOR(((Month-1)/6)+1,1),DemandAssumptions[],2)*GaussianSold)</f>
        <v>4.1088039582191614E-3</v>
      </c>
      <c r="X13" s="35">
        <f>GaussianSold-(HLOOKUP(FLOOR(((Month-1)/6)+1,1),DemandAssumptions[],2)*GaussianSold)</f>
        <v>4.5724360088718746E-3</v>
      </c>
      <c r="Y13" s="35">
        <f>GaussianSold-(HLOOKUP(FLOOR(((Month-1)/6)+1,1),DemandAssumptions[],2)*GaussianSold)</f>
        <v>5.0711033686253043E-3</v>
      </c>
      <c r="Z13" s="35">
        <f>GaussianSold-(HLOOKUP(FLOOR(((Month-1)/6)+1,1),DemandAssumptions[],2)*GaussianSold)</f>
        <v>5.6050552954925101E-3</v>
      </c>
      <c r="AA13" s="35">
        <f>GaussianSold-(HLOOKUP(FLOOR(((Month-1)/6)+1,1),DemandAssumptions[],2)*GaussianSold)</f>
        <v>6.1741894417510282E-3</v>
      </c>
      <c r="AB13" s="35">
        <f>GaussianSold-(HLOOKUP(FLOOR(((Month-1)/6)+1,1),DemandAssumptions[],2)*GaussianSold)</f>
        <v>6.7780163373514085E-3</v>
      </c>
      <c r="AC13" s="35">
        <f>GaussianSold-(HLOOKUP(FLOOR(((Month-1)/6)+1,1),DemandAssumptions[],2)*GaussianSold)</f>
        <v>7.4156271033179871E-3</v>
      </c>
      <c r="AD13" s="35">
        <f>GaussianSold-(HLOOKUP(FLOOR(((Month-1)/6)+1,1),DemandAssumptions[],2)*GaussianSold)</f>
        <v>8.0856654118445087E-3</v>
      </c>
      <c r="AE13" s="35">
        <f>GaussianSold-(HLOOKUP(FLOOR(((Month-1)/6)+1,1),DemandAssumptions[],2)*GaussianSold)</f>
        <v>8.7863047052839788E-3</v>
      </c>
      <c r="AF13" s="35">
        <f>GaussianSold-(HLOOKUP(FLOOR(((Month-1)/6)+1,1),DemandAssumptions[],2)*GaussianSold)</f>
        <v>9.5152316525569519E-3</v>
      </c>
      <c r="AG13" s="35">
        <f>GaussianSold-(HLOOKUP(FLOOR(((Month-1)/6)+1,1),DemandAssumptions[],2)*GaussianSold)</f>
        <v>1.0269636756942452E-2</v>
      </c>
      <c r="AH13" s="35">
        <f>GaussianSold-(HLOOKUP(FLOOR(((Month-1)/6)+1,1),DemandAssumptions[],2)*GaussianSold)</f>
        <v>1.1046212932981803E-2</v>
      </c>
      <c r="AI13" s="35">
        <f>GaussianSold-(HLOOKUP(FLOOR(((Month-1)/6)+1,1),DemandAssumptions[],2)*GaussianSold)</f>
        <v>1.184116274257789E-2</v>
      </c>
      <c r="AJ13" s="35">
        <f>GaussianSold-(HLOOKUP(FLOOR(((Month-1)/6)+1,1),DemandAssumptions[],2)*GaussianSold)</f>
        <v>1.2650214822714001E-2</v>
      </c>
      <c r="AK13" s="35">
        <f>GaussianSold-(HLOOKUP(FLOOR(((Month-1)/6)+1,1),DemandAssumptions[],2)*GaussianSold)</f>
        <v>1.346864985209531E-2</v>
      </c>
      <c r="AL13" s="35">
        <f>GaussianSold-(HLOOKUP(FLOOR(((Month-1)/6)+1,1),DemandAssumptions[],2)*GaussianSold)</f>
        <v>1.4291336195180776E-2</v>
      </c>
      <c r="AM13" s="35">
        <f>GaussianSold-(HLOOKUP(FLOOR(((Month-1)/6)+1,1),DemandAssumptions[],2)*GaussianSold)</f>
        <v>1.5112775134354467E-2</v>
      </c>
      <c r="AN13" s="35">
        <f>GaussianSold-(HLOOKUP(FLOOR(((Month-1)/6)+1,1),DemandAssumptions[],2)*GaussianSold)</f>
        <v>1.5927155360246109E-2</v>
      </c>
      <c r="AO13" s="35">
        <f>GaussianSold-(HLOOKUP(FLOOR(((Month-1)/6)+1,1),DemandAssumptions[],2)*GaussianSold)</f>
        <v>1.6728416143157177E-2</v>
      </c>
      <c r="AP13" s="35">
        <f>GaussianSold-(HLOOKUP(FLOOR(((Month-1)/6)+1,1),DemandAssumptions[],2)*GaussianSold)</f>
        <v>1.7510318362532085E-2</v>
      </c>
      <c r="AQ13" s="35">
        <f>GaussianSold-(HLOOKUP(FLOOR(((Month-1)/6)+1,1),DemandAssumptions[],2)*GaussianSold)</f>
        <v>1.8266522334228041E-2</v>
      </c>
      <c r="AR13" s="35">
        <f>GaussianSold-(HLOOKUP(FLOOR(((Month-1)/6)+1,1),DemandAssumptions[],2)*GaussianSold)</f>
        <v>1.8990671154864192E-2</v>
      </c>
      <c r="AS13" s="35">
        <f>GaussianSold-(HLOOKUP(FLOOR(((Month-1)/6)+1,1),DemandAssumptions[],2)*GaussianSold)</f>
        <v>1.9676478086559257E-2</v>
      </c>
      <c r="AT13" s="35">
        <f>GaussianSold-(HLOOKUP(FLOOR(((Month-1)/6)+1,1),DemandAssumptions[],2)*GaussianSold)</f>
        <v>2.0317816341156925E-2</v>
      </c>
      <c r="AU13" s="35">
        <f>GaussianSold-(HLOOKUP(FLOOR(((Month-1)/6)+1,1),DemandAssumptions[],2)*GaussianSold)</f>
        <v>2.0908809497171832E-2</v>
      </c>
      <c r="AV13" s="35">
        <f>GaussianSold-(HLOOKUP(FLOOR(((Month-1)/6)+1,1),DemandAssumptions[],2)*GaussianSold)</f>
        <v>2.1443920700601027E-2</v>
      </c>
      <c r="AW13" s="35">
        <f>GaussianSold-(HLOOKUP(FLOOR(((Month-1)/6)+1,1),DemandAssumptions[],2)*GaussianSold)</f>
        <v>2.1918038766711501E-2</v>
      </c>
      <c r="AX13" s="35">
        <f>GaussianSold-(HLOOKUP(FLOOR(((Month-1)/6)+1,1),DemandAssumptions[],2)*GaussianSold)</f>
        <v>2.232655931654931E-2</v>
      </c>
      <c r="AY13" s="35">
        <f>GaussianSold-(HLOOKUP(FLOOR(((Month-1)/6)+1,1),DemandAssumptions[],2)*GaussianSold)</f>
        <v>2.2665459150359946E-2</v>
      </c>
      <c r="AZ13" s="35">
        <f>GaussianSold-(HLOOKUP(FLOOR(((Month-1)/6)+1,1),DemandAssumptions[],2)*GaussianSold)</f>
        <v>2.2931362179551495E-2</v>
      </c>
      <c r="BA13" s="35">
        <f>GaussianSold-(HLOOKUP(FLOOR(((Month-1)/6)+1,1),DemandAssumptions[],2)*GaussianSold)</f>
        <v>2.3121595406929263E-2</v>
      </c>
      <c r="BB13" s="35">
        <f>GaussianSold-(HLOOKUP(FLOOR(((Month-1)/6)+1,1),DemandAssumptions[],2)*GaussianSold)</f>
        <v>2.3234233657384307E-2</v>
      </c>
      <c r="BC13" s="35">
        <f>GaussianSold-(HLOOKUP(FLOOR(((Month-1)/6)+1,1),DemandAssumptions[],2)*GaussianSold)</f>
        <v>2.3268132012330134E-2</v>
      </c>
      <c r="BD13" s="35">
        <f>GaussianSold-(HLOOKUP(FLOOR(((Month-1)/6)+1,1),DemandAssumptions[],2)*GaussianSold)</f>
        <v>2.3222945183751786E-2</v>
      </c>
      <c r="BE13" s="35">
        <f>GaussianSold-(HLOOKUP(FLOOR(((Month-1)/6)+1,1),DemandAssumptions[],2)*GaussianSold)</f>
        <v>2.3099133369398617E-2</v>
      </c>
      <c r="BF13" s="35">
        <f>GaussianSold-(HLOOKUP(FLOOR(((Month-1)/6)+1,1),DemandAssumptions[],2)*GaussianSold)</f>
        <v>2.2897954450280089E-2</v>
      </c>
      <c r="BG13" s="35">
        <f>GaussianSold-(HLOOKUP(FLOOR(((Month-1)/6)+1,1),DemandAssumptions[],2)*GaussianSold)</f>
        <v>2.26214427154523E-2</v>
      </c>
      <c r="BH13" s="35">
        <f>GaussianSold-(HLOOKUP(FLOOR(((Month-1)/6)+1,1),DemandAssumptions[],2)*GaussianSold)</f>
        <v>2.2272374617309243E-2</v>
      </c>
      <c r="BI13" s="35">
        <f>GaussianSold-(HLOOKUP(FLOOR(((Month-1)/6)+1,1),DemandAssumptions[],2)*GaussianSold)</f>
        <v>2.18542223634971E-2</v>
      </c>
      <c r="BJ13" s="35">
        <f>GaussianSold-(HLOOKUP(FLOOR(((Month-1)/6)+1,1),DemandAssumptions[],2)*GaussianSold)</f>
        <v>2.1371096430145453E-2</v>
      </c>
      <c r="BK13" s="35">
        <f>GaussianSold-(HLOOKUP(FLOOR(((Month-1)/6)+1,1),DemandAssumptions[],2)*GaussianSold)</f>
        <v>2.082767832708643E-2</v>
      </c>
    </row>
    <row r="14" spans="1:63" s="7" customFormat="1" x14ac:dyDescent="0.2">
      <c r="A14" s="148" t="s">
        <v>38</v>
      </c>
      <c r="B14" s="7" t="str">
        <f>'Market Assumptions'!A3</f>
        <v>Target Segment 1</v>
      </c>
      <c r="C14" s="51"/>
      <c r="D14" s="34">
        <f t="shared" ref="D14:AI14" si="43">TotalUnitsSold1*ExpectedSoldCompetition</f>
        <v>28.235755828008383</v>
      </c>
      <c r="E14" s="34">
        <f t="shared" si="43"/>
        <v>33.519846780581283</v>
      </c>
      <c r="F14" s="34">
        <f t="shared" si="43"/>
        <v>39.657674398700962</v>
      </c>
      <c r="G14" s="34">
        <f t="shared" si="43"/>
        <v>46.760061269152757</v>
      </c>
      <c r="H14" s="34">
        <f t="shared" si="43"/>
        <v>54.947192992837408</v>
      </c>
      <c r="I14" s="34">
        <f t="shared" si="43"/>
        <v>64.348519843540316</v>
      </c>
      <c r="J14" s="34">
        <f t="shared" si="43"/>
        <v>75.102470433219622</v>
      </c>
      <c r="K14" s="34">
        <f t="shared" si="43"/>
        <v>87.355950847013787</v>
      </c>
      <c r="L14" s="34">
        <f t="shared" si="43"/>
        <v>101.26360364220598</v>
      </c>
      <c r="M14" s="34">
        <f t="shared" si="43"/>
        <v>116.98680294660973</v>
      </c>
      <c r="N14" s="34">
        <f t="shared" si="43"/>
        <v>134.69236473577334</v>
      </c>
      <c r="O14" s="34">
        <f t="shared" si="43"/>
        <v>154.5509552869282</v>
      </c>
      <c r="P14" s="34">
        <f t="shared" si="43"/>
        <v>176.73518584447183</v>
      </c>
      <c r="Q14" s="34">
        <f t="shared" si="43"/>
        <v>201.41738769753545</v>
      </c>
      <c r="R14" s="34">
        <f t="shared" si="43"/>
        <v>228.76706913529162</v>
      </c>
      <c r="S14" s="34">
        <f t="shared" si="43"/>
        <v>258.94806403698072</v>
      </c>
      <c r="T14" s="34">
        <f t="shared" si="43"/>
        <v>292.11539104934542</v>
      </c>
      <c r="U14" s="34">
        <f t="shared" si="43"/>
        <v>328.41185223265455</v>
      </c>
      <c r="V14" s="34">
        <f t="shared" si="43"/>
        <v>367.96441049594813</v>
      </c>
      <c r="W14" s="34">
        <f t="shared" si="43"/>
        <v>410.88039582191612</v>
      </c>
      <c r="X14" s="34">
        <f t="shared" si="43"/>
        <v>457.24360088718748</v>
      </c>
      <c r="Y14" s="34">
        <f t="shared" si="43"/>
        <v>507.1103368625304</v>
      </c>
      <c r="Z14" s="34">
        <f t="shared" si="43"/>
        <v>560.50552954925104</v>
      </c>
      <c r="AA14" s="34">
        <f t="shared" si="43"/>
        <v>617.41894417510287</v>
      </c>
      <c r="AB14" s="34">
        <f t="shared" si="43"/>
        <v>677.80163373514085</v>
      </c>
      <c r="AC14" s="34">
        <f t="shared" si="43"/>
        <v>741.56271033179871</v>
      </c>
      <c r="AD14" s="34">
        <f t="shared" si="43"/>
        <v>808.5665411844509</v>
      </c>
      <c r="AE14" s="34">
        <f t="shared" si="43"/>
        <v>878.63047052839784</v>
      </c>
      <c r="AF14" s="34">
        <f t="shared" si="43"/>
        <v>951.52316525569518</v>
      </c>
      <c r="AG14" s="34">
        <f t="shared" si="43"/>
        <v>1026.9636756942452</v>
      </c>
      <c r="AH14" s="34">
        <f t="shared" si="43"/>
        <v>1104.6212932981803</v>
      </c>
      <c r="AI14" s="34">
        <f t="shared" si="43"/>
        <v>1184.116274257789</v>
      </c>
      <c r="AJ14" s="34">
        <f t="shared" ref="AJ14:BK14" si="44">TotalUnitsSold1*ExpectedSoldCompetition</f>
        <v>1265.0214822714001</v>
      </c>
      <c r="AK14" s="34">
        <f t="shared" si="44"/>
        <v>1346.8649852095309</v>
      </c>
      <c r="AL14" s="34">
        <f t="shared" si="44"/>
        <v>1429.1336195180777</v>
      </c>
      <c r="AM14" s="34">
        <f t="shared" si="44"/>
        <v>1511.2775134354467</v>
      </c>
      <c r="AN14" s="34">
        <f t="shared" si="44"/>
        <v>1592.7155360246109</v>
      </c>
      <c r="AO14" s="34">
        <f t="shared" si="44"/>
        <v>1672.8416143157176</v>
      </c>
      <c r="AP14" s="34">
        <f t="shared" si="44"/>
        <v>1751.0318362532084</v>
      </c>
      <c r="AQ14" s="34">
        <f t="shared" si="44"/>
        <v>1826.6522334228041</v>
      </c>
      <c r="AR14" s="34">
        <f t="shared" si="44"/>
        <v>1899.0671154864192</v>
      </c>
      <c r="AS14" s="34">
        <f t="shared" si="44"/>
        <v>1967.6478086559257</v>
      </c>
      <c r="AT14" s="34">
        <f t="shared" si="44"/>
        <v>2031.7816341156924</v>
      </c>
      <c r="AU14" s="34">
        <f t="shared" si="44"/>
        <v>2090.8809497171833</v>
      </c>
      <c r="AV14" s="34">
        <f t="shared" si="44"/>
        <v>2144.3920700601025</v>
      </c>
      <c r="AW14" s="34">
        <f t="shared" si="44"/>
        <v>2191.8038766711502</v>
      </c>
      <c r="AX14" s="34">
        <f t="shared" si="44"/>
        <v>2232.655931654931</v>
      </c>
      <c r="AY14" s="34">
        <f t="shared" si="44"/>
        <v>2266.5459150359948</v>
      </c>
      <c r="AZ14" s="34">
        <f t="shared" si="44"/>
        <v>2293.1362179551497</v>
      </c>
      <c r="BA14" s="34">
        <f t="shared" si="44"/>
        <v>2312.1595406929264</v>
      </c>
      <c r="BB14" s="34">
        <f t="shared" si="44"/>
        <v>2323.4233657384307</v>
      </c>
      <c r="BC14" s="34">
        <f t="shared" si="44"/>
        <v>2326.8132012330134</v>
      </c>
      <c r="BD14" s="34">
        <f t="shared" si="44"/>
        <v>2322.2945183751785</v>
      </c>
      <c r="BE14" s="34">
        <f t="shared" si="44"/>
        <v>2309.9133369398619</v>
      </c>
      <c r="BF14" s="34">
        <f t="shared" si="44"/>
        <v>2289.795445028009</v>
      </c>
      <c r="BG14" s="34">
        <f t="shared" si="44"/>
        <v>2262.1442715452299</v>
      </c>
      <c r="BH14" s="34">
        <f t="shared" si="44"/>
        <v>2227.2374617309242</v>
      </c>
      <c r="BI14" s="34">
        <f t="shared" si="44"/>
        <v>2185.4222363497101</v>
      </c>
      <c r="BJ14" s="34">
        <f t="shared" si="44"/>
        <v>2137.1096430145453</v>
      </c>
      <c r="BK14" s="34">
        <f t="shared" si="44"/>
        <v>2082.7678327086428</v>
      </c>
    </row>
    <row r="15" spans="1:63" s="7" customFormat="1" x14ac:dyDescent="0.2">
      <c r="A15" s="148"/>
      <c r="B15" s="7" t="str">
        <f>'Market Assumptions'!A4</f>
        <v>Target Segment 2</v>
      </c>
      <c r="C15" s="51"/>
      <c r="D15" s="34">
        <f t="shared" ref="D15:AI15" si="45">TotalUnitsSold2*ExpectedSoldCompetition</f>
        <v>14.117877914004191</v>
      </c>
      <c r="E15" s="34">
        <f t="shared" si="45"/>
        <v>16.759923390290641</v>
      </c>
      <c r="F15" s="34">
        <f t="shared" si="45"/>
        <v>19.828837199350481</v>
      </c>
      <c r="G15" s="34">
        <f t="shared" si="45"/>
        <v>23.380030634576379</v>
      </c>
      <c r="H15" s="34">
        <f t="shared" si="45"/>
        <v>27.473596496418704</v>
      </c>
      <c r="I15" s="34">
        <f t="shared" si="45"/>
        <v>32.174259921770158</v>
      </c>
      <c r="J15" s="34">
        <f t="shared" si="45"/>
        <v>37.551235216609811</v>
      </c>
      <c r="K15" s="34">
        <f t="shared" si="45"/>
        <v>43.677975423506894</v>
      </c>
      <c r="L15" s="34">
        <f t="shared" si="45"/>
        <v>50.631801821102989</v>
      </c>
      <c r="M15" s="34">
        <f t="shared" si="45"/>
        <v>58.493401473304864</v>
      </c>
      <c r="N15" s="34">
        <f t="shared" si="45"/>
        <v>67.346182367886669</v>
      </c>
      <c r="O15" s="34">
        <f t="shared" si="45"/>
        <v>77.2754776434641</v>
      </c>
      <c r="P15" s="34">
        <f t="shared" si="45"/>
        <v>88.367592922235914</v>
      </c>
      <c r="Q15" s="34">
        <f t="shared" si="45"/>
        <v>100.70869384876772</v>
      </c>
      <c r="R15" s="34">
        <f t="shared" si="45"/>
        <v>114.38353456764581</v>
      </c>
      <c r="S15" s="34">
        <f t="shared" si="45"/>
        <v>129.47403201849036</v>
      </c>
      <c r="T15" s="34">
        <f t="shared" si="45"/>
        <v>146.05769552467271</v>
      </c>
      <c r="U15" s="34">
        <f t="shared" si="45"/>
        <v>164.20592611632728</v>
      </c>
      <c r="V15" s="34">
        <f t="shared" si="45"/>
        <v>183.98220524797406</v>
      </c>
      <c r="W15" s="34">
        <f t="shared" si="45"/>
        <v>205.44019791095806</v>
      </c>
      <c r="X15" s="34">
        <f t="shared" si="45"/>
        <v>228.62180044359374</v>
      </c>
      <c r="Y15" s="34">
        <f t="shared" si="45"/>
        <v>253.5551684312652</v>
      </c>
      <c r="Z15" s="34">
        <f t="shared" si="45"/>
        <v>280.25276477462552</v>
      </c>
      <c r="AA15" s="34">
        <f t="shared" si="45"/>
        <v>308.70947208755143</v>
      </c>
      <c r="AB15" s="34">
        <f t="shared" si="45"/>
        <v>338.90081686757043</v>
      </c>
      <c r="AC15" s="34">
        <f t="shared" si="45"/>
        <v>370.78135516589936</v>
      </c>
      <c r="AD15" s="34">
        <f t="shared" si="45"/>
        <v>404.28327059222545</v>
      </c>
      <c r="AE15" s="34">
        <f t="shared" si="45"/>
        <v>439.31523526419892</v>
      </c>
      <c r="AF15" s="34">
        <f t="shared" si="45"/>
        <v>475.76158262784759</v>
      </c>
      <c r="AG15" s="34">
        <f t="shared" si="45"/>
        <v>513.48183784712262</v>
      </c>
      <c r="AH15" s="34">
        <f t="shared" si="45"/>
        <v>552.31064664909013</v>
      </c>
      <c r="AI15" s="34">
        <f t="shared" si="45"/>
        <v>592.05813712889449</v>
      </c>
      <c r="AJ15" s="34">
        <f t="shared" ref="AJ15:BK15" si="46">TotalUnitsSold2*ExpectedSoldCompetition</f>
        <v>632.51074113570007</v>
      </c>
      <c r="AK15" s="34">
        <f t="shared" si="46"/>
        <v>673.43249260476546</v>
      </c>
      <c r="AL15" s="34">
        <f t="shared" si="46"/>
        <v>714.56680975903885</v>
      </c>
      <c r="AM15" s="34">
        <f t="shared" si="46"/>
        <v>755.63875671772337</v>
      </c>
      <c r="AN15" s="34">
        <f t="shared" si="46"/>
        <v>796.35776801230543</v>
      </c>
      <c r="AO15" s="34">
        <f t="shared" si="46"/>
        <v>836.4208071578588</v>
      </c>
      <c r="AP15" s="34">
        <f t="shared" si="46"/>
        <v>875.51591812660422</v>
      </c>
      <c r="AQ15" s="34">
        <f t="shared" si="46"/>
        <v>913.32611671140205</v>
      </c>
      <c r="AR15" s="34">
        <f t="shared" si="46"/>
        <v>949.5335577432096</v>
      </c>
      <c r="AS15" s="34">
        <f t="shared" si="46"/>
        <v>983.82390432796285</v>
      </c>
      <c r="AT15" s="34">
        <f t="shared" si="46"/>
        <v>1015.8908170578462</v>
      </c>
      <c r="AU15" s="34">
        <f t="shared" si="46"/>
        <v>1045.4404748585916</v>
      </c>
      <c r="AV15" s="34">
        <f t="shared" si="46"/>
        <v>1072.1960350300512</v>
      </c>
      <c r="AW15" s="34">
        <f t="shared" si="46"/>
        <v>1095.9019383355751</v>
      </c>
      <c r="AX15" s="34">
        <f t="shared" si="46"/>
        <v>1116.3279658274655</v>
      </c>
      <c r="AY15" s="34">
        <f t="shared" si="46"/>
        <v>1133.2729575179974</v>
      </c>
      <c r="AZ15" s="34">
        <f t="shared" si="46"/>
        <v>1146.5681089775749</v>
      </c>
      <c r="BA15" s="34">
        <f t="shared" si="46"/>
        <v>1156.0797703464632</v>
      </c>
      <c r="BB15" s="34">
        <f t="shared" si="46"/>
        <v>1161.7116828692153</v>
      </c>
      <c r="BC15" s="34">
        <f t="shared" si="46"/>
        <v>1163.4066006165067</v>
      </c>
      <c r="BD15" s="34">
        <f t="shared" si="46"/>
        <v>1161.1472591875893</v>
      </c>
      <c r="BE15" s="34">
        <f t="shared" si="46"/>
        <v>1154.9566684699309</v>
      </c>
      <c r="BF15" s="34">
        <f t="shared" si="46"/>
        <v>1144.8977225140045</v>
      </c>
      <c r="BG15" s="34">
        <f t="shared" si="46"/>
        <v>1131.072135772615</v>
      </c>
      <c r="BH15" s="34">
        <f t="shared" si="46"/>
        <v>1113.6187308654621</v>
      </c>
      <c r="BI15" s="34">
        <f t="shared" si="46"/>
        <v>1092.7111181748551</v>
      </c>
      <c r="BJ15" s="34">
        <f t="shared" si="46"/>
        <v>1068.5548215072727</v>
      </c>
      <c r="BK15" s="34">
        <f t="shared" si="46"/>
        <v>1041.3839163543214</v>
      </c>
    </row>
    <row r="16" spans="1:63" s="7" customFormat="1" x14ac:dyDescent="0.2">
      <c r="A16" s="148"/>
      <c r="B16" s="7" t="str">
        <f>'Market Assumptions'!A5</f>
        <v>Target Segment 3</v>
      </c>
      <c r="C16" s="51"/>
      <c r="D16" s="34">
        <f t="shared" ref="D16:AI16" si="47">TotalUnitsSold3*ExpectedSoldCompetition</f>
        <v>56.471511656016766</v>
      </c>
      <c r="E16" s="34">
        <f t="shared" si="47"/>
        <v>67.039693561162565</v>
      </c>
      <c r="F16" s="34">
        <f t="shared" si="47"/>
        <v>79.315348797401924</v>
      </c>
      <c r="G16" s="34">
        <f t="shared" si="47"/>
        <v>93.520122538305515</v>
      </c>
      <c r="H16" s="34">
        <f t="shared" si="47"/>
        <v>109.89438598567482</v>
      </c>
      <c r="I16" s="34">
        <f t="shared" si="47"/>
        <v>128.69703968708063</v>
      </c>
      <c r="J16" s="34">
        <f t="shared" si="47"/>
        <v>150.20494086643924</v>
      </c>
      <c r="K16" s="34">
        <f t="shared" si="47"/>
        <v>174.71190169402757</v>
      </c>
      <c r="L16" s="34">
        <f t="shared" si="47"/>
        <v>202.52720728441196</v>
      </c>
      <c r="M16" s="34">
        <f t="shared" si="47"/>
        <v>233.97360589321946</v>
      </c>
      <c r="N16" s="34">
        <f t="shared" si="47"/>
        <v>269.38472947154668</v>
      </c>
      <c r="O16" s="34">
        <f t="shared" si="47"/>
        <v>309.1019105738564</v>
      </c>
      <c r="P16" s="34">
        <f t="shared" si="47"/>
        <v>353.47037168894366</v>
      </c>
      <c r="Q16" s="34">
        <f t="shared" si="47"/>
        <v>402.83477539507089</v>
      </c>
      <c r="R16" s="34">
        <f t="shared" si="47"/>
        <v>457.53413827058324</v>
      </c>
      <c r="S16" s="34">
        <f t="shared" si="47"/>
        <v>517.89612807396145</v>
      </c>
      <c r="T16" s="34">
        <f t="shared" si="47"/>
        <v>584.23078209869084</v>
      </c>
      <c r="U16" s="34">
        <f t="shared" si="47"/>
        <v>656.82370446530911</v>
      </c>
      <c r="V16" s="34">
        <f t="shared" si="47"/>
        <v>735.92882099189626</v>
      </c>
      <c r="W16" s="34">
        <f t="shared" si="47"/>
        <v>821.76079164383225</v>
      </c>
      <c r="X16" s="34">
        <f t="shared" si="47"/>
        <v>914.48720177437497</v>
      </c>
      <c r="Y16" s="34">
        <f t="shared" si="47"/>
        <v>1014.2206737250608</v>
      </c>
      <c r="Z16" s="34">
        <f t="shared" si="47"/>
        <v>1121.0110590985021</v>
      </c>
      <c r="AA16" s="34">
        <f t="shared" si="47"/>
        <v>1234.8378883502057</v>
      </c>
      <c r="AB16" s="34">
        <f t="shared" si="47"/>
        <v>1355.6032674702817</v>
      </c>
      <c r="AC16" s="34">
        <f t="shared" si="47"/>
        <v>1483.1254206635974</v>
      </c>
      <c r="AD16" s="34">
        <f t="shared" si="47"/>
        <v>1617.1330823689018</v>
      </c>
      <c r="AE16" s="34">
        <f t="shared" si="47"/>
        <v>1757.2609410567957</v>
      </c>
      <c r="AF16" s="34">
        <f t="shared" si="47"/>
        <v>1903.0463305113904</v>
      </c>
      <c r="AG16" s="34">
        <f t="shared" si="47"/>
        <v>2053.9273513884905</v>
      </c>
      <c r="AH16" s="34">
        <f t="shared" si="47"/>
        <v>2209.2425865963605</v>
      </c>
      <c r="AI16" s="34">
        <f t="shared" si="47"/>
        <v>2368.2325485155779</v>
      </c>
      <c r="AJ16" s="34">
        <f t="shared" ref="AJ16:BK16" si="48">TotalUnitsSold3*ExpectedSoldCompetition</f>
        <v>2530.0429645428003</v>
      </c>
      <c r="AK16" s="34">
        <f t="shared" si="48"/>
        <v>2693.7299704190618</v>
      </c>
      <c r="AL16" s="34">
        <f t="shared" si="48"/>
        <v>2858.2672390361554</v>
      </c>
      <c r="AM16" s="34">
        <f t="shared" si="48"/>
        <v>3022.5550268708935</v>
      </c>
      <c r="AN16" s="34">
        <f t="shared" si="48"/>
        <v>3185.4310720492217</v>
      </c>
      <c r="AO16" s="34">
        <f t="shared" si="48"/>
        <v>3345.6832286314352</v>
      </c>
      <c r="AP16" s="34">
        <f t="shared" si="48"/>
        <v>3502.0636725064169</v>
      </c>
      <c r="AQ16" s="34">
        <f t="shared" si="48"/>
        <v>3653.3044668456082</v>
      </c>
      <c r="AR16" s="34">
        <f t="shared" si="48"/>
        <v>3798.1342309728384</v>
      </c>
      <c r="AS16" s="34">
        <f t="shared" si="48"/>
        <v>3935.2956173118514</v>
      </c>
      <c r="AT16" s="34">
        <f t="shared" si="48"/>
        <v>4063.5632682313849</v>
      </c>
      <c r="AU16" s="34">
        <f t="shared" si="48"/>
        <v>4181.7618994343666</v>
      </c>
      <c r="AV16" s="34">
        <f t="shared" si="48"/>
        <v>4288.7841401202049</v>
      </c>
      <c r="AW16" s="34">
        <f t="shared" si="48"/>
        <v>4383.6077533423004</v>
      </c>
      <c r="AX16" s="34">
        <f t="shared" si="48"/>
        <v>4465.311863309862</v>
      </c>
      <c r="AY16" s="34">
        <f t="shared" si="48"/>
        <v>4533.0918300719895</v>
      </c>
      <c r="AZ16" s="34">
        <f t="shared" si="48"/>
        <v>4586.2724359102995</v>
      </c>
      <c r="BA16" s="34">
        <f t="shared" si="48"/>
        <v>4624.3190813858528</v>
      </c>
      <c r="BB16" s="34">
        <f t="shared" si="48"/>
        <v>4646.8467314768614</v>
      </c>
      <c r="BC16" s="34">
        <f t="shared" si="48"/>
        <v>4653.6264024660268</v>
      </c>
      <c r="BD16" s="34">
        <f t="shared" si="48"/>
        <v>4644.5890367503571</v>
      </c>
      <c r="BE16" s="34">
        <f t="shared" si="48"/>
        <v>4619.8266738797238</v>
      </c>
      <c r="BF16" s="34">
        <f t="shared" si="48"/>
        <v>4579.590890056018</v>
      </c>
      <c r="BG16" s="34">
        <f t="shared" si="48"/>
        <v>4524.2885430904598</v>
      </c>
      <c r="BH16" s="34">
        <f t="shared" si="48"/>
        <v>4454.4749234618484</v>
      </c>
      <c r="BI16" s="34">
        <f t="shared" si="48"/>
        <v>4370.8444726994203</v>
      </c>
      <c r="BJ16" s="34">
        <f t="shared" si="48"/>
        <v>4274.2192860290907</v>
      </c>
      <c r="BK16" s="34">
        <f t="shared" si="48"/>
        <v>4165.5356654172856</v>
      </c>
    </row>
    <row r="17" spans="1:63" s="7" customFormat="1" x14ac:dyDescent="0.2">
      <c r="A17" s="148"/>
      <c r="B17" s="7" t="str">
        <f>'Market Assumptions'!A6</f>
        <v>N/A</v>
      </c>
      <c r="C17" s="51"/>
      <c r="D17" s="34">
        <f t="shared" ref="D17:AI17" si="49">TotalUnitsSold4*ExpectedSoldCompetition</f>
        <v>0</v>
      </c>
      <c r="E17" s="34">
        <f t="shared" si="49"/>
        <v>0</v>
      </c>
      <c r="F17" s="34">
        <f t="shared" si="49"/>
        <v>0</v>
      </c>
      <c r="G17" s="34">
        <f t="shared" si="49"/>
        <v>0</v>
      </c>
      <c r="H17" s="34">
        <f t="shared" si="49"/>
        <v>0</v>
      </c>
      <c r="I17" s="34">
        <f t="shared" si="49"/>
        <v>0</v>
      </c>
      <c r="J17" s="34">
        <f t="shared" si="49"/>
        <v>0</v>
      </c>
      <c r="K17" s="34">
        <f t="shared" si="49"/>
        <v>0</v>
      </c>
      <c r="L17" s="34">
        <f t="shared" si="49"/>
        <v>0</v>
      </c>
      <c r="M17" s="34">
        <f t="shared" si="49"/>
        <v>0</v>
      </c>
      <c r="N17" s="34">
        <f t="shared" si="49"/>
        <v>0</v>
      </c>
      <c r="O17" s="34">
        <f t="shared" si="49"/>
        <v>0</v>
      </c>
      <c r="P17" s="34">
        <f t="shared" si="49"/>
        <v>0</v>
      </c>
      <c r="Q17" s="34">
        <f t="shared" si="49"/>
        <v>0</v>
      </c>
      <c r="R17" s="34">
        <f t="shared" si="49"/>
        <v>0</v>
      </c>
      <c r="S17" s="34">
        <f t="shared" si="49"/>
        <v>0</v>
      </c>
      <c r="T17" s="34">
        <f t="shared" si="49"/>
        <v>0</v>
      </c>
      <c r="U17" s="34">
        <f t="shared" si="49"/>
        <v>0</v>
      </c>
      <c r="V17" s="34">
        <f t="shared" si="49"/>
        <v>0</v>
      </c>
      <c r="W17" s="34">
        <f t="shared" si="49"/>
        <v>0</v>
      </c>
      <c r="X17" s="34">
        <f t="shared" si="49"/>
        <v>0</v>
      </c>
      <c r="Y17" s="34">
        <f t="shared" si="49"/>
        <v>0</v>
      </c>
      <c r="Z17" s="34">
        <f t="shared" si="49"/>
        <v>0</v>
      </c>
      <c r="AA17" s="34">
        <f t="shared" si="49"/>
        <v>0</v>
      </c>
      <c r="AB17" s="34">
        <f t="shared" si="49"/>
        <v>0</v>
      </c>
      <c r="AC17" s="34">
        <f t="shared" si="49"/>
        <v>0</v>
      </c>
      <c r="AD17" s="34">
        <f t="shared" si="49"/>
        <v>0</v>
      </c>
      <c r="AE17" s="34">
        <f t="shared" si="49"/>
        <v>0</v>
      </c>
      <c r="AF17" s="34">
        <f t="shared" si="49"/>
        <v>0</v>
      </c>
      <c r="AG17" s="34">
        <f t="shared" si="49"/>
        <v>0</v>
      </c>
      <c r="AH17" s="34">
        <f t="shared" si="49"/>
        <v>0</v>
      </c>
      <c r="AI17" s="34">
        <f t="shared" si="49"/>
        <v>0</v>
      </c>
      <c r="AJ17" s="34">
        <f t="shared" ref="AJ17:BK17" si="50">TotalUnitsSold4*ExpectedSoldCompetition</f>
        <v>0</v>
      </c>
      <c r="AK17" s="34">
        <f t="shared" si="50"/>
        <v>0</v>
      </c>
      <c r="AL17" s="34">
        <f t="shared" si="50"/>
        <v>0</v>
      </c>
      <c r="AM17" s="34">
        <f t="shared" si="50"/>
        <v>0</v>
      </c>
      <c r="AN17" s="34">
        <f t="shared" si="50"/>
        <v>0</v>
      </c>
      <c r="AO17" s="34">
        <f t="shared" si="50"/>
        <v>0</v>
      </c>
      <c r="AP17" s="34">
        <f t="shared" si="50"/>
        <v>0</v>
      </c>
      <c r="AQ17" s="34">
        <f t="shared" si="50"/>
        <v>0</v>
      </c>
      <c r="AR17" s="34">
        <f t="shared" si="50"/>
        <v>0</v>
      </c>
      <c r="AS17" s="34">
        <f t="shared" si="50"/>
        <v>0</v>
      </c>
      <c r="AT17" s="34">
        <f t="shared" si="50"/>
        <v>0</v>
      </c>
      <c r="AU17" s="34">
        <f t="shared" si="50"/>
        <v>0</v>
      </c>
      <c r="AV17" s="34">
        <f t="shared" si="50"/>
        <v>0</v>
      </c>
      <c r="AW17" s="34">
        <f t="shared" si="50"/>
        <v>0</v>
      </c>
      <c r="AX17" s="34">
        <f t="shared" si="50"/>
        <v>0</v>
      </c>
      <c r="AY17" s="34">
        <f t="shared" si="50"/>
        <v>0</v>
      </c>
      <c r="AZ17" s="34">
        <f t="shared" si="50"/>
        <v>0</v>
      </c>
      <c r="BA17" s="34">
        <f t="shared" si="50"/>
        <v>0</v>
      </c>
      <c r="BB17" s="34">
        <f t="shared" si="50"/>
        <v>0</v>
      </c>
      <c r="BC17" s="34">
        <f t="shared" si="50"/>
        <v>0</v>
      </c>
      <c r="BD17" s="34">
        <f t="shared" si="50"/>
        <v>0</v>
      </c>
      <c r="BE17" s="34">
        <f t="shared" si="50"/>
        <v>0</v>
      </c>
      <c r="BF17" s="34">
        <f t="shared" si="50"/>
        <v>0</v>
      </c>
      <c r="BG17" s="34">
        <f t="shared" si="50"/>
        <v>0</v>
      </c>
      <c r="BH17" s="34">
        <f t="shared" si="50"/>
        <v>0</v>
      </c>
      <c r="BI17" s="34">
        <f t="shared" si="50"/>
        <v>0</v>
      </c>
      <c r="BJ17" s="34">
        <f t="shared" si="50"/>
        <v>0</v>
      </c>
      <c r="BK17" s="34">
        <f t="shared" si="50"/>
        <v>0</v>
      </c>
    </row>
    <row r="18" spans="1:63" s="7" customFormat="1" x14ac:dyDescent="0.2">
      <c r="A18" s="148"/>
      <c r="B18" s="7" t="str">
        <f>'Market Assumptions'!A7</f>
        <v>N/A</v>
      </c>
      <c r="C18" s="51"/>
      <c r="D18" s="34">
        <f t="shared" ref="D18:AI18" si="51">TotalUnitsSold5*ExpectedSoldCompetition</f>
        <v>0</v>
      </c>
      <c r="E18" s="34">
        <f t="shared" si="51"/>
        <v>0</v>
      </c>
      <c r="F18" s="34">
        <f t="shared" si="51"/>
        <v>0</v>
      </c>
      <c r="G18" s="34">
        <f t="shared" si="51"/>
        <v>0</v>
      </c>
      <c r="H18" s="34">
        <f t="shared" si="51"/>
        <v>0</v>
      </c>
      <c r="I18" s="34">
        <f t="shared" si="51"/>
        <v>0</v>
      </c>
      <c r="J18" s="34">
        <f t="shared" si="51"/>
        <v>0</v>
      </c>
      <c r="K18" s="34">
        <f t="shared" si="51"/>
        <v>0</v>
      </c>
      <c r="L18" s="34">
        <f t="shared" si="51"/>
        <v>0</v>
      </c>
      <c r="M18" s="34">
        <f t="shared" si="51"/>
        <v>0</v>
      </c>
      <c r="N18" s="34">
        <f t="shared" si="51"/>
        <v>0</v>
      </c>
      <c r="O18" s="34">
        <f t="shared" si="51"/>
        <v>0</v>
      </c>
      <c r="P18" s="34">
        <f t="shared" si="51"/>
        <v>0</v>
      </c>
      <c r="Q18" s="34">
        <f t="shared" si="51"/>
        <v>0</v>
      </c>
      <c r="R18" s="34">
        <f t="shared" si="51"/>
        <v>0</v>
      </c>
      <c r="S18" s="34">
        <f t="shared" si="51"/>
        <v>0</v>
      </c>
      <c r="T18" s="34">
        <f t="shared" si="51"/>
        <v>0</v>
      </c>
      <c r="U18" s="34">
        <f t="shared" si="51"/>
        <v>0</v>
      </c>
      <c r="V18" s="34">
        <f t="shared" si="51"/>
        <v>0</v>
      </c>
      <c r="W18" s="34">
        <f t="shared" si="51"/>
        <v>0</v>
      </c>
      <c r="X18" s="34">
        <f t="shared" si="51"/>
        <v>0</v>
      </c>
      <c r="Y18" s="34">
        <f t="shared" si="51"/>
        <v>0</v>
      </c>
      <c r="Z18" s="34">
        <f t="shared" si="51"/>
        <v>0</v>
      </c>
      <c r="AA18" s="34">
        <f t="shared" si="51"/>
        <v>0</v>
      </c>
      <c r="AB18" s="34">
        <f t="shared" si="51"/>
        <v>0</v>
      </c>
      <c r="AC18" s="34">
        <f t="shared" si="51"/>
        <v>0</v>
      </c>
      <c r="AD18" s="34">
        <f t="shared" si="51"/>
        <v>0</v>
      </c>
      <c r="AE18" s="34">
        <f t="shared" si="51"/>
        <v>0</v>
      </c>
      <c r="AF18" s="34">
        <f t="shared" si="51"/>
        <v>0</v>
      </c>
      <c r="AG18" s="34">
        <f t="shared" si="51"/>
        <v>0</v>
      </c>
      <c r="AH18" s="34">
        <f t="shared" si="51"/>
        <v>0</v>
      </c>
      <c r="AI18" s="34">
        <f t="shared" si="51"/>
        <v>0</v>
      </c>
      <c r="AJ18" s="34">
        <f t="shared" ref="AJ18:BK18" si="52">TotalUnitsSold5*ExpectedSoldCompetition</f>
        <v>0</v>
      </c>
      <c r="AK18" s="34">
        <f t="shared" si="52"/>
        <v>0</v>
      </c>
      <c r="AL18" s="34">
        <f t="shared" si="52"/>
        <v>0</v>
      </c>
      <c r="AM18" s="34">
        <f t="shared" si="52"/>
        <v>0</v>
      </c>
      <c r="AN18" s="34">
        <f t="shared" si="52"/>
        <v>0</v>
      </c>
      <c r="AO18" s="34">
        <f t="shared" si="52"/>
        <v>0</v>
      </c>
      <c r="AP18" s="34">
        <f t="shared" si="52"/>
        <v>0</v>
      </c>
      <c r="AQ18" s="34">
        <f t="shared" si="52"/>
        <v>0</v>
      </c>
      <c r="AR18" s="34">
        <f t="shared" si="52"/>
        <v>0</v>
      </c>
      <c r="AS18" s="34">
        <f t="shared" si="52"/>
        <v>0</v>
      </c>
      <c r="AT18" s="34">
        <f t="shared" si="52"/>
        <v>0</v>
      </c>
      <c r="AU18" s="34">
        <f t="shared" si="52"/>
        <v>0</v>
      </c>
      <c r="AV18" s="34">
        <f t="shared" si="52"/>
        <v>0</v>
      </c>
      <c r="AW18" s="34">
        <f t="shared" si="52"/>
        <v>0</v>
      </c>
      <c r="AX18" s="34">
        <f t="shared" si="52"/>
        <v>0</v>
      </c>
      <c r="AY18" s="34">
        <f t="shared" si="52"/>
        <v>0</v>
      </c>
      <c r="AZ18" s="34">
        <f t="shared" si="52"/>
        <v>0</v>
      </c>
      <c r="BA18" s="34">
        <f t="shared" si="52"/>
        <v>0</v>
      </c>
      <c r="BB18" s="34">
        <f t="shared" si="52"/>
        <v>0</v>
      </c>
      <c r="BC18" s="34">
        <f t="shared" si="52"/>
        <v>0</v>
      </c>
      <c r="BD18" s="34">
        <f t="shared" si="52"/>
        <v>0</v>
      </c>
      <c r="BE18" s="34">
        <f t="shared" si="52"/>
        <v>0</v>
      </c>
      <c r="BF18" s="34">
        <f t="shared" si="52"/>
        <v>0</v>
      </c>
      <c r="BG18" s="34">
        <f t="shared" si="52"/>
        <v>0</v>
      </c>
      <c r="BH18" s="34">
        <f t="shared" si="52"/>
        <v>0</v>
      </c>
      <c r="BI18" s="34">
        <f t="shared" si="52"/>
        <v>0</v>
      </c>
      <c r="BJ18" s="34">
        <f t="shared" si="52"/>
        <v>0</v>
      </c>
      <c r="BK18" s="34">
        <f t="shared" si="52"/>
        <v>0</v>
      </c>
    </row>
    <row r="19" spans="1:63" s="7" customFormat="1" x14ac:dyDescent="0.2">
      <c r="A19" s="148"/>
      <c r="B19" s="7" t="str">
        <f>'Market Assumptions'!A8</f>
        <v>N/A</v>
      </c>
      <c r="C19" s="51"/>
      <c r="D19" s="34">
        <f t="shared" ref="D19:AI19" si="53">TotalUnitsSold6*ExpectedSoldCompetition</f>
        <v>0</v>
      </c>
      <c r="E19" s="34">
        <f t="shared" si="53"/>
        <v>0</v>
      </c>
      <c r="F19" s="34">
        <f t="shared" si="53"/>
        <v>0</v>
      </c>
      <c r="G19" s="34">
        <f t="shared" si="53"/>
        <v>0</v>
      </c>
      <c r="H19" s="34">
        <f t="shared" si="53"/>
        <v>0</v>
      </c>
      <c r="I19" s="34">
        <f t="shared" si="53"/>
        <v>0</v>
      </c>
      <c r="J19" s="34">
        <f t="shared" si="53"/>
        <v>0</v>
      </c>
      <c r="K19" s="34">
        <f t="shared" si="53"/>
        <v>0</v>
      </c>
      <c r="L19" s="34">
        <f t="shared" si="53"/>
        <v>0</v>
      </c>
      <c r="M19" s="34">
        <f t="shared" si="53"/>
        <v>0</v>
      </c>
      <c r="N19" s="34">
        <f t="shared" si="53"/>
        <v>0</v>
      </c>
      <c r="O19" s="34">
        <f t="shared" si="53"/>
        <v>0</v>
      </c>
      <c r="P19" s="34">
        <f t="shared" si="53"/>
        <v>0</v>
      </c>
      <c r="Q19" s="34">
        <f t="shared" si="53"/>
        <v>0</v>
      </c>
      <c r="R19" s="34">
        <f t="shared" si="53"/>
        <v>0</v>
      </c>
      <c r="S19" s="34">
        <f t="shared" si="53"/>
        <v>0</v>
      </c>
      <c r="T19" s="34">
        <f t="shared" si="53"/>
        <v>0</v>
      </c>
      <c r="U19" s="34">
        <f t="shared" si="53"/>
        <v>0</v>
      </c>
      <c r="V19" s="34">
        <f t="shared" si="53"/>
        <v>0</v>
      </c>
      <c r="W19" s="34">
        <f t="shared" si="53"/>
        <v>0</v>
      </c>
      <c r="X19" s="34">
        <f t="shared" si="53"/>
        <v>0</v>
      </c>
      <c r="Y19" s="34">
        <f t="shared" si="53"/>
        <v>0</v>
      </c>
      <c r="Z19" s="34">
        <f t="shared" si="53"/>
        <v>0</v>
      </c>
      <c r="AA19" s="34">
        <f t="shared" si="53"/>
        <v>0</v>
      </c>
      <c r="AB19" s="34">
        <f t="shared" si="53"/>
        <v>0</v>
      </c>
      <c r="AC19" s="34">
        <f t="shared" si="53"/>
        <v>0</v>
      </c>
      <c r="AD19" s="34">
        <f t="shared" si="53"/>
        <v>0</v>
      </c>
      <c r="AE19" s="34">
        <f t="shared" si="53"/>
        <v>0</v>
      </c>
      <c r="AF19" s="34">
        <f t="shared" si="53"/>
        <v>0</v>
      </c>
      <c r="AG19" s="34">
        <f t="shared" si="53"/>
        <v>0</v>
      </c>
      <c r="AH19" s="34">
        <f t="shared" si="53"/>
        <v>0</v>
      </c>
      <c r="AI19" s="34">
        <f t="shared" si="53"/>
        <v>0</v>
      </c>
      <c r="AJ19" s="34">
        <f t="shared" ref="AJ19:BK19" si="54">TotalUnitsSold6*ExpectedSoldCompetition</f>
        <v>0</v>
      </c>
      <c r="AK19" s="34">
        <f t="shared" si="54"/>
        <v>0</v>
      </c>
      <c r="AL19" s="34">
        <f t="shared" si="54"/>
        <v>0</v>
      </c>
      <c r="AM19" s="34">
        <f t="shared" si="54"/>
        <v>0</v>
      </c>
      <c r="AN19" s="34">
        <f t="shared" si="54"/>
        <v>0</v>
      </c>
      <c r="AO19" s="34">
        <f t="shared" si="54"/>
        <v>0</v>
      </c>
      <c r="AP19" s="34">
        <f t="shared" si="54"/>
        <v>0</v>
      </c>
      <c r="AQ19" s="34">
        <f t="shared" si="54"/>
        <v>0</v>
      </c>
      <c r="AR19" s="34">
        <f t="shared" si="54"/>
        <v>0</v>
      </c>
      <c r="AS19" s="34">
        <f t="shared" si="54"/>
        <v>0</v>
      </c>
      <c r="AT19" s="34">
        <f t="shared" si="54"/>
        <v>0</v>
      </c>
      <c r="AU19" s="34">
        <f t="shared" si="54"/>
        <v>0</v>
      </c>
      <c r="AV19" s="34">
        <f t="shared" si="54"/>
        <v>0</v>
      </c>
      <c r="AW19" s="34">
        <f t="shared" si="54"/>
        <v>0</v>
      </c>
      <c r="AX19" s="34">
        <f t="shared" si="54"/>
        <v>0</v>
      </c>
      <c r="AY19" s="34">
        <f t="shared" si="54"/>
        <v>0</v>
      </c>
      <c r="AZ19" s="34">
        <f t="shared" si="54"/>
        <v>0</v>
      </c>
      <c r="BA19" s="34">
        <f t="shared" si="54"/>
        <v>0</v>
      </c>
      <c r="BB19" s="34">
        <f t="shared" si="54"/>
        <v>0</v>
      </c>
      <c r="BC19" s="34">
        <f t="shared" si="54"/>
        <v>0</v>
      </c>
      <c r="BD19" s="34">
        <f t="shared" si="54"/>
        <v>0</v>
      </c>
      <c r="BE19" s="34">
        <f t="shared" si="54"/>
        <v>0</v>
      </c>
      <c r="BF19" s="34">
        <f t="shared" si="54"/>
        <v>0</v>
      </c>
      <c r="BG19" s="34">
        <f t="shared" si="54"/>
        <v>0</v>
      </c>
      <c r="BH19" s="34">
        <f t="shared" si="54"/>
        <v>0</v>
      </c>
      <c r="BI19" s="34">
        <f t="shared" si="54"/>
        <v>0</v>
      </c>
      <c r="BJ19" s="34">
        <f t="shared" si="54"/>
        <v>0</v>
      </c>
      <c r="BK19" s="34">
        <f t="shared" si="54"/>
        <v>0</v>
      </c>
    </row>
    <row r="20" spans="1:63" s="7" customFormat="1" x14ac:dyDescent="0.2">
      <c r="A20" s="148"/>
      <c r="B20" s="7" t="str">
        <f>'Market Assumptions'!A9</f>
        <v>N/A</v>
      </c>
      <c r="C20" s="51"/>
      <c r="D20" s="34">
        <f t="shared" ref="D20:AI20" si="55">TotalUnitsSold7*ExpectedSoldCompetition</f>
        <v>0</v>
      </c>
      <c r="E20" s="34">
        <f t="shared" si="55"/>
        <v>0</v>
      </c>
      <c r="F20" s="34">
        <f t="shared" si="55"/>
        <v>0</v>
      </c>
      <c r="G20" s="34">
        <f t="shared" si="55"/>
        <v>0</v>
      </c>
      <c r="H20" s="34">
        <f t="shared" si="55"/>
        <v>0</v>
      </c>
      <c r="I20" s="34">
        <f t="shared" si="55"/>
        <v>0</v>
      </c>
      <c r="J20" s="34">
        <f t="shared" si="55"/>
        <v>0</v>
      </c>
      <c r="K20" s="34">
        <f t="shared" si="55"/>
        <v>0</v>
      </c>
      <c r="L20" s="34">
        <f t="shared" si="55"/>
        <v>0</v>
      </c>
      <c r="M20" s="34">
        <f t="shared" si="55"/>
        <v>0</v>
      </c>
      <c r="N20" s="34">
        <f t="shared" si="55"/>
        <v>0</v>
      </c>
      <c r="O20" s="34">
        <f t="shared" si="55"/>
        <v>0</v>
      </c>
      <c r="P20" s="34">
        <f t="shared" si="55"/>
        <v>0</v>
      </c>
      <c r="Q20" s="34">
        <f t="shared" si="55"/>
        <v>0</v>
      </c>
      <c r="R20" s="34">
        <f t="shared" si="55"/>
        <v>0</v>
      </c>
      <c r="S20" s="34">
        <f t="shared" si="55"/>
        <v>0</v>
      </c>
      <c r="T20" s="34">
        <f t="shared" si="55"/>
        <v>0</v>
      </c>
      <c r="U20" s="34">
        <f t="shared" si="55"/>
        <v>0</v>
      </c>
      <c r="V20" s="34">
        <f t="shared" si="55"/>
        <v>0</v>
      </c>
      <c r="W20" s="34">
        <f t="shared" si="55"/>
        <v>0</v>
      </c>
      <c r="X20" s="34">
        <f t="shared" si="55"/>
        <v>0</v>
      </c>
      <c r="Y20" s="34">
        <f t="shared" si="55"/>
        <v>0</v>
      </c>
      <c r="Z20" s="34">
        <f t="shared" si="55"/>
        <v>0</v>
      </c>
      <c r="AA20" s="34">
        <f t="shared" si="55"/>
        <v>0</v>
      </c>
      <c r="AB20" s="34">
        <f t="shared" si="55"/>
        <v>0</v>
      </c>
      <c r="AC20" s="34">
        <f t="shared" si="55"/>
        <v>0</v>
      </c>
      <c r="AD20" s="34">
        <f t="shared" si="55"/>
        <v>0</v>
      </c>
      <c r="AE20" s="34">
        <f t="shared" si="55"/>
        <v>0</v>
      </c>
      <c r="AF20" s="34">
        <f t="shared" si="55"/>
        <v>0</v>
      </c>
      <c r="AG20" s="34">
        <f t="shared" si="55"/>
        <v>0</v>
      </c>
      <c r="AH20" s="34">
        <f t="shared" si="55"/>
        <v>0</v>
      </c>
      <c r="AI20" s="34">
        <f t="shared" si="55"/>
        <v>0</v>
      </c>
      <c r="AJ20" s="34">
        <f t="shared" ref="AJ20:BK20" si="56">TotalUnitsSold7*ExpectedSoldCompetition</f>
        <v>0</v>
      </c>
      <c r="AK20" s="34">
        <f t="shared" si="56"/>
        <v>0</v>
      </c>
      <c r="AL20" s="34">
        <f t="shared" si="56"/>
        <v>0</v>
      </c>
      <c r="AM20" s="34">
        <f t="shared" si="56"/>
        <v>0</v>
      </c>
      <c r="AN20" s="34">
        <f t="shared" si="56"/>
        <v>0</v>
      </c>
      <c r="AO20" s="34">
        <f t="shared" si="56"/>
        <v>0</v>
      </c>
      <c r="AP20" s="34">
        <f t="shared" si="56"/>
        <v>0</v>
      </c>
      <c r="AQ20" s="34">
        <f t="shared" si="56"/>
        <v>0</v>
      </c>
      <c r="AR20" s="34">
        <f t="shared" si="56"/>
        <v>0</v>
      </c>
      <c r="AS20" s="34">
        <f t="shared" si="56"/>
        <v>0</v>
      </c>
      <c r="AT20" s="34">
        <f t="shared" si="56"/>
        <v>0</v>
      </c>
      <c r="AU20" s="34">
        <f t="shared" si="56"/>
        <v>0</v>
      </c>
      <c r="AV20" s="34">
        <f t="shared" si="56"/>
        <v>0</v>
      </c>
      <c r="AW20" s="34">
        <f t="shared" si="56"/>
        <v>0</v>
      </c>
      <c r="AX20" s="34">
        <f t="shared" si="56"/>
        <v>0</v>
      </c>
      <c r="AY20" s="34">
        <f t="shared" si="56"/>
        <v>0</v>
      </c>
      <c r="AZ20" s="34">
        <f t="shared" si="56"/>
        <v>0</v>
      </c>
      <c r="BA20" s="34">
        <f t="shared" si="56"/>
        <v>0</v>
      </c>
      <c r="BB20" s="34">
        <f t="shared" si="56"/>
        <v>0</v>
      </c>
      <c r="BC20" s="34">
        <f t="shared" si="56"/>
        <v>0</v>
      </c>
      <c r="BD20" s="34">
        <f t="shared" si="56"/>
        <v>0</v>
      </c>
      <c r="BE20" s="34">
        <f t="shared" si="56"/>
        <v>0</v>
      </c>
      <c r="BF20" s="34">
        <f t="shared" si="56"/>
        <v>0</v>
      </c>
      <c r="BG20" s="34">
        <f t="shared" si="56"/>
        <v>0</v>
      </c>
      <c r="BH20" s="34">
        <f t="shared" si="56"/>
        <v>0</v>
      </c>
      <c r="BI20" s="34">
        <f t="shared" si="56"/>
        <v>0</v>
      </c>
      <c r="BJ20" s="34">
        <f t="shared" si="56"/>
        <v>0</v>
      </c>
      <c r="BK20" s="34">
        <f t="shared" si="56"/>
        <v>0</v>
      </c>
    </row>
    <row r="21" spans="1:63" s="7" customFormat="1" x14ac:dyDescent="0.2">
      <c r="A21" s="148"/>
      <c r="B21" s="7" t="str">
        <f>'Market Assumptions'!A10</f>
        <v>N/A</v>
      </c>
      <c r="C21" s="51"/>
      <c r="D21" s="34">
        <f t="shared" ref="D21:AI21" si="57">TotalUnitsSold8*ExpectedSoldCompetition</f>
        <v>0</v>
      </c>
      <c r="E21" s="34">
        <f t="shared" si="57"/>
        <v>0</v>
      </c>
      <c r="F21" s="34">
        <f t="shared" si="57"/>
        <v>0</v>
      </c>
      <c r="G21" s="34">
        <f t="shared" si="57"/>
        <v>0</v>
      </c>
      <c r="H21" s="34">
        <f t="shared" si="57"/>
        <v>0</v>
      </c>
      <c r="I21" s="34">
        <f t="shared" si="57"/>
        <v>0</v>
      </c>
      <c r="J21" s="34">
        <f t="shared" si="57"/>
        <v>0</v>
      </c>
      <c r="K21" s="34">
        <f t="shared" si="57"/>
        <v>0</v>
      </c>
      <c r="L21" s="34">
        <f t="shared" si="57"/>
        <v>0</v>
      </c>
      <c r="M21" s="34">
        <f t="shared" si="57"/>
        <v>0</v>
      </c>
      <c r="N21" s="34">
        <f t="shared" si="57"/>
        <v>0</v>
      </c>
      <c r="O21" s="34">
        <f t="shared" si="57"/>
        <v>0</v>
      </c>
      <c r="P21" s="34">
        <f t="shared" si="57"/>
        <v>0</v>
      </c>
      <c r="Q21" s="34">
        <f t="shared" si="57"/>
        <v>0</v>
      </c>
      <c r="R21" s="34">
        <f t="shared" si="57"/>
        <v>0</v>
      </c>
      <c r="S21" s="34">
        <f t="shared" si="57"/>
        <v>0</v>
      </c>
      <c r="T21" s="34">
        <f t="shared" si="57"/>
        <v>0</v>
      </c>
      <c r="U21" s="34">
        <f t="shared" si="57"/>
        <v>0</v>
      </c>
      <c r="V21" s="34">
        <f t="shared" si="57"/>
        <v>0</v>
      </c>
      <c r="W21" s="34">
        <f t="shared" si="57"/>
        <v>0</v>
      </c>
      <c r="X21" s="34">
        <f t="shared" si="57"/>
        <v>0</v>
      </c>
      <c r="Y21" s="34">
        <f t="shared" si="57"/>
        <v>0</v>
      </c>
      <c r="Z21" s="34">
        <f t="shared" si="57"/>
        <v>0</v>
      </c>
      <c r="AA21" s="34">
        <f t="shared" si="57"/>
        <v>0</v>
      </c>
      <c r="AB21" s="34">
        <f t="shared" si="57"/>
        <v>0</v>
      </c>
      <c r="AC21" s="34">
        <f t="shared" si="57"/>
        <v>0</v>
      </c>
      <c r="AD21" s="34">
        <f t="shared" si="57"/>
        <v>0</v>
      </c>
      <c r="AE21" s="34">
        <f t="shared" si="57"/>
        <v>0</v>
      </c>
      <c r="AF21" s="34">
        <f t="shared" si="57"/>
        <v>0</v>
      </c>
      <c r="AG21" s="34">
        <f t="shared" si="57"/>
        <v>0</v>
      </c>
      <c r="AH21" s="34">
        <f t="shared" si="57"/>
        <v>0</v>
      </c>
      <c r="AI21" s="34">
        <f t="shared" si="57"/>
        <v>0</v>
      </c>
      <c r="AJ21" s="34">
        <f t="shared" ref="AJ21:BK21" si="58">TotalUnitsSold8*ExpectedSoldCompetition</f>
        <v>0</v>
      </c>
      <c r="AK21" s="34">
        <f t="shared" si="58"/>
        <v>0</v>
      </c>
      <c r="AL21" s="34">
        <f t="shared" si="58"/>
        <v>0</v>
      </c>
      <c r="AM21" s="34">
        <f t="shared" si="58"/>
        <v>0</v>
      </c>
      <c r="AN21" s="34">
        <f t="shared" si="58"/>
        <v>0</v>
      </c>
      <c r="AO21" s="34">
        <f t="shared" si="58"/>
        <v>0</v>
      </c>
      <c r="AP21" s="34">
        <f t="shared" si="58"/>
        <v>0</v>
      </c>
      <c r="AQ21" s="34">
        <f t="shared" si="58"/>
        <v>0</v>
      </c>
      <c r="AR21" s="34">
        <f t="shared" si="58"/>
        <v>0</v>
      </c>
      <c r="AS21" s="34">
        <f t="shared" si="58"/>
        <v>0</v>
      </c>
      <c r="AT21" s="34">
        <f t="shared" si="58"/>
        <v>0</v>
      </c>
      <c r="AU21" s="34">
        <f t="shared" si="58"/>
        <v>0</v>
      </c>
      <c r="AV21" s="34">
        <f t="shared" si="58"/>
        <v>0</v>
      </c>
      <c r="AW21" s="34">
        <f t="shared" si="58"/>
        <v>0</v>
      </c>
      <c r="AX21" s="34">
        <f t="shared" si="58"/>
        <v>0</v>
      </c>
      <c r="AY21" s="34">
        <f t="shared" si="58"/>
        <v>0</v>
      </c>
      <c r="AZ21" s="34">
        <f t="shared" si="58"/>
        <v>0</v>
      </c>
      <c r="BA21" s="34">
        <f t="shared" si="58"/>
        <v>0</v>
      </c>
      <c r="BB21" s="34">
        <f t="shared" si="58"/>
        <v>0</v>
      </c>
      <c r="BC21" s="34">
        <f t="shared" si="58"/>
        <v>0</v>
      </c>
      <c r="BD21" s="34">
        <f t="shared" si="58"/>
        <v>0</v>
      </c>
      <c r="BE21" s="34">
        <f t="shared" si="58"/>
        <v>0</v>
      </c>
      <c r="BF21" s="34">
        <f t="shared" si="58"/>
        <v>0</v>
      </c>
      <c r="BG21" s="34">
        <f t="shared" si="58"/>
        <v>0</v>
      </c>
      <c r="BH21" s="34">
        <f t="shared" si="58"/>
        <v>0</v>
      </c>
      <c r="BI21" s="34">
        <f t="shared" si="58"/>
        <v>0</v>
      </c>
      <c r="BJ21" s="34">
        <f t="shared" si="58"/>
        <v>0</v>
      </c>
      <c r="BK21" s="34">
        <f t="shared" si="58"/>
        <v>0</v>
      </c>
    </row>
    <row r="22" spans="1:63" s="20" customFormat="1" x14ac:dyDescent="0.2">
      <c r="A22" s="148"/>
      <c r="B22" s="19" t="s">
        <v>46</v>
      </c>
      <c r="C22" s="53"/>
      <c r="D22" s="29">
        <f>SUM(D14:D21)</f>
        <v>98.825145398029349</v>
      </c>
      <c r="E22" s="29">
        <f t="shared" ref="E22:AM22" si="59">SUM(E14:E21)</f>
        <v>117.31946373203449</v>
      </c>
      <c r="F22" s="29">
        <f t="shared" si="59"/>
        <v>138.80186039545336</v>
      </c>
      <c r="G22" s="29">
        <f t="shared" si="59"/>
        <v>163.66021444203466</v>
      </c>
      <c r="H22" s="29">
        <f t="shared" si="59"/>
        <v>192.31517547493092</v>
      </c>
      <c r="I22" s="29">
        <f t="shared" si="59"/>
        <v>225.21981945239111</v>
      </c>
      <c r="J22" s="29">
        <f t="shared" si="59"/>
        <v>262.85864651626866</v>
      </c>
      <c r="K22" s="29">
        <f t="shared" si="59"/>
        <v>305.74582796454825</v>
      </c>
      <c r="L22" s="29">
        <f t="shared" si="59"/>
        <v>354.4226127477209</v>
      </c>
      <c r="M22" s="29">
        <f t="shared" si="59"/>
        <v>409.45381031313406</v>
      </c>
      <c r="N22" s="29">
        <f t="shared" si="59"/>
        <v>471.42327657520667</v>
      </c>
      <c r="O22" s="29">
        <f t="shared" si="59"/>
        <v>540.92834350424869</v>
      </c>
      <c r="P22" s="29">
        <f t="shared" si="59"/>
        <v>618.57315045565133</v>
      </c>
      <c r="Q22" s="29">
        <f t="shared" si="59"/>
        <v>704.960856941374</v>
      </c>
      <c r="R22" s="29">
        <f t="shared" si="59"/>
        <v>800.68474197352066</v>
      </c>
      <c r="S22" s="29">
        <f t="shared" si="59"/>
        <v>906.31822412943256</v>
      </c>
      <c r="T22" s="29">
        <f t="shared" si="59"/>
        <v>1022.403868672709</v>
      </c>
      <c r="U22" s="29">
        <f t="shared" si="59"/>
        <v>1149.4414828142908</v>
      </c>
      <c r="V22" s="29">
        <f t="shared" si="59"/>
        <v>1287.8754367358183</v>
      </c>
      <c r="W22" s="29">
        <f t="shared" si="59"/>
        <v>1438.0813853767063</v>
      </c>
      <c r="X22" s="29">
        <f t="shared" si="59"/>
        <v>1600.352603105156</v>
      </c>
      <c r="Y22" s="29">
        <f t="shared" si="59"/>
        <v>1774.8861790188564</v>
      </c>
      <c r="Z22" s="29">
        <f t="shared" si="59"/>
        <v>1961.7693534223786</v>
      </c>
      <c r="AA22" s="29">
        <f t="shared" si="59"/>
        <v>2160.9663046128599</v>
      </c>
      <c r="AB22" s="29">
        <f t="shared" si="59"/>
        <v>2372.3057180729929</v>
      </c>
      <c r="AC22" s="29">
        <f t="shared" si="59"/>
        <v>2595.4694861612952</v>
      </c>
      <c r="AD22" s="29">
        <f t="shared" si="59"/>
        <v>2829.982894145578</v>
      </c>
      <c r="AE22" s="29">
        <f t="shared" si="59"/>
        <v>3075.2066468493922</v>
      </c>
      <c r="AF22" s="29">
        <f t="shared" si="59"/>
        <v>3330.3310783949332</v>
      </c>
      <c r="AG22" s="29">
        <f t="shared" si="59"/>
        <v>3594.3728649298582</v>
      </c>
      <c r="AH22" s="29">
        <f t="shared" si="59"/>
        <v>3866.1745265436311</v>
      </c>
      <c r="AI22" s="29">
        <f t="shared" si="59"/>
        <v>4144.4069599022614</v>
      </c>
      <c r="AJ22" s="29">
        <f t="shared" si="59"/>
        <v>4427.5751879499003</v>
      </c>
      <c r="AK22" s="29">
        <f t="shared" si="59"/>
        <v>4714.027448233358</v>
      </c>
      <c r="AL22" s="29">
        <f t="shared" si="59"/>
        <v>5001.967668313272</v>
      </c>
      <c r="AM22" s="29">
        <f t="shared" si="59"/>
        <v>5289.4712970240635</v>
      </c>
      <c r="AN22" s="29">
        <f t="shared" ref="AN22" si="60">SUM(AN14:AN21)</f>
        <v>5574.5043760861381</v>
      </c>
      <c r="AO22" s="29">
        <f t="shared" ref="AO22" si="61">SUM(AO14:AO21)</f>
        <v>5854.9456501050117</v>
      </c>
      <c r="AP22" s="29">
        <f t="shared" ref="AP22" si="62">SUM(AP14:AP21)</f>
        <v>6128.6114268862293</v>
      </c>
      <c r="AQ22" s="29">
        <f t="shared" ref="AQ22" si="63">SUM(AQ14:AQ21)</f>
        <v>6393.282816979814</v>
      </c>
      <c r="AR22" s="29">
        <f t="shared" ref="AR22" si="64">SUM(AR14:AR21)</f>
        <v>6646.7349042024671</v>
      </c>
      <c r="AS22" s="29">
        <f t="shared" ref="AS22" si="65">SUM(AS14:AS21)</f>
        <v>6886.7673302957401</v>
      </c>
      <c r="AT22" s="29">
        <f t="shared" ref="AT22" si="66">SUM(AT14:AT21)</f>
        <v>7111.2357194049237</v>
      </c>
      <c r="AU22" s="29">
        <f t="shared" ref="AU22" si="67">SUM(AU14:AU21)</f>
        <v>7318.083324010142</v>
      </c>
      <c r="AV22" s="29">
        <f t="shared" ref="AV22" si="68">SUM(AV14:AV21)</f>
        <v>7505.3722452103584</v>
      </c>
      <c r="AW22" s="29">
        <f t="shared" ref="AW22" si="69">SUM(AW14:AW21)</f>
        <v>7671.3135683490254</v>
      </c>
      <c r="AX22" s="29">
        <f t="shared" ref="AX22" si="70">SUM(AX14:AX21)</f>
        <v>7814.2957607922581</v>
      </c>
      <c r="AY22" s="29">
        <f t="shared" ref="AY22" si="71">SUM(AY14:AY21)</f>
        <v>7932.9107026259817</v>
      </c>
      <c r="AZ22" s="29">
        <f t="shared" ref="AZ22" si="72">SUM(AZ14:AZ21)</f>
        <v>8025.9767628430236</v>
      </c>
      <c r="BA22" s="29">
        <f t="shared" ref="BA22" si="73">SUM(BA14:BA21)</f>
        <v>8092.5583924252423</v>
      </c>
      <c r="BB22" s="29">
        <f t="shared" ref="BB22" si="74">SUM(BB14:BB21)</f>
        <v>8131.9817800845076</v>
      </c>
      <c r="BC22" s="29">
        <f t="shared" ref="BC22" si="75">SUM(BC14:BC21)</f>
        <v>8143.8462043155469</v>
      </c>
      <c r="BD22" s="29">
        <f t="shared" ref="BD22" si="76">SUM(BD14:BD21)</f>
        <v>8128.0308143131251</v>
      </c>
      <c r="BE22" s="29">
        <f t="shared" ref="BE22" si="77">SUM(BE14:BE21)</f>
        <v>8084.6966792895164</v>
      </c>
      <c r="BF22" s="29">
        <f t="shared" ref="BF22" si="78">SUM(BF14:BF21)</f>
        <v>8014.2840575980317</v>
      </c>
      <c r="BG22" s="29">
        <f t="shared" ref="BG22" si="79">SUM(BG14:BG21)</f>
        <v>7917.5049504083045</v>
      </c>
      <c r="BH22" s="29">
        <f t="shared" ref="BH22" si="80">SUM(BH14:BH21)</f>
        <v>7795.3311160582343</v>
      </c>
      <c r="BI22" s="29">
        <f t="shared" ref="BI22" si="81">SUM(BI14:BI21)</f>
        <v>7648.9778272239855</v>
      </c>
      <c r="BJ22" s="29">
        <f t="shared" ref="BJ22" si="82">SUM(BJ14:BJ21)</f>
        <v>7479.8837505509091</v>
      </c>
      <c r="BK22" s="29">
        <f t="shared" ref="BK22" si="83">SUM(BK14:BK21)</f>
        <v>7289.6874144802496</v>
      </c>
    </row>
    <row r="23" spans="1:63" x14ac:dyDescent="0.2">
      <c r="A23" s="148"/>
      <c r="B23" s="18"/>
      <c r="C23" s="9"/>
      <c r="AN23"/>
    </row>
    <row r="24" spans="1:63" s="7" customFormat="1" x14ac:dyDescent="0.2">
      <c r="A24" s="148"/>
      <c r="B24" s="7" t="str">
        <f>'Market Assumptions'!A3</f>
        <v>Target Segment 1</v>
      </c>
      <c r="C24" s="51"/>
      <c r="D24" s="34">
        <f>IF(RepeatPurchase1 = RepeatMonthly,SUMPRODUCT(Units1ThreeYears,RepeatMatrix!$B3:$AK3),0)</f>
        <v>0</v>
      </c>
      <c r="E24" s="34">
        <f>IF(RepeatPurchase1 = RepeatMonthly,SUMPRODUCT(Units1ThreeYears,RepeatMatrix!$B4:$AK4),0)</f>
        <v>0</v>
      </c>
      <c r="F24" s="34">
        <f>IF(RepeatPurchase1 = RepeatMonthly,SUMPRODUCT(Units1ThreeYears,RepeatMatrix!$B5:$AK5),0)</f>
        <v>0</v>
      </c>
      <c r="G24" s="34">
        <f>IF(RepeatPurchase1 = RepeatMonthly,SUMPRODUCT(Units1ThreeYears,RepeatMatrix!$B6:$AK6),0)</f>
        <v>0</v>
      </c>
      <c r="H24" s="34">
        <f>IF(RepeatPurchase1 = RepeatMonthly,SUMPRODUCT(Units1ThreeYears,RepeatMatrix!$B7:$AK7),0)</f>
        <v>0</v>
      </c>
      <c r="I24" s="34">
        <f>IF(RepeatPurchase1 = RepeatMonthly,SUMPRODUCT(Units1ThreeYears,RepeatMatrix!$B8:$AK8),0)</f>
        <v>0</v>
      </c>
      <c r="J24" s="34">
        <f>IF(RepeatPurchase1 = RepeatMonthly,SUMPRODUCT(Units1ThreeYears,RepeatMatrix!$B9:$AK9),0)</f>
        <v>0</v>
      </c>
      <c r="K24" s="34">
        <f>IF(RepeatPurchase1 = RepeatMonthly,SUMPRODUCT(Units1ThreeYears,RepeatMatrix!$B10:$AK10),0)</f>
        <v>0</v>
      </c>
      <c r="L24" s="34">
        <f>IF(RepeatPurchase1 = RepeatMonthly,SUMPRODUCT(Units1ThreeYears,RepeatMatrix!$B11:$AK11),0)</f>
        <v>0</v>
      </c>
      <c r="M24" s="34">
        <f>IF(RepeatPurchase1 = RepeatMonthly,SUMPRODUCT(Units1ThreeYears,RepeatMatrix!$B12:$AK12),0)</f>
        <v>0</v>
      </c>
      <c r="N24" s="34">
        <f>IF(RepeatPurchase1 = RepeatMonthly,SUMPRODUCT(Units1ThreeYears,RepeatMatrix!$B13:$AK13),0)</f>
        <v>0</v>
      </c>
      <c r="O24" s="34">
        <f>IF(RepeatPurchase1 = RepeatMonthly,SUMPRODUCT(Units1ThreeYears,RepeatMatrix!$B14:$AK14),0)</f>
        <v>0</v>
      </c>
      <c r="P24" s="34">
        <f>IF(RepeatPurchase1 = RepeatMonthly,SUMPRODUCT(Units1ThreeYears,RepeatMatrix!$B15:$AK15),0)</f>
        <v>0</v>
      </c>
      <c r="Q24" s="34">
        <f>IF(RepeatPurchase1 = RepeatMonthly,SUMPRODUCT(Units1ThreeYears,RepeatMatrix!$B16:$AK16),0)</f>
        <v>0</v>
      </c>
      <c r="R24" s="34">
        <f>IF(RepeatPurchase1 = RepeatMonthly,SUMPRODUCT(Units1ThreeYears,RepeatMatrix!$B17:$AK17),0)</f>
        <v>0</v>
      </c>
      <c r="S24" s="34">
        <f>IF(RepeatPurchase1 = RepeatMonthly,SUMPRODUCT(Units1ThreeYears,RepeatMatrix!$B18:$AK18),0)</f>
        <v>0</v>
      </c>
      <c r="T24" s="34">
        <f>IF(RepeatPurchase1 = RepeatMonthly,SUMPRODUCT(Units1ThreeYears,RepeatMatrix!$B19:$AK19),0)</f>
        <v>0</v>
      </c>
      <c r="U24" s="34">
        <f>IF(RepeatPurchase1 = RepeatMonthly,SUMPRODUCT(Units1ThreeYears,RepeatMatrix!$B20:$AK20),0)</f>
        <v>0</v>
      </c>
      <c r="V24" s="34">
        <f>IF(RepeatPurchase1 = RepeatMonthly,SUMPRODUCT(Units1ThreeYears,RepeatMatrix!$B21:$AK21),0)</f>
        <v>0</v>
      </c>
      <c r="W24" s="34">
        <f>IF(RepeatPurchase1 = RepeatMonthly,SUMPRODUCT(Units1ThreeYears,RepeatMatrix!$B22:$AK22),0)</f>
        <v>0</v>
      </c>
      <c r="X24" s="34">
        <f>IF(RepeatPurchase1 = RepeatMonthly,SUMPRODUCT(Units1ThreeYears,RepeatMatrix!$B23:$AK23),0)</f>
        <v>0</v>
      </c>
      <c r="Y24" s="34">
        <f>IF(RepeatPurchase1 = RepeatMonthly,SUMPRODUCT(Units1ThreeYears,RepeatMatrix!$B24:$AK24),0)</f>
        <v>0</v>
      </c>
      <c r="Z24" s="34">
        <f>IF(RepeatPurchase1 = RepeatMonthly,SUMPRODUCT(Units1ThreeYears,RepeatMatrix!$B25:$AK25),0)</f>
        <v>0</v>
      </c>
      <c r="AA24" s="34">
        <f>IF(RepeatPurchase1 = RepeatMonthly,SUMPRODUCT(Units1ThreeYears,RepeatMatrix!$B26:$AK26),0)</f>
        <v>0</v>
      </c>
      <c r="AB24" s="34">
        <f>IF(RepeatPurchase1 = RepeatMonthly,SUMPRODUCT(Units1ThreeYears,RepeatMatrix!$B27:$AK27),0)</f>
        <v>0</v>
      </c>
      <c r="AC24" s="34">
        <f>IF(RepeatPurchase1 = RepeatMonthly,SUMPRODUCT(Units1ThreeYears,RepeatMatrix!$B28:$AK28),0)</f>
        <v>0</v>
      </c>
      <c r="AD24" s="34">
        <f>IF(RepeatPurchase1 = RepeatMonthly,SUMPRODUCT(Units1ThreeYears,RepeatMatrix!$B29:$AK29),0)</f>
        <v>0</v>
      </c>
      <c r="AE24" s="34">
        <f>IF(RepeatPurchase1 = RepeatMonthly,SUMPRODUCT(Units1ThreeYears,RepeatMatrix!$B30:$AK30),0)</f>
        <v>0</v>
      </c>
      <c r="AF24" s="34">
        <f>IF(RepeatPurchase1 = RepeatMonthly,SUMPRODUCT(Units1ThreeYears,RepeatMatrix!$B31:$AK31),0)</f>
        <v>0</v>
      </c>
      <c r="AG24" s="34">
        <f>IF(RepeatPurchase1 = RepeatMonthly,SUMPRODUCT(Units1ThreeYears,RepeatMatrix!$B32:$AK32),0)</f>
        <v>0</v>
      </c>
      <c r="AH24" s="34">
        <f>IF(RepeatPurchase1 = RepeatMonthly,SUMPRODUCT(Units1ThreeYears,RepeatMatrix!$B33:$AK33),0)</f>
        <v>0</v>
      </c>
      <c r="AI24" s="34">
        <f>IF(RepeatPurchase1 = RepeatMonthly,SUMPRODUCT(Units1ThreeYears,RepeatMatrix!$B34:$AK34),0)</f>
        <v>0</v>
      </c>
      <c r="AJ24" s="34">
        <f>IF(RepeatPurchase1 = RepeatMonthly,SUMPRODUCT(Units1ThreeYears,RepeatMatrix!$B35:$AK35),0)</f>
        <v>0</v>
      </c>
      <c r="AK24" s="34">
        <f>IF(RepeatPurchase1 = RepeatMonthly,SUMPRODUCT(Units1ThreeYears,RepeatMatrix!$B36:$AK36),0)</f>
        <v>0</v>
      </c>
      <c r="AL24" s="34">
        <f>IF(RepeatPurchase1 = RepeatMonthly,SUMPRODUCT(Units1ThreeYears,RepeatMatrix!$B37:$AK37),0)</f>
        <v>0</v>
      </c>
      <c r="AM24" s="34">
        <f>IF(RepeatPurchase1 = RepeatMonthly,SUMPRODUCT(Units1ThreeYears,RepeatMatrix!$B38:$AK38),0)</f>
        <v>0</v>
      </c>
      <c r="AN24" s="34">
        <f>IF(RepeatPurchase1 = RepeatMonthly,SUMPRODUCT(Units1ThreeYears,RepeatMatrix!$B38:$AK38),0)</f>
        <v>0</v>
      </c>
      <c r="AO24" s="34">
        <f>IF(RepeatPurchase1 = RepeatMonthly,SUMPRODUCT(Units1ThreeYears,RepeatMatrix!$B38:$AK38),0)</f>
        <v>0</v>
      </c>
      <c r="AP24" s="34">
        <f>IF(RepeatPurchase1 = RepeatMonthly,SUMPRODUCT(Units1ThreeYears,RepeatMatrix!$B38:$AK38),0)</f>
        <v>0</v>
      </c>
      <c r="AQ24" s="34">
        <f>IF(RepeatPurchase1 = RepeatMonthly,SUMPRODUCT(Units1ThreeYears,RepeatMatrix!$B38:$AK38),0)</f>
        <v>0</v>
      </c>
      <c r="AR24" s="34">
        <f>IF(RepeatPurchase1 = RepeatMonthly,SUMPRODUCT(Units1ThreeYears,RepeatMatrix!$B38:$AK38),0)</f>
        <v>0</v>
      </c>
      <c r="AS24" s="34">
        <f>IF(RepeatPurchase1 = RepeatMonthly,SUMPRODUCT(Units1ThreeYears,RepeatMatrix!$B38:$AK38),0)</f>
        <v>0</v>
      </c>
      <c r="AT24" s="34">
        <f>IF(RepeatPurchase1 = RepeatMonthly,SUMPRODUCT(Units1ThreeYears,RepeatMatrix!$B38:$AK38),0)</f>
        <v>0</v>
      </c>
      <c r="AU24" s="34">
        <f>IF(RepeatPurchase1 = RepeatMonthly,SUMPRODUCT(Units1ThreeYears,RepeatMatrix!$B38:$AK38),0)</f>
        <v>0</v>
      </c>
      <c r="AV24" s="34">
        <f>IF(RepeatPurchase1 = RepeatMonthly,SUMPRODUCT(Units1ThreeYears,RepeatMatrix!$B38:$AK38),0)</f>
        <v>0</v>
      </c>
      <c r="AW24" s="34">
        <f>IF(RepeatPurchase1 = RepeatMonthly,SUMPRODUCT(Units1ThreeYears,RepeatMatrix!$B38:$AK38),0)</f>
        <v>0</v>
      </c>
      <c r="AX24" s="34">
        <f>IF(RepeatPurchase1 = RepeatMonthly,SUMPRODUCT(Units1ThreeYears,RepeatMatrix!$B38:$AK38),0)</f>
        <v>0</v>
      </c>
      <c r="AY24" s="34">
        <f>IF(RepeatPurchase1 = RepeatMonthly,SUMPRODUCT(Units1ThreeYears,RepeatMatrix!$B38:$AK38),0)</f>
        <v>0</v>
      </c>
      <c r="AZ24" s="34">
        <f>IF(RepeatPurchase1 = RepeatMonthly,SUMPRODUCT(Units1ThreeYears,RepeatMatrix!$B38:$AK38),0)</f>
        <v>0</v>
      </c>
      <c r="BA24" s="34">
        <f>IF(RepeatPurchase1 = RepeatMonthly,SUMPRODUCT(Units1ThreeYears,RepeatMatrix!$B38:$AK38),0)</f>
        <v>0</v>
      </c>
      <c r="BB24" s="34">
        <f>IF(RepeatPurchase1 = RepeatMonthly,SUMPRODUCT(Units1ThreeYears,RepeatMatrix!$B38:$AK38),0)</f>
        <v>0</v>
      </c>
      <c r="BC24" s="34">
        <f>IF(RepeatPurchase1 = RepeatMonthly,SUMPRODUCT(Units1ThreeYears,RepeatMatrix!$B38:$AK38),0)</f>
        <v>0</v>
      </c>
      <c r="BD24" s="34">
        <f>IF(RepeatPurchase1 = RepeatMonthly,SUMPRODUCT(Units1ThreeYears,RepeatMatrix!$B38:$AK38),0)</f>
        <v>0</v>
      </c>
      <c r="BE24" s="34">
        <f>IF(RepeatPurchase1 = RepeatMonthly,SUMPRODUCT(Units1ThreeYears,RepeatMatrix!$B38:$AK38),0)</f>
        <v>0</v>
      </c>
      <c r="BF24" s="34">
        <f>IF(RepeatPurchase1 = RepeatMonthly,SUMPRODUCT(Units1ThreeYears,RepeatMatrix!$B38:$AK38),0)</f>
        <v>0</v>
      </c>
      <c r="BG24" s="34">
        <f>IF(RepeatPurchase1 = RepeatMonthly,SUMPRODUCT(Units1ThreeYears,RepeatMatrix!$B38:$AK38),0)</f>
        <v>0</v>
      </c>
      <c r="BH24" s="34">
        <f>IF(RepeatPurchase1 = RepeatMonthly,SUMPRODUCT(Units1ThreeYears,RepeatMatrix!$B38:$AK38),0)</f>
        <v>0</v>
      </c>
      <c r="BI24" s="34">
        <f>IF(RepeatPurchase1 = RepeatMonthly,SUMPRODUCT(Units1ThreeYears,RepeatMatrix!$B38:$AK38),0)</f>
        <v>0</v>
      </c>
      <c r="BJ24" s="34">
        <f>IF(RepeatPurchase1 = RepeatMonthly,SUMPRODUCT(Units1ThreeYears,RepeatMatrix!$B38:$AK38),0)</f>
        <v>0</v>
      </c>
      <c r="BK24" s="34">
        <f>IF(RepeatPurchase1 = RepeatMonthly,SUMPRODUCT(Units1ThreeYears,RepeatMatrix!$B38:$AK38),0)</f>
        <v>0</v>
      </c>
    </row>
    <row r="25" spans="1:63" s="7" customFormat="1" x14ac:dyDescent="0.2">
      <c r="A25" s="148"/>
      <c r="B25" s="7" t="str">
        <f>'Market Assumptions'!A4</f>
        <v>Target Segment 2</v>
      </c>
      <c r="C25" s="51"/>
      <c r="D25" s="34">
        <f>IF(RepeatPurchase2 = RepeatMonthly, SUMPRODUCT(Units2ThreeYears, RepeatMatrix!$AN3:$BW3),0)</f>
        <v>0</v>
      </c>
      <c r="E25" s="34">
        <f>IF(RepeatPurchase2 = RepeatMonthly,SUMPRODUCT(Units2ThreeYears, RepeatMatrix!$AN4:$BW4),0)</f>
        <v>12.706090122603772</v>
      </c>
      <c r="F25" s="34">
        <f>IF(RepeatPurchase2 = RepeatMonthly,SUMPRODUCT(Units2ThreeYears, RepeatMatrix!$AN5:$BW5),0)</f>
        <v>26.519412161604976</v>
      </c>
      <c r="G25" s="34">
        <f>IF(RepeatPurchase2 = RepeatMonthly,SUMPRODUCT(Units2ThreeYears, RepeatMatrix!$AN6:$BW6),0)</f>
        <v>41.713424424859909</v>
      </c>
      <c r="H25" s="34">
        <f>IF(RepeatPurchase2 = RepeatMonthly,SUMPRODUCT(Units2ThreeYears, RepeatMatrix!$AN7:$BW7),0)</f>
        <v>58.584109553492667</v>
      </c>
      <c r="I25" s="34">
        <f>IF(RepeatPurchase2 = RepeatMonthly,SUMPRODUCT(Units2ThreeYears,RepeatMatrix!$AN8:$BW8),0)</f>
        <v>77.451935444920238</v>
      </c>
      <c r="J25" s="34">
        <f>IF(RepeatPurchase2 = RepeatMonthly,SUMPRODUCT(Units2ThreeYears,RepeatMatrix!$AN9:$BW9),0)</f>
        <v>98.663575830021358</v>
      </c>
      <c r="K25" s="34">
        <f>IF(RepeatPurchase2 = RepeatMonthly,SUMPRODUCT(Units2ThreeYears,RepeatMatrix!$AN10:$BW10),0)</f>
        <v>122.59332994196805</v>
      </c>
      <c r="L25" s="34">
        <f>IF(RepeatPurchase2 = RepeatMonthly,SUMPRODUCT(Units2ThreeYears,RepeatMatrix!$AN11:$BW11),0)</f>
        <v>149.64417482892748</v>
      </c>
      <c r="M25" s="34">
        <f>IF(RepeatPurchase2 = RepeatMonthly,SUMPRODUCT(Units2ThreeYears,RepeatMatrix!$AN12:$BW12),0)</f>
        <v>180.24837898502739</v>
      </c>
      <c r="N25" s="34">
        <f>IF(RepeatPurchase2 = RepeatMonthly,SUMPRODUCT(Units2ThreeYears,RepeatMatrix!$AN13:$BW13),0)</f>
        <v>214.86760241249905</v>
      </c>
      <c r="O25" s="34">
        <f>IF(RepeatPurchase2 = RepeatMonthly,SUMPRODUCT(Units2ThreeYears,RepeatMatrix!$AN14:$BW14),0)</f>
        <v>253.99240630234721</v>
      </c>
      <c r="P25" s="34">
        <f>IF(RepeatPurchase2 = RepeatMonthly,SUMPRODUCT(Units2ThreeYears,RepeatMatrix!$AN15:$BW15),0)</f>
        <v>298.14109555123014</v>
      </c>
      <c r="Q25" s="34">
        <f>IF(RepeatPurchase2 = RepeatMonthly,SUMPRODUCT(Units2ThreeYears,RepeatMatrix!$AN16:$BW16),0)</f>
        <v>347.85781962611952</v>
      </c>
      <c r="R25" s="34">
        <f>IF(RepeatPurchase2 = RepeatMonthly,SUMPRODUCT(Units2ThreeYears,RepeatMatrix!$AN17:$BW17),0)</f>
        <v>403.70986212739854</v>
      </c>
      <c r="S25" s="34">
        <f>IF(RepeatPurchase2 = RepeatMonthly,SUMPRODUCT(Units2ThreeYears,RepeatMatrix!$AN18:$BW18),0)</f>
        <v>466.28405702553994</v>
      </c>
      <c r="T25" s="34">
        <f>IF(RepeatPurchase2 = RepeatMonthly,SUMPRODUCT(Units2ThreeYears,RepeatMatrix!$AN19:$BW19),0)</f>
        <v>536.18228013962721</v>
      </c>
      <c r="U25" s="34">
        <f>IF(RepeatPurchase2 = RepeatMonthly,SUMPRODUCT(Units2ThreeYears,RepeatMatrix!$AN20:$BW20),0)</f>
        <v>614.01597809786995</v>
      </c>
      <c r="V25" s="34">
        <f>IF(RepeatPurchase2 = RepeatMonthly,SUMPRODUCT(Units2ThreeYears,RepeatMatrix!$AN21:$BW21),0)</f>
        <v>700.39971379277756</v>
      </c>
      <c r="W25" s="34">
        <f>IF(RepeatPurchase2 = RepeatMonthly,SUMPRODUCT(Units2ThreeYears,RepeatMatrix!$AN22:$BW22),0)</f>
        <v>795.94372713667644</v>
      </c>
      <c r="X25" s="34">
        <f>IF(RepeatPurchase2 = RepeatMonthly,SUMPRODUCT(Units2ThreeYears,RepeatMatrix!$AN23:$BW23),0)</f>
        <v>901.24553254287116</v>
      </c>
      <c r="Y25" s="34">
        <f>IF(RepeatPurchase2 = RepeatMonthly,SUMPRODUCT(Units2ThreeYears,RepeatMatrix!$AN24:$BW24),0)</f>
        <v>1016.8805996878185</v>
      </c>
      <c r="Z25" s="34">
        <f>IF(RepeatPurchase2 = RepeatMonthly,SUMPRODUCT(Units2ThreeYears,RepeatMatrix!$AN25:$BW25),0)</f>
        <v>1143.3921913071754</v>
      </c>
      <c r="AA25" s="34">
        <f>IF(RepeatPurchase2 = RepeatMonthly,SUMPRODUCT(Units2ThreeYears,RepeatMatrix!$AN26:$BW26),0)</f>
        <v>1281.2804604736209</v>
      </c>
      <c r="AB25" s="34">
        <f>IF(RepeatPurchase2 = RepeatMonthly,SUMPRODUCT(Units2ThreeYears,RepeatMatrix!$AN27:$BW27),0)</f>
        <v>1430.9909393050552</v>
      </c>
      <c r="AC25" s="34">
        <f>IF(RepeatPurchase2 = RepeatMonthly,SUMPRODUCT(Units2ThreeYears,RepeatMatrix!$AN28:$BW28),0)</f>
        <v>1592.9025805553633</v>
      </c>
      <c r="AD25" s="34">
        <f>IF(RepeatPurchase2 = RepeatMonthly,SUMPRODUCT(Units2ThreeYears,RepeatMatrix!$AN29:$BW29),0)</f>
        <v>1767.3155421491363</v>
      </c>
      <c r="AE25" s="34">
        <f>IF(RepeatPurchase2 = RepeatMonthly,SUMPRODUCT(Units2ThreeYears,RepeatMatrix!$AN30:$BW30),0)</f>
        <v>1954.4389314672258</v>
      </c>
      <c r="AF25" s="34">
        <f>IF(RepeatPurchase2 = RepeatMonthly,SUMPRODUCT(Units2ThreeYears,RepeatMatrix!$AN31:$BW31),0)</f>
        <v>2154.3787500582821</v>
      </c>
      <c r="AG25" s="34">
        <f>IF(RepeatPurchase2 = RepeatMonthly,SUMPRODUCT(Units2ThreeYears,RepeatMatrix!$AN32:$BW32),0)</f>
        <v>2367.1262994175167</v>
      </c>
      <c r="AH25" s="34">
        <f>IF(RepeatPurchase2 = RepeatMonthly,SUMPRODUCT(Units2ThreeYears,RepeatMatrix!$AN33:$BW33),0)</f>
        <v>2592.547323538176</v>
      </c>
      <c r="AI25" s="34">
        <f>IF(RepeatPurchase2 = RepeatMonthly,SUMPRODUCT(Units2ThreeYears,RepeatMatrix!$AN34:$BW34),0)</f>
        <v>2830.3721731685391</v>
      </c>
      <c r="AJ25" s="34">
        <f>IF(RepeatPurchase2 = RepeatMonthly,SUMPRODUCT(Units2ThreeYears,RepeatMatrix!$AN35:$BW35),0)</f>
        <v>3080.1872792676904</v>
      </c>
      <c r="AK25" s="34">
        <f>IF(RepeatPurchase2 = RepeatMonthly,SUMPRODUCT(Units2ThreeYears,RepeatMatrix!$AN36:$BW36),0)</f>
        <v>3341.4282183630521</v>
      </c>
      <c r="AL25" s="34">
        <f>IF(RepeatPurchase2 = RepeatMonthly,SUMPRODUCT(Units2ThreeYears,RepeatMatrix!$AN37:$BW37),0)</f>
        <v>3613.3746398710355</v>
      </c>
      <c r="AM25" s="34">
        <f>IF(RepeatPurchase2 = RepeatMonthly,SUMPRODUCT(Units2ThreeYears,RepeatMatrix!$AN38:$BW38),0)</f>
        <v>3895.1473046670671</v>
      </c>
      <c r="AN25" s="34">
        <f>IF(RepeatPurchase2 = RepeatMonthly,SUMPRODUCT(Units2ThreeYears,RepeatMatrix!$AN38:$BW38),0)</f>
        <v>3895.1473046670671</v>
      </c>
      <c r="AO25" s="34">
        <f>IF(RepeatPurchase2 = RepeatMonthly,SUMPRODUCT(Units2ThreeYears,RepeatMatrix!$AN38:$BW38),0)</f>
        <v>3895.1473046670671</v>
      </c>
      <c r="AP25" s="34">
        <f>IF(RepeatPurchase2 = RepeatMonthly,SUMPRODUCT(Units2ThreeYears,RepeatMatrix!$AN38:$BW38),0)</f>
        <v>3895.1473046670671</v>
      </c>
      <c r="AQ25" s="34">
        <f>IF(RepeatPurchase2 = RepeatMonthly,SUMPRODUCT(Units2ThreeYears,RepeatMatrix!$AN38:$BW38),0)</f>
        <v>3895.1473046670671</v>
      </c>
      <c r="AR25" s="34">
        <f>IF(RepeatPurchase2 = RepeatMonthly,SUMPRODUCT(Units2ThreeYears,RepeatMatrix!$AN38:$BW38),0)</f>
        <v>3895.1473046670671</v>
      </c>
      <c r="AS25" s="34">
        <f>IF(RepeatPurchase2 = RepeatMonthly,SUMPRODUCT(Units2ThreeYears,RepeatMatrix!$AN38:$BW38),0)</f>
        <v>3895.1473046670671</v>
      </c>
      <c r="AT25" s="34">
        <f>IF(RepeatPurchase2 = RepeatMonthly,SUMPRODUCT(Units2ThreeYears,RepeatMatrix!$AN38:$BW38),0)</f>
        <v>3895.1473046670671</v>
      </c>
      <c r="AU25" s="34">
        <f>IF(RepeatPurchase2 = RepeatMonthly,SUMPRODUCT(Units2ThreeYears,RepeatMatrix!$AN38:$BW38),0)</f>
        <v>3895.1473046670671</v>
      </c>
      <c r="AV25" s="34">
        <f>IF(RepeatPurchase2 = RepeatMonthly,SUMPRODUCT(Units2ThreeYears,RepeatMatrix!$AN38:$BW38),0)</f>
        <v>3895.1473046670671</v>
      </c>
      <c r="AW25" s="34">
        <f>IF(RepeatPurchase2 = RepeatMonthly,SUMPRODUCT(Units2ThreeYears,RepeatMatrix!$AN38:$BW38),0)</f>
        <v>3895.1473046670671</v>
      </c>
      <c r="AX25" s="34">
        <f>IF(RepeatPurchase2 = RepeatMonthly,SUMPRODUCT(Units2ThreeYears,RepeatMatrix!$AN38:$BW38),0)</f>
        <v>3895.1473046670671</v>
      </c>
      <c r="AY25" s="34">
        <f>IF(RepeatPurchase2 = RepeatMonthly,SUMPRODUCT(Units2ThreeYears,RepeatMatrix!$AN38:$BW38),0)</f>
        <v>3895.1473046670671</v>
      </c>
      <c r="AZ25" s="34">
        <f>IF(RepeatPurchase2 = RepeatMonthly,SUMPRODUCT(Units2ThreeYears,RepeatMatrix!$AN38:$BW38),0)</f>
        <v>3895.1473046670671</v>
      </c>
      <c r="BA25" s="34">
        <f>IF(RepeatPurchase2 = RepeatMonthly,SUMPRODUCT(Units2ThreeYears,RepeatMatrix!$AN38:$BW38),0)</f>
        <v>3895.1473046670671</v>
      </c>
      <c r="BB25" s="34">
        <f>IF(RepeatPurchase2 = RepeatMonthly,SUMPRODUCT(Units2ThreeYears,RepeatMatrix!$AN38:$BW38),0)</f>
        <v>3895.1473046670671</v>
      </c>
      <c r="BC25" s="34">
        <f>IF(RepeatPurchase2 = RepeatMonthly,SUMPRODUCT(Units2ThreeYears,RepeatMatrix!$AN38:$BW38),0)</f>
        <v>3895.1473046670671</v>
      </c>
      <c r="BD25" s="34">
        <f>IF(RepeatPurchase2 = RepeatMonthly,SUMPRODUCT(Units2ThreeYears,RepeatMatrix!$AN38:$BW38),0)</f>
        <v>3895.1473046670671</v>
      </c>
      <c r="BE25" s="34">
        <f>IF(RepeatPurchase2 = RepeatMonthly,SUMPRODUCT(Units2ThreeYears,RepeatMatrix!$AN38:$BW38),0)</f>
        <v>3895.1473046670671</v>
      </c>
      <c r="BF25" s="34">
        <f>IF(RepeatPurchase2 = RepeatMonthly,SUMPRODUCT(Units2ThreeYears,RepeatMatrix!$AN38:$BW38),0)</f>
        <v>3895.1473046670671</v>
      </c>
      <c r="BG25" s="34">
        <f>IF(RepeatPurchase2 = RepeatMonthly,SUMPRODUCT(Units2ThreeYears,RepeatMatrix!$AN38:$BW38),0)</f>
        <v>3895.1473046670671</v>
      </c>
      <c r="BH25" s="34">
        <f>IF(RepeatPurchase2 = RepeatMonthly,SUMPRODUCT(Units2ThreeYears,RepeatMatrix!$AN38:$BW38),0)</f>
        <v>3895.1473046670671</v>
      </c>
      <c r="BI25" s="34">
        <f>IF(RepeatPurchase2 = RepeatMonthly,SUMPRODUCT(Units2ThreeYears,RepeatMatrix!$AN38:$BW38),0)</f>
        <v>3895.1473046670671</v>
      </c>
      <c r="BJ25" s="34">
        <f>IF(RepeatPurchase2 = RepeatMonthly,SUMPRODUCT(Units2ThreeYears,RepeatMatrix!$AN38:$BW38),0)</f>
        <v>3895.1473046670671</v>
      </c>
      <c r="BK25" s="34">
        <f>IF(RepeatPurchase2 = RepeatMonthly,SUMPRODUCT(Units2ThreeYears,RepeatMatrix!$AN38:$BW38),0)</f>
        <v>3895.1473046670671</v>
      </c>
    </row>
    <row r="26" spans="1:63" s="20" customFormat="1" x14ac:dyDescent="0.2">
      <c r="A26" s="148"/>
      <c r="B26" s="19" t="s">
        <v>41</v>
      </c>
      <c r="C26" s="53"/>
      <c r="D26" s="29">
        <f t="shared" ref="D26:AI26" si="84">IF(RepeatPurchase1 = RepeatMonthly,D24,0)+IF(RepeatPurchase2 = RepeatMonthly,D25,0)</f>
        <v>0</v>
      </c>
      <c r="E26" s="29">
        <f t="shared" si="84"/>
        <v>12.706090122603772</v>
      </c>
      <c r="F26" s="29">
        <f t="shared" si="84"/>
        <v>26.519412161604976</v>
      </c>
      <c r="G26" s="29">
        <f t="shared" si="84"/>
        <v>41.713424424859909</v>
      </c>
      <c r="H26" s="29">
        <f t="shared" si="84"/>
        <v>58.584109553492667</v>
      </c>
      <c r="I26" s="29">
        <f t="shared" si="84"/>
        <v>77.451935444920238</v>
      </c>
      <c r="J26" s="29">
        <f t="shared" si="84"/>
        <v>98.663575830021358</v>
      </c>
      <c r="K26" s="29">
        <f t="shared" si="84"/>
        <v>122.59332994196805</v>
      </c>
      <c r="L26" s="29">
        <f t="shared" si="84"/>
        <v>149.64417482892748</v>
      </c>
      <c r="M26" s="29">
        <f t="shared" si="84"/>
        <v>180.24837898502739</v>
      </c>
      <c r="N26" s="29">
        <f t="shared" si="84"/>
        <v>214.86760241249905</v>
      </c>
      <c r="O26" s="29">
        <f t="shared" si="84"/>
        <v>253.99240630234721</v>
      </c>
      <c r="P26" s="29">
        <f t="shared" si="84"/>
        <v>298.14109555123014</v>
      </c>
      <c r="Q26" s="29">
        <f t="shared" si="84"/>
        <v>347.85781962611952</v>
      </c>
      <c r="R26" s="29">
        <f t="shared" si="84"/>
        <v>403.70986212739854</v>
      </c>
      <c r="S26" s="29">
        <f t="shared" si="84"/>
        <v>466.28405702553994</v>
      </c>
      <c r="T26" s="29">
        <f t="shared" si="84"/>
        <v>536.18228013962721</v>
      </c>
      <c r="U26" s="29">
        <f t="shared" si="84"/>
        <v>614.01597809786995</v>
      </c>
      <c r="V26" s="29">
        <f t="shared" si="84"/>
        <v>700.39971379277756</v>
      </c>
      <c r="W26" s="29">
        <f t="shared" si="84"/>
        <v>795.94372713667644</v>
      </c>
      <c r="X26" s="29">
        <f t="shared" si="84"/>
        <v>901.24553254287116</v>
      </c>
      <c r="Y26" s="29">
        <f t="shared" si="84"/>
        <v>1016.8805996878185</v>
      </c>
      <c r="Z26" s="29">
        <f t="shared" si="84"/>
        <v>1143.3921913071754</v>
      </c>
      <c r="AA26" s="29">
        <f t="shared" si="84"/>
        <v>1281.2804604736209</v>
      </c>
      <c r="AB26" s="29">
        <f t="shared" si="84"/>
        <v>1430.9909393050552</v>
      </c>
      <c r="AC26" s="29">
        <f t="shared" si="84"/>
        <v>1592.9025805553633</v>
      </c>
      <c r="AD26" s="29">
        <f t="shared" si="84"/>
        <v>1767.3155421491363</v>
      </c>
      <c r="AE26" s="29">
        <f t="shared" si="84"/>
        <v>1954.4389314672258</v>
      </c>
      <c r="AF26" s="29">
        <f t="shared" si="84"/>
        <v>2154.3787500582821</v>
      </c>
      <c r="AG26" s="29">
        <f t="shared" si="84"/>
        <v>2367.1262994175167</v>
      </c>
      <c r="AH26" s="29">
        <f t="shared" si="84"/>
        <v>2592.547323538176</v>
      </c>
      <c r="AI26" s="29">
        <f t="shared" si="84"/>
        <v>2830.3721731685391</v>
      </c>
      <c r="AJ26" s="29">
        <f t="shared" ref="AJ26:BK26" si="85">IF(RepeatPurchase1 = RepeatMonthly,AJ24,0)+IF(RepeatPurchase2 = RepeatMonthly,AJ25,0)</f>
        <v>3080.1872792676904</v>
      </c>
      <c r="AK26" s="29">
        <f t="shared" si="85"/>
        <v>3341.4282183630521</v>
      </c>
      <c r="AL26" s="29">
        <f t="shared" si="85"/>
        <v>3613.3746398710355</v>
      </c>
      <c r="AM26" s="29">
        <f t="shared" si="85"/>
        <v>3895.1473046670671</v>
      </c>
      <c r="AN26" s="29">
        <f t="shared" si="85"/>
        <v>3895.1473046670671</v>
      </c>
      <c r="AO26" s="29">
        <f t="shared" si="85"/>
        <v>3895.1473046670671</v>
      </c>
      <c r="AP26" s="29">
        <f t="shared" si="85"/>
        <v>3895.1473046670671</v>
      </c>
      <c r="AQ26" s="29">
        <f t="shared" si="85"/>
        <v>3895.1473046670671</v>
      </c>
      <c r="AR26" s="29">
        <f t="shared" si="85"/>
        <v>3895.1473046670671</v>
      </c>
      <c r="AS26" s="29">
        <f t="shared" si="85"/>
        <v>3895.1473046670671</v>
      </c>
      <c r="AT26" s="29">
        <f t="shared" si="85"/>
        <v>3895.1473046670671</v>
      </c>
      <c r="AU26" s="29">
        <f t="shared" si="85"/>
        <v>3895.1473046670671</v>
      </c>
      <c r="AV26" s="29">
        <f t="shared" si="85"/>
        <v>3895.1473046670671</v>
      </c>
      <c r="AW26" s="29">
        <f t="shared" si="85"/>
        <v>3895.1473046670671</v>
      </c>
      <c r="AX26" s="29">
        <f t="shared" si="85"/>
        <v>3895.1473046670671</v>
      </c>
      <c r="AY26" s="29">
        <f t="shared" si="85"/>
        <v>3895.1473046670671</v>
      </c>
      <c r="AZ26" s="29">
        <f t="shared" si="85"/>
        <v>3895.1473046670671</v>
      </c>
      <c r="BA26" s="29">
        <f t="shared" si="85"/>
        <v>3895.1473046670671</v>
      </c>
      <c r="BB26" s="29">
        <f t="shared" si="85"/>
        <v>3895.1473046670671</v>
      </c>
      <c r="BC26" s="29">
        <f t="shared" si="85"/>
        <v>3895.1473046670671</v>
      </c>
      <c r="BD26" s="29">
        <f t="shared" si="85"/>
        <v>3895.1473046670671</v>
      </c>
      <c r="BE26" s="29">
        <f t="shared" si="85"/>
        <v>3895.1473046670671</v>
      </c>
      <c r="BF26" s="29">
        <f t="shared" si="85"/>
        <v>3895.1473046670671</v>
      </c>
      <c r="BG26" s="29">
        <f t="shared" si="85"/>
        <v>3895.1473046670671</v>
      </c>
      <c r="BH26" s="29">
        <f t="shared" si="85"/>
        <v>3895.1473046670671</v>
      </c>
      <c r="BI26" s="29">
        <f t="shared" si="85"/>
        <v>3895.1473046670671</v>
      </c>
      <c r="BJ26" s="29">
        <f t="shared" si="85"/>
        <v>3895.1473046670671</v>
      </c>
      <c r="BK26" s="29">
        <f t="shared" si="85"/>
        <v>3895.1473046670671</v>
      </c>
    </row>
    <row r="27" spans="1:63" x14ac:dyDescent="0.2">
      <c r="A27" s="148"/>
      <c r="B27" s="18"/>
      <c r="C27" s="9"/>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row>
    <row r="28" spans="1:63" s="7" customFormat="1" x14ac:dyDescent="0.2">
      <c r="A28" s="148"/>
      <c r="B28" s="7" t="str">
        <f>'Market Assumptions'!A3</f>
        <v>Target Segment 1</v>
      </c>
      <c r="C28" s="51"/>
      <c r="D28" s="34">
        <v>0</v>
      </c>
      <c r="E28" s="34">
        <v>0</v>
      </c>
      <c r="F28" s="34">
        <v>0</v>
      </c>
      <c r="G28" s="34">
        <v>0</v>
      </c>
      <c r="H28" s="34">
        <v>0</v>
      </c>
      <c r="I28" s="34">
        <v>0</v>
      </c>
      <c r="J28" s="34">
        <v>0</v>
      </c>
      <c r="K28" s="34">
        <v>0</v>
      </c>
      <c r="L28" s="34">
        <v>0</v>
      </c>
      <c r="M28" s="34">
        <v>0</v>
      </c>
      <c r="N28" s="34">
        <v>0</v>
      </c>
      <c r="O28" s="34">
        <v>0</v>
      </c>
      <c r="P28" s="34">
        <f>IF(RepeatPurchase1 = RepeatYearly,SUMPRODUCT(Units1ThreeYears,RepeatMatrix!$B53:$AK53),0)</f>
        <v>25.412180245207544</v>
      </c>
      <c r="Q28" s="34">
        <f>IF(RepeatPurchase1 = RepeatYearly,SUMPRODUCT(Units1ThreeYears,RepeatMatrix!$B54:$AK54),0)</f>
        <v>30.167862102523156</v>
      </c>
      <c r="R28" s="34">
        <f>IF(RepeatPurchase1 = RepeatYearly,SUMPRODUCT(Units1ThreeYears,RepeatMatrix!$B55:$AK55),0)</f>
        <v>35.69190695883087</v>
      </c>
      <c r="S28" s="34">
        <f>IF(RepeatPurchase1 = RepeatYearly,SUMPRODUCT(Units1ThreeYears,RepeatMatrix!$B56:$AK56),0)</f>
        <v>42.084055142237482</v>
      </c>
      <c r="T28" s="34">
        <f>IF(RepeatPurchase1 = RepeatYearly,SUMPRODUCT(Units1ThreeYears,RepeatMatrix!$B57:$AK57),0)</f>
        <v>49.452473693553671</v>
      </c>
      <c r="U28" s="34">
        <f>IF(RepeatPurchase1 = RepeatYearly,SUMPRODUCT(Units1ThreeYears,RepeatMatrix!$B58:$AK58),0)</f>
        <v>57.913667859186283</v>
      </c>
      <c r="V28" s="34">
        <f>IF(RepeatPurchase1 = RepeatYearly,SUMPRODUCT(Units1ThreeYears,RepeatMatrix!$B59:$AK59),0)</f>
        <v>67.592223389897669</v>
      </c>
      <c r="W28" s="34">
        <f>IF(RepeatPurchase1 = RepeatYearly,SUMPRODUCT(Units1ThreeYears,RepeatMatrix!$B60:$AK60),0)</f>
        <v>78.620355762312414</v>
      </c>
      <c r="X28" s="34">
        <f>IF(RepeatPurchase1 = RepeatYearly,SUMPRODUCT(Units1ThreeYears,RepeatMatrix!$B61:$AK61),0)</f>
        <v>91.137243277985377</v>
      </c>
      <c r="Y28" s="34">
        <f>IF(RepeatPurchase1 = RepeatYearly,SUMPRODUCT(Units1ThreeYears,RepeatMatrix!$B62:$AK62),0)</f>
        <v>105.28812265194875</v>
      </c>
      <c r="Z28" s="34">
        <f>IF(RepeatPurchase1 = RepeatYearly,SUMPRODUCT(Units1ThreeYears,RepeatMatrix!$B63:$AK63),0)</f>
        <v>121.22312826219601</v>
      </c>
      <c r="AA28" s="34">
        <f>IF(RepeatPurchase1 = RepeatYearly,SUMPRODUCT(Units1ThreeYears,RepeatMatrix!$B64:$AK64),0)</f>
        <v>139.09585975823538</v>
      </c>
      <c r="AB28" s="34">
        <f>IF(RepeatPurchase1 = RepeatYearly,SUMPRODUCT(Units1ThreeYears,RepeatMatrix!$B65:$AK65),0)</f>
        <v>181.93262948071146</v>
      </c>
      <c r="AC28" s="34">
        <f>IF(RepeatPurchase1 = RepeatYearly,SUMPRODUCT(Units1ThreeYears,RepeatMatrix!$B66:$AK66),0)</f>
        <v>208.42672482005275</v>
      </c>
      <c r="AD28" s="34">
        <f>IF(RepeatPurchase1 = RepeatYearly,SUMPRODUCT(Units1ThreeYears,RepeatMatrix!$B67:$AK67),0)</f>
        <v>238.01307848471026</v>
      </c>
      <c r="AE28" s="34">
        <f>IF(RepeatPurchase1 = RepeatYearly,SUMPRODUCT(Units1ThreeYears,RepeatMatrix!$B68:$AK68),0)</f>
        <v>270.92890726129639</v>
      </c>
      <c r="AF28" s="34">
        <f>IF(RepeatPurchase1 = RepeatYearly,SUMPRODUCT(Units1ThreeYears,RepeatMatrix!$B69:$AK69),0)</f>
        <v>307.41107826860917</v>
      </c>
      <c r="AG28" s="34">
        <f>IF(RepeatPurchase1 = RepeatYearly,SUMPRODUCT(Units1ThreeYears,RepeatMatrix!$B70:$AK70),0)</f>
        <v>347.69296808265676</v>
      </c>
      <c r="AH28" s="34">
        <f>IF(RepeatPurchase1 = RepeatYearly,SUMPRODUCT(Units1ThreeYears,RepeatMatrix!$B71:$AK71),0)</f>
        <v>392.00097049726122</v>
      </c>
      <c r="AI28" s="34">
        <f>IF(RepeatPurchase1 = RepeatYearly,SUMPRODUCT(Units1ThreeYears,RepeatMatrix!$B72:$AK72),0)</f>
        <v>440.5506764258057</v>
      </c>
      <c r="AJ28" s="34">
        <f>IF(RepeatPurchase1 = RepeatYearly,SUMPRODUCT(Units1ThreeYears,RepeatMatrix!$B73:$AK73),0)</f>
        <v>493.54275974865561</v>
      </c>
      <c r="AK28" s="34">
        <f>IF(RepeatPurchase1 = RepeatYearly,SUMPRODUCT(Units1ThreeYears,RepeatMatrix!$B74:$AK74),0)</f>
        <v>551.15861356303128</v>
      </c>
      <c r="AL28" s="34">
        <f>IF(RepeatPurchase1 = RepeatYearly,SUMPRODUCT(Units1ThreeYears,RepeatMatrix!$B75:$AK75),0)</f>
        <v>613.55579203030243</v>
      </c>
      <c r="AM28" s="34">
        <f>IF(RepeatPurchase1 = RepeatYearly,SUMPRODUCT(Units1ThreeYears,RepeatMatrix!$B76:$AK76),0)</f>
        <v>680.86332354000444</v>
      </c>
      <c r="AN28" s="34">
        <f>IF(RepeatPurchase1 = RepeatYearly,SUMPRODUCT(Units1ThreeYears,RepeatMatrix!$B76:$AK76),0)</f>
        <v>680.86332354000444</v>
      </c>
      <c r="AO28" s="34">
        <f>IF(RepeatPurchase1 = RepeatYearly,SUMPRODUCT(Units1ThreeYears,RepeatMatrix!$B76:$AK76),0)</f>
        <v>680.86332354000444</v>
      </c>
      <c r="AP28" s="34">
        <f>IF(RepeatPurchase1 = RepeatYearly,SUMPRODUCT(Units1ThreeYears,RepeatMatrix!$B76:$AK76),0)</f>
        <v>680.86332354000444</v>
      </c>
      <c r="AQ28" s="34">
        <f>IF(RepeatPurchase1 = RepeatYearly,SUMPRODUCT(Units1ThreeYears,RepeatMatrix!$B76:$AK76),0)</f>
        <v>680.86332354000444</v>
      </c>
      <c r="AR28" s="34">
        <f>IF(RepeatPurchase1 = RepeatYearly,SUMPRODUCT(Units1ThreeYears,RepeatMatrix!$B76:$AK76),0)</f>
        <v>680.86332354000444</v>
      </c>
      <c r="AS28" s="34">
        <f>IF(RepeatPurchase1 = RepeatYearly,SUMPRODUCT(Units1ThreeYears,RepeatMatrix!$B76:$AK76),0)</f>
        <v>680.86332354000444</v>
      </c>
      <c r="AT28" s="34">
        <f>IF(RepeatPurchase1 = RepeatYearly,SUMPRODUCT(Units1ThreeYears,RepeatMatrix!$B76:$AK76),0)</f>
        <v>680.86332354000444</v>
      </c>
      <c r="AU28" s="34">
        <f>IF(RepeatPurchase1 = RepeatYearly,SUMPRODUCT(Units1ThreeYears,RepeatMatrix!$B76:$AK76),0)</f>
        <v>680.86332354000444</v>
      </c>
      <c r="AV28" s="34">
        <f>IF(RepeatPurchase1 = RepeatYearly,SUMPRODUCT(Units1ThreeYears,RepeatMatrix!$B76:$AK76),0)</f>
        <v>680.86332354000444</v>
      </c>
      <c r="AW28" s="34">
        <f>IF(RepeatPurchase1 = RepeatYearly,SUMPRODUCT(Units1ThreeYears,RepeatMatrix!$B76:$AK76),0)</f>
        <v>680.86332354000444</v>
      </c>
      <c r="AX28" s="34">
        <f>IF(RepeatPurchase1 = RepeatYearly,SUMPRODUCT(Units1ThreeYears,RepeatMatrix!$B76:$AK76),0)</f>
        <v>680.86332354000444</v>
      </c>
      <c r="AY28" s="34">
        <f>IF(RepeatPurchase1 = RepeatYearly,SUMPRODUCT(Units1ThreeYears,RepeatMatrix!$B76:$AK76),0)</f>
        <v>680.86332354000444</v>
      </c>
      <c r="AZ28" s="34">
        <f>IF(RepeatPurchase1 = RepeatYearly,SUMPRODUCT(Units1ThreeYears,RepeatMatrix!$B76:$AK76),0)</f>
        <v>680.86332354000444</v>
      </c>
      <c r="BA28" s="34">
        <f>IF(RepeatPurchase1 = RepeatYearly,SUMPRODUCT(Units1ThreeYears,RepeatMatrix!$B76:$AK76),0)</f>
        <v>680.86332354000444</v>
      </c>
      <c r="BB28" s="34">
        <f>IF(RepeatPurchase1 = RepeatYearly,SUMPRODUCT(Units1ThreeYears,RepeatMatrix!$B76:$AK76),0)</f>
        <v>680.86332354000444</v>
      </c>
      <c r="BC28" s="34">
        <f>IF(RepeatPurchase1 = RepeatYearly,SUMPRODUCT(Units1ThreeYears,RepeatMatrix!$B76:$AK76),0)</f>
        <v>680.86332354000444</v>
      </c>
      <c r="BD28" s="34">
        <f>IF(RepeatPurchase1 = RepeatYearly,SUMPRODUCT(Units1ThreeYears,RepeatMatrix!$B76:$AK76),0)</f>
        <v>680.86332354000444</v>
      </c>
      <c r="BE28" s="34">
        <f>IF(RepeatPurchase1 = RepeatYearly,SUMPRODUCT(Units1ThreeYears,RepeatMatrix!$B76:$AK76),0)</f>
        <v>680.86332354000444</v>
      </c>
      <c r="BF28" s="34">
        <f>IF(RepeatPurchase1 = RepeatYearly,SUMPRODUCT(Units1ThreeYears,RepeatMatrix!$B76:$AK76),0)</f>
        <v>680.86332354000444</v>
      </c>
      <c r="BG28" s="34">
        <f>IF(RepeatPurchase1 = RepeatYearly,SUMPRODUCT(Units1ThreeYears,RepeatMatrix!$B76:$AK76),0)</f>
        <v>680.86332354000444</v>
      </c>
      <c r="BH28" s="34">
        <f>IF(RepeatPurchase1 = RepeatYearly,SUMPRODUCT(Units1ThreeYears,RepeatMatrix!$B76:$AK76),0)</f>
        <v>680.86332354000444</v>
      </c>
      <c r="BI28" s="34">
        <f>IF(RepeatPurchase1 = RepeatYearly,SUMPRODUCT(Units1ThreeYears,RepeatMatrix!$B76:$AK76),0)</f>
        <v>680.86332354000444</v>
      </c>
      <c r="BJ28" s="34">
        <f>IF(RepeatPurchase1 = RepeatYearly,SUMPRODUCT(Units1ThreeYears,RepeatMatrix!$B76:$AK76),0)</f>
        <v>680.86332354000444</v>
      </c>
      <c r="BK28" s="34">
        <f>IF(RepeatPurchase1 = RepeatYearly,SUMPRODUCT(Units1ThreeYears,RepeatMatrix!$B76:$AK76),0)</f>
        <v>680.86332354000444</v>
      </c>
    </row>
    <row r="29" spans="1:63" s="7" customFormat="1" x14ac:dyDescent="0.2">
      <c r="A29" s="148"/>
      <c r="B29" s="7" t="str">
        <f>'Market Assumptions'!A4</f>
        <v>Target Segment 2</v>
      </c>
      <c r="C29" s="51"/>
      <c r="D29" s="34">
        <v>0</v>
      </c>
      <c r="E29" s="34">
        <v>0</v>
      </c>
      <c r="F29" s="34">
        <v>0</v>
      </c>
      <c r="G29" s="34">
        <v>0</v>
      </c>
      <c r="H29" s="34">
        <v>0</v>
      </c>
      <c r="I29" s="34">
        <v>0</v>
      </c>
      <c r="J29" s="34">
        <v>0</v>
      </c>
      <c r="K29" s="34">
        <v>0</v>
      </c>
      <c r="L29" s="34">
        <v>0</v>
      </c>
      <c r="M29" s="34">
        <v>0</v>
      </c>
      <c r="N29" s="34">
        <v>0</v>
      </c>
      <c r="O29" s="34">
        <v>0</v>
      </c>
      <c r="P29" s="34">
        <f>IF(RepeatPurchase2 = RepeatYearly,SUMPRODUCT(Units2ThreeYears,RepeatMatrix!AN53:BW53),0)</f>
        <v>0</v>
      </c>
      <c r="Q29" s="34">
        <f>IF(RepeatPurchase2 = RepeatYearly,SUMPRODUCT(Units2ThreeYears,RepeatMatrix!$AN54:$BW54),0)</f>
        <v>0</v>
      </c>
      <c r="R29" s="34">
        <f>IF(RepeatPurchase2 = RepeatYearly,SUMPRODUCT(Units2ThreeYears,RepeatMatrix!$AN55:$BW55),0)</f>
        <v>0</v>
      </c>
      <c r="S29" s="34">
        <f>IF(RepeatPurchase2 = RepeatYearly,SUMPRODUCT(Units2ThreeYears,RepeatMatrix!$AN56:$BW56),0)</f>
        <v>0</v>
      </c>
      <c r="T29" s="34">
        <f>IF(RepeatPurchase2 = RepeatYearly,SUMPRODUCT(Units2ThreeYears,RepeatMatrix!$AN57:$BW57),0)</f>
        <v>0</v>
      </c>
      <c r="U29" s="34">
        <f>IF(RepeatPurchase2 = RepeatYearly,SUMPRODUCT(Units2ThreeYears,RepeatMatrix!$AN58:$BW58),0)</f>
        <v>0</v>
      </c>
      <c r="V29" s="34">
        <f>IF(RepeatPurchase2 = RepeatYearly,SUMPRODUCT(Units2ThreeYears,RepeatMatrix!$AN59:$BW59),0)</f>
        <v>0</v>
      </c>
      <c r="W29" s="34">
        <f>IF(RepeatPurchase2 = RepeatYearly,SUMPRODUCT(Units2ThreeYears,RepeatMatrix!$AN60:$BW60),0)</f>
        <v>0</v>
      </c>
      <c r="X29" s="34">
        <f>IF(RepeatPurchase2 = RepeatYearly,SUMPRODUCT(Units2ThreeYears,RepeatMatrix!$AN61:$BW61),0)</f>
        <v>0</v>
      </c>
      <c r="Y29" s="34">
        <f>IF(RepeatPurchase2 = RepeatYearly,SUMPRODUCT(Units2ThreeYears,RepeatMatrix!$AN62:$BW62),0)</f>
        <v>0</v>
      </c>
      <c r="Z29" s="34">
        <f>IF(RepeatPurchase2 = RepeatYearly,SUMPRODUCT(Units2ThreeYears,RepeatMatrix!$AN63:$BW63),0)</f>
        <v>0</v>
      </c>
      <c r="AA29" s="34">
        <f>IF(RepeatPurchase2 = RepeatYearly,SUMPRODUCT(Units2ThreeYears,RepeatMatrix!$AN64:$BW64),0)</f>
        <v>0</v>
      </c>
      <c r="AB29" s="34">
        <f>IF(RepeatPurchase2 = RepeatYearly,SUMPRODUCT(Units2ThreeYears,RepeatMatrix!$AN65:$BW65),0)</f>
        <v>0</v>
      </c>
      <c r="AC29" s="34">
        <f>IF(RepeatPurchase2 = RepeatYearly,SUMPRODUCT(Units2ThreeYears,RepeatMatrix!$AN66:$BW66),0)</f>
        <v>0</v>
      </c>
      <c r="AD29" s="34">
        <f>IF(RepeatPurchase2 = RepeatYearly,SUMPRODUCT(Units2ThreeYears,RepeatMatrix!$AN67:$BW67),0)</f>
        <v>0</v>
      </c>
      <c r="AE29" s="34">
        <f>IF(RepeatPurchase2 = RepeatYearly,SUMPRODUCT(Units2ThreeYears,RepeatMatrix!$AN68:$BW68),0)</f>
        <v>0</v>
      </c>
      <c r="AF29" s="34">
        <f>IF(RepeatPurchase2 = RepeatYearly,SUMPRODUCT(Units2ThreeYears,RepeatMatrix!$AN69:$BW69),0)</f>
        <v>0</v>
      </c>
      <c r="AG29" s="34">
        <f>IF(RepeatPurchase2 = RepeatYearly,SUMPRODUCT(Units2ThreeYears,RepeatMatrix!$AN70:$BW70),0)</f>
        <v>0</v>
      </c>
      <c r="AH29" s="34">
        <f>IF(RepeatPurchase2 = RepeatYearly,SUMPRODUCT(Units2ThreeYears,RepeatMatrix!$AN71:$BW71),0)</f>
        <v>0</v>
      </c>
      <c r="AI29" s="34">
        <f>IF(RepeatPurchase2 = RepeatYearly,SUMPRODUCT(Units2ThreeYears,RepeatMatrix!$AN72:$BW72),0)</f>
        <v>0</v>
      </c>
      <c r="AJ29" s="34">
        <f>IF(RepeatPurchase2 = RepeatYearly,SUMPRODUCT(Units2ThreeYears,RepeatMatrix!$AN73:$BW73),0)</f>
        <v>0</v>
      </c>
      <c r="AK29" s="34">
        <f>IF(RepeatPurchase2 = RepeatYearly,SUMPRODUCT(Units2ThreeYears,RepeatMatrix!$AN74:$BW74),0)</f>
        <v>0</v>
      </c>
      <c r="AL29" s="34">
        <f>IF(RepeatPurchase2 = RepeatYearly,SUMPRODUCT(Units2ThreeYears,RepeatMatrix!$AN75:$BW75),0)</f>
        <v>0</v>
      </c>
      <c r="AM29" s="34">
        <f>IF(RepeatPurchase2 = RepeatYearly,SUMPRODUCT(Units2ThreeYears,RepeatMatrix!$AN76:$BW76),0)</f>
        <v>0</v>
      </c>
      <c r="AN29" s="34">
        <f>IF(RepeatPurchase2 = RepeatYearly,SUMPRODUCT(Units2ThreeYears,RepeatMatrix!$AN76:$BW76),0)</f>
        <v>0</v>
      </c>
      <c r="AO29" s="34">
        <f>IF(RepeatPurchase2 = RepeatYearly,SUMPRODUCT(Units2ThreeYears,RepeatMatrix!$AN76:$BW76),0)</f>
        <v>0</v>
      </c>
      <c r="AP29" s="34">
        <f>IF(RepeatPurchase2 = RepeatYearly,SUMPRODUCT(Units2ThreeYears,RepeatMatrix!$AN76:$BW76),0)</f>
        <v>0</v>
      </c>
      <c r="AQ29" s="34">
        <f>IF(RepeatPurchase2 = RepeatYearly,SUMPRODUCT(Units2ThreeYears,RepeatMatrix!$AN76:$BW76),0)</f>
        <v>0</v>
      </c>
      <c r="AR29" s="34">
        <f>IF(RepeatPurchase2 = RepeatYearly,SUMPRODUCT(Units2ThreeYears,RepeatMatrix!$AN76:$BW76),0)</f>
        <v>0</v>
      </c>
      <c r="AS29" s="34">
        <f>IF(RepeatPurchase2 = RepeatYearly,SUMPRODUCT(Units2ThreeYears,RepeatMatrix!$AN76:$BW76),0)</f>
        <v>0</v>
      </c>
      <c r="AT29" s="34">
        <f>IF(RepeatPurchase2 = RepeatYearly,SUMPRODUCT(Units2ThreeYears,RepeatMatrix!$AN76:$BW76),0)</f>
        <v>0</v>
      </c>
      <c r="AU29" s="34">
        <f>IF(RepeatPurchase2 = RepeatYearly,SUMPRODUCT(Units2ThreeYears,RepeatMatrix!$AN76:$BW76),0)</f>
        <v>0</v>
      </c>
      <c r="AV29" s="34">
        <f>IF(RepeatPurchase2 = RepeatYearly,SUMPRODUCT(Units2ThreeYears,RepeatMatrix!$AN76:$BW76),0)</f>
        <v>0</v>
      </c>
      <c r="AW29" s="34">
        <f>IF(RepeatPurchase2 = RepeatYearly,SUMPRODUCT(Units2ThreeYears,RepeatMatrix!$AN76:$BW76),0)</f>
        <v>0</v>
      </c>
      <c r="AX29" s="34">
        <f>IF(RepeatPurchase2 = RepeatYearly,SUMPRODUCT(Units2ThreeYears,RepeatMatrix!$AN76:$BW76),0)</f>
        <v>0</v>
      </c>
      <c r="AY29" s="34">
        <f>IF(RepeatPurchase2 = RepeatYearly,SUMPRODUCT(Units2ThreeYears,RepeatMatrix!$AN76:$BW76),0)</f>
        <v>0</v>
      </c>
      <c r="AZ29" s="34">
        <f>IF(RepeatPurchase2 = RepeatYearly,SUMPRODUCT(Units2ThreeYears,RepeatMatrix!$AN76:$BW76),0)</f>
        <v>0</v>
      </c>
      <c r="BA29" s="34">
        <f>IF(RepeatPurchase2 = RepeatYearly,SUMPRODUCT(Units2ThreeYears,RepeatMatrix!$AN76:$BW76),0)</f>
        <v>0</v>
      </c>
      <c r="BB29" s="34">
        <f>IF(RepeatPurchase2 = RepeatYearly,SUMPRODUCT(Units2ThreeYears,RepeatMatrix!$AN76:$BW76),0)</f>
        <v>0</v>
      </c>
      <c r="BC29" s="34">
        <f>IF(RepeatPurchase2 = RepeatYearly,SUMPRODUCT(Units2ThreeYears,RepeatMatrix!$AN76:$BW76),0)</f>
        <v>0</v>
      </c>
      <c r="BD29" s="34">
        <f>IF(RepeatPurchase2 = RepeatYearly,SUMPRODUCT(Units2ThreeYears,RepeatMatrix!$AN76:$BW76),0)</f>
        <v>0</v>
      </c>
      <c r="BE29" s="34">
        <f>IF(RepeatPurchase2 = RepeatYearly,SUMPRODUCT(Units2ThreeYears,RepeatMatrix!$AN76:$BW76),0)</f>
        <v>0</v>
      </c>
      <c r="BF29" s="34">
        <f>IF(RepeatPurchase2 = RepeatYearly,SUMPRODUCT(Units2ThreeYears,RepeatMatrix!$AN76:$BW76),0)</f>
        <v>0</v>
      </c>
      <c r="BG29" s="34">
        <f>IF(RepeatPurchase2 = RepeatYearly,SUMPRODUCT(Units2ThreeYears,RepeatMatrix!$AN76:$BW76),0)</f>
        <v>0</v>
      </c>
      <c r="BH29" s="34">
        <f>IF(RepeatPurchase2 = RepeatYearly,SUMPRODUCT(Units2ThreeYears,RepeatMatrix!$AN76:$BW76),0)</f>
        <v>0</v>
      </c>
      <c r="BI29" s="34">
        <f>IF(RepeatPurchase2 = RepeatYearly,SUMPRODUCT(Units2ThreeYears,RepeatMatrix!$AN76:$BW76),0)</f>
        <v>0</v>
      </c>
      <c r="BJ29" s="34">
        <f>IF(RepeatPurchase2 = RepeatYearly,SUMPRODUCT(Units2ThreeYears,RepeatMatrix!$AN76:$BW76),0)</f>
        <v>0</v>
      </c>
      <c r="BK29" s="34">
        <f>IF(RepeatPurchase2 = RepeatYearly,SUMPRODUCT(Units2ThreeYears,RepeatMatrix!$AN76:$BW76),0)</f>
        <v>0</v>
      </c>
    </row>
    <row r="30" spans="1:63" x14ac:dyDescent="0.2">
      <c r="A30" s="148"/>
      <c r="B30" s="19" t="s">
        <v>42</v>
      </c>
      <c r="C30" s="9"/>
      <c r="D30" s="29">
        <f t="shared" ref="D30:AI30" si="86">IF(RepeatPurchase1 = RepeatYearly,D28,0)+IF(RepeatPurchase2 = RepeatYearly,D29,0)</f>
        <v>0</v>
      </c>
      <c r="E30" s="29">
        <f t="shared" si="86"/>
        <v>0</v>
      </c>
      <c r="F30" s="29">
        <f t="shared" si="86"/>
        <v>0</v>
      </c>
      <c r="G30" s="29">
        <f t="shared" si="86"/>
        <v>0</v>
      </c>
      <c r="H30" s="29">
        <f t="shared" si="86"/>
        <v>0</v>
      </c>
      <c r="I30" s="29">
        <f t="shared" si="86"/>
        <v>0</v>
      </c>
      <c r="J30" s="29">
        <f t="shared" si="86"/>
        <v>0</v>
      </c>
      <c r="K30" s="29">
        <f t="shared" si="86"/>
        <v>0</v>
      </c>
      <c r="L30" s="29">
        <f t="shared" si="86"/>
        <v>0</v>
      </c>
      <c r="M30" s="29">
        <f t="shared" si="86"/>
        <v>0</v>
      </c>
      <c r="N30" s="29">
        <f t="shared" si="86"/>
        <v>0</v>
      </c>
      <c r="O30" s="29">
        <f t="shared" si="86"/>
        <v>0</v>
      </c>
      <c r="P30" s="29">
        <f t="shared" si="86"/>
        <v>25.412180245207544</v>
      </c>
      <c r="Q30" s="29">
        <f t="shared" si="86"/>
        <v>30.167862102523156</v>
      </c>
      <c r="R30" s="29">
        <f t="shared" si="86"/>
        <v>35.69190695883087</v>
      </c>
      <c r="S30" s="29">
        <f t="shared" si="86"/>
        <v>42.084055142237482</v>
      </c>
      <c r="T30" s="29">
        <f t="shared" si="86"/>
        <v>49.452473693553671</v>
      </c>
      <c r="U30" s="29">
        <f t="shared" si="86"/>
        <v>57.913667859186283</v>
      </c>
      <c r="V30" s="29">
        <f t="shared" si="86"/>
        <v>67.592223389897669</v>
      </c>
      <c r="W30" s="29">
        <f t="shared" si="86"/>
        <v>78.620355762312414</v>
      </c>
      <c r="X30" s="29">
        <f t="shared" si="86"/>
        <v>91.137243277985377</v>
      </c>
      <c r="Y30" s="29">
        <f t="shared" si="86"/>
        <v>105.28812265194875</v>
      </c>
      <c r="Z30" s="29">
        <f t="shared" si="86"/>
        <v>121.22312826219601</v>
      </c>
      <c r="AA30" s="29">
        <f t="shared" si="86"/>
        <v>139.09585975823538</v>
      </c>
      <c r="AB30" s="29">
        <f t="shared" si="86"/>
        <v>181.93262948071146</v>
      </c>
      <c r="AC30" s="29">
        <f t="shared" si="86"/>
        <v>208.42672482005275</v>
      </c>
      <c r="AD30" s="29">
        <f t="shared" si="86"/>
        <v>238.01307848471026</v>
      </c>
      <c r="AE30" s="29">
        <f t="shared" si="86"/>
        <v>270.92890726129639</v>
      </c>
      <c r="AF30" s="29">
        <f t="shared" si="86"/>
        <v>307.41107826860917</v>
      </c>
      <c r="AG30" s="29">
        <f t="shared" si="86"/>
        <v>347.69296808265676</v>
      </c>
      <c r="AH30" s="29">
        <f t="shared" si="86"/>
        <v>392.00097049726122</v>
      </c>
      <c r="AI30" s="29">
        <f t="shared" si="86"/>
        <v>440.5506764258057</v>
      </c>
      <c r="AJ30" s="29">
        <f t="shared" ref="AJ30:BK30" si="87">IF(RepeatPurchase1 = RepeatYearly,AJ28,0)+IF(RepeatPurchase2 = RepeatYearly,AJ29,0)</f>
        <v>493.54275974865561</v>
      </c>
      <c r="AK30" s="29">
        <f t="shared" si="87"/>
        <v>551.15861356303128</v>
      </c>
      <c r="AL30" s="29">
        <f t="shared" si="87"/>
        <v>613.55579203030243</v>
      </c>
      <c r="AM30" s="29">
        <f t="shared" si="87"/>
        <v>680.86332354000444</v>
      </c>
      <c r="AN30" s="29">
        <f t="shared" si="87"/>
        <v>680.86332354000444</v>
      </c>
      <c r="AO30" s="29">
        <f t="shared" si="87"/>
        <v>680.86332354000444</v>
      </c>
      <c r="AP30" s="29">
        <f t="shared" si="87"/>
        <v>680.86332354000444</v>
      </c>
      <c r="AQ30" s="29">
        <f t="shared" si="87"/>
        <v>680.86332354000444</v>
      </c>
      <c r="AR30" s="29">
        <f t="shared" si="87"/>
        <v>680.86332354000444</v>
      </c>
      <c r="AS30" s="29">
        <f t="shared" si="87"/>
        <v>680.86332354000444</v>
      </c>
      <c r="AT30" s="29">
        <f t="shared" si="87"/>
        <v>680.86332354000444</v>
      </c>
      <c r="AU30" s="29">
        <f t="shared" si="87"/>
        <v>680.86332354000444</v>
      </c>
      <c r="AV30" s="29">
        <f t="shared" si="87"/>
        <v>680.86332354000444</v>
      </c>
      <c r="AW30" s="29">
        <f t="shared" si="87"/>
        <v>680.86332354000444</v>
      </c>
      <c r="AX30" s="29">
        <f t="shared" si="87"/>
        <v>680.86332354000444</v>
      </c>
      <c r="AY30" s="29">
        <f t="shared" si="87"/>
        <v>680.86332354000444</v>
      </c>
      <c r="AZ30" s="29">
        <f t="shared" si="87"/>
        <v>680.86332354000444</v>
      </c>
      <c r="BA30" s="29">
        <f t="shared" si="87"/>
        <v>680.86332354000444</v>
      </c>
      <c r="BB30" s="29">
        <f t="shared" si="87"/>
        <v>680.86332354000444</v>
      </c>
      <c r="BC30" s="29">
        <f t="shared" si="87"/>
        <v>680.86332354000444</v>
      </c>
      <c r="BD30" s="29">
        <f t="shared" si="87"/>
        <v>680.86332354000444</v>
      </c>
      <c r="BE30" s="29">
        <f t="shared" si="87"/>
        <v>680.86332354000444</v>
      </c>
      <c r="BF30" s="29">
        <f t="shared" si="87"/>
        <v>680.86332354000444</v>
      </c>
      <c r="BG30" s="29">
        <f t="shared" si="87"/>
        <v>680.86332354000444</v>
      </c>
      <c r="BH30" s="29">
        <f t="shared" si="87"/>
        <v>680.86332354000444</v>
      </c>
      <c r="BI30" s="29">
        <f t="shared" si="87"/>
        <v>680.86332354000444</v>
      </c>
      <c r="BJ30" s="29">
        <f t="shared" si="87"/>
        <v>680.86332354000444</v>
      </c>
      <c r="BK30" s="29">
        <f t="shared" si="87"/>
        <v>680.86332354000444</v>
      </c>
    </row>
    <row r="31" spans="1:63" x14ac:dyDescent="0.2">
      <c r="A31" s="148"/>
      <c r="B31" s="19"/>
      <c r="C31" s="9"/>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row>
    <row r="32" spans="1:63" x14ac:dyDescent="0.2">
      <c r="A32" s="148"/>
      <c r="B32" s="20" t="s">
        <v>30</v>
      </c>
      <c r="C32" s="9"/>
      <c r="D32" s="29">
        <f t="shared" ref="D32:AI32" si="88">FirstTimeUnitsSold + MonthlyRepeatUnits + YearlyRepeatUnits</f>
        <v>98.825145398029349</v>
      </c>
      <c r="E32" s="29">
        <f t="shared" si="88"/>
        <v>130.02555385463828</v>
      </c>
      <c r="F32" s="29">
        <f t="shared" si="88"/>
        <v>165.32127255705834</v>
      </c>
      <c r="G32" s="29">
        <f t="shared" si="88"/>
        <v>205.37363886689457</v>
      </c>
      <c r="H32" s="29">
        <f t="shared" si="88"/>
        <v>250.89928502842361</v>
      </c>
      <c r="I32" s="29">
        <f t="shared" si="88"/>
        <v>302.67175489731136</v>
      </c>
      <c r="J32" s="29">
        <f t="shared" si="88"/>
        <v>361.52222234629005</v>
      </c>
      <c r="K32" s="29">
        <f t="shared" si="88"/>
        <v>428.33915790651633</v>
      </c>
      <c r="L32" s="29">
        <f t="shared" si="88"/>
        <v>504.06678757664838</v>
      </c>
      <c r="M32" s="29">
        <f t="shared" si="88"/>
        <v>589.70218929816144</v>
      </c>
      <c r="N32" s="29">
        <f t="shared" si="88"/>
        <v>686.2908789877057</v>
      </c>
      <c r="O32" s="29">
        <f t="shared" si="88"/>
        <v>794.92074980659595</v>
      </c>
      <c r="P32" s="29">
        <f t="shared" si="88"/>
        <v>942.126426252089</v>
      </c>
      <c r="Q32" s="29">
        <f t="shared" si="88"/>
        <v>1082.9865386700169</v>
      </c>
      <c r="R32" s="29">
        <f t="shared" si="88"/>
        <v>1240.0865110597501</v>
      </c>
      <c r="S32" s="29">
        <f t="shared" si="88"/>
        <v>1414.6863362972099</v>
      </c>
      <c r="T32" s="29">
        <f t="shared" si="88"/>
        <v>1608.0386225058899</v>
      </c>
      <c r="U32" s="29">
        <f t="shared" si="88"/>
        <v>1821.371128771347</v>
      </c>
      <c r="V32" s="29">
        <f t="shared" si="88"/>
        <v>2055.8673739184937</v>
      </c>
      <c r="W32" s="29">
        <f t="shared" si="88"/>
        <v>2312.6454682756953</v>
      </c>
      <c r="X32" s="29">
        <f t="shared" si="88"/>
        <v>2592.7353789260123</v>
      </c>
      <c r="Y32" s="29">
        <f t="shared" si="88"/>
        <v>2897.0549013586237</v>
      </c>
      <c r="Z32" s="29">
        <f t="shared" si="88"/>
        <v>3226.38467299175</v>
      </c>
      <c r="AA32" s="29">
        <f t="shared" si="88"/>
        <v>3581.3426248447163</v>
      </c>
      <c r="AB32" s="29">
        <f t="shared" si="88"/>
        <v>3985.2292868587597</v>
      </c>
      <c r="AC32" s="29">
        <f t="shared" si="88"/>
        <v>4396.7987915367112</v>
      </c>
      <c r="AD32" s="29">
        <f t="shared" si="88"/>
        <v>4835.3115147794251</v>
      </c>
      <c r="AE32" s="29">
        <f t="shared" si="88"/>
        <v>5300.5744855779149</v>
      </c>
      <c r="AF32" s="29">
        <f t="shared" si="88"/>
        <v>5792.1209067218242</v>
      </c>
      <c r="AG32" s="29">
        <f t="shared" si="88"/>
        <v>6309.192132430032</v>
      </c>
      <c r="AH32" s="29">
        <f t="shared" si="88"/>
        <v>6850.722820579068</v>
      </c>
      <c r="AI32" s="29">
        <f t="shared" si="88"/>
        <v>7415.3298094966067</v>
      </c>
      <c r="AJ32" s="29">
        <f t="shared" ref="AJ32:BK32" si="89">FirstTimeUnitsSold + MonthlyRepeatUnits + YearlyRepeatUnits</f>
        <v>8001.3052269662467</v>
      </c>
      <c r="AK32" s="29">
        <f t="shared" si="89"/>
        <v>8606.6142801594415</v>
      </c>
      <c r="AL32" s="29">
        <f t="shared" si="89"/>
        <v>9228.8981002146083</v>
      </c>
      <c r="AM32" s="29">
        <f t="shared" si="89"/>
        <v>9865.4819252311354</v>
      </c>
      <c r="AN32" s="29">
        <f t="shared" si="89"/>
        <v>10150.515004293211</v>
      </c>
      <c r="AO32" s="29">
        <f t="shared" si="89"/>
        <v>10430.956278312084</v>
      </c>
      <c r="AP32" s="29">
        <f t="shared" si="89"/>
        <v>10704.622055093301</v>
      </c>
      <c r="AQ32" s="29">
        <f t="shared" si="89"/>
        <v>10969.293445186886</v>
      </c>
      <c r="AR32" s="29">
        <f t="shared" si="89"/>
        <v>11222.745532409539</v>
      </c>
      <c r="AS32" s="29">
        <f t="shared" si="89"/>
        <v>11462.777958502811</v>
      </c>
      <c r="AT32" s="29">
        <f t="shared" si="89"/>
        <v>11687.246347611996</v>
      </c>
      <c r="AU32" s="29">
        <f t="shared" si="89"/>
        <v>11894.093952217214</v>
      </c>
      <c r="AV32" s="29">
        <f t="shared" si="89"/>
        <v>12081.382873417431</v>
      </c>
      <c r="AW32" s="29">
        <f t="shared" si="89"/>
        <v>12247.324196556097</v>
      </c>
      <c r="AX32" s="29">
        <f t="shared" si="89"/>
        <v>12390.30638899933</v>
      </c>
      <c r="AY32" s="29">
        <f t="shared" si="89"/>
        <v>12508.921330833055</v>
      </c>
      <c r="AZ32" s="29">
        <f t="shared" si="89"/>
        <v>12601.987391050096</v>
      </c>
      <c r="BA32" s="29">
        <f t="shared" si="89"/>
        <v>12668.569020632314</v>
      </c>
      <c r="BB32" s="29">
        <f t="shared" si="89"/>
        <v>12707.992408291579</v>
      </c>
      <c r="BC32" s="29">
        <f t="shared" si="89"/>
        <v>12719.856832522619</v>
      </c>
      <c r="BD32" s="29">
        <f t="shared" si="89"/>
        <v>12704.041442520196</v>
      </c>
      <c r="BE32" s="29">
        <f t="shared" si="89"/>
        <v>12660.707307496588</v>
      </c>
      <c r="BF32" s="29">
        <f t="shared" si="89"/>
        <v>12590.294685805104</v>
      </c>
      <c r="BG32" s="29">
        <f t="shared" si="89"/>
        <v>12493.515578615377</v>
      </c>
      <c r="BH32" s="29">
        <f t="shared" si="89"/>
        <v>12371.341744265306</v>
      </c>
      <c r="BI32" s="29">
        <f t="shared" si="89"/>
        <v>12224.988455431057</v>
      </c>
      <c r="BJ32" s="29">
        <f t="shared" si="89"/>
        <v>12055.894378757981</v>
      </c>
      <c r="BK32" s="29">
        <f t="shared" si="89"/>
        <v>11865.698042687322</v>
      </c>
    </row>
    <row r="33" spans="1:63" x14ac:dyDescent="0.2">
      <c r="C33" s="9"/>
      <c r="AN33"/>
    </row>
    <row r="34" spans="1:63" s="7" customFormat="1" x14ac:dyDescent="0.2">
      <c r="A34" s="147" t="s">
        <v>39</v>
      </c>
      <c r="B34" s="7" t="str">
        <f>'Market Assumptions'!A3</f>
        <v>Target Segment 1</v>
      </c>
      <c r="C34" s="51"/>
      <c r="D34" s="38">
        <f t="shared" ref="D34:AI34" si="90">FV(PriceTrend1, _xlfn.FLOOR.MATH((Month-1)/12),0,-1*UnitPrice1) * (Units1+RepeatMonthly1+RepeatYearly1)</f>
        <v>564.71511656016764</v>
      </c>
      <c r="E34" s="38">
        <f t="shared" si="90"/>
        <v>670.39693561162562</v>
      </c>
      <c r="F34" s="38">
        <f t="shared" si="90"/>
        <v>793.1534879740193</v>
      </c>
      <c r="G34" s="38">
        <f t="shared" si="90"/>
        <v>935.20122538305509</v>
      </c>
      <c r="H34" s="38">
        <f t="shared" si="90"/>
        <v>1098.9438598567481</v>
      </c>
      <c r="I34" s="38">
        <f t="shared" si="90"/>
        <v>1286.9703968708063</v>
      </c>
      <c r="J34" s="38">
        <f t="shared" si="90"/>
        <v>1502.0494086643926</v>
      </c>
      <c r="K34" s="38">
        <f t="shared" si="90"/>
        <v>1747.1190169402757</v>
      </c>
      <c r="L34" s="38">
        <f t="shared" si="90"/>
        <v>2025.2720728441195</v>
      </c>
      <c r="M34" s="38">
        <f t="shared" si="90"/>
        <v>2339.7360589321947</v>
      </c>
      <c r="N34" s="38">
        <f t="shared" si="90"/>
        <v>2693.8472947154669</v>
      </c>
      <c r="O34" s="38">
        <f t="shared" si="90"/>
        <v>3091.0191057385641</v>
      </c>
      <c r="P34" s="38">
        <f t="shared" si="90"/>
        <v>4042.9473217935874</v>
      </c>
      <c r="Q34" s="38">
        <f t="shared" si="90"/>
        <v>4631.7049960011718</v>
      </c>
      <c r="R34" s="38">
        <f t="shared" si="90"/>
        <v>5289.17952188245</v>
      </c>
      <c r="S34" s="38">
        <f t="shared" si="90"/>
        <v>6020.6423835843643</v>
      </c>
      <c r="T34" s="38">
        <f t="shared" si="90"/>
        <v>6831.3572948579813</v>
      </c>
      <c r="U34" s="38">
        <f t="shared" si="90"/>
        <v>7726.5104018368165</v>
      </c>
      <c r="V34" s="38">
        <f t="shared" si="90"/>
        <v>8711.1326777169161</v>
      </c>
      <c r="W34" s="38">
        <f t="shared" si="90"/>
        <v>9790.0150316845702</v>
      </c>
      <c r="X34" s="38">
        <f t="shared" si="90"/>
        <v>10967.616883303457</v>
      </c>
      <c r="Y34" s="38">
        <f t="shared" si="90"/>
        <v>12247.969190289583</v>
      </c>
      <c r="Z34" s="38">
        <f t="shared" si="90"/>
        <v>13634.573156228942</v>
      </c>
      <c r="AA34" s="38">
        <f t="shared" si="90"/>
        <v>15130.296078666765</v>
      </c>
      <c r="AB34" s="38">
        <f t="shared" si="90"/>
        <v>17194.685264317046</v>
      </c>
      <c r="AC34" s="38">
        <f t="shared" si="90"/>
        <v>18999.788703037029</v>
      </c>
      <c r="AD34" s="38">
        <f t="shared" si="90"/>
        <v>20931.592393383224</v>
      </c>
      <c r="AE34" s="38">
        <f t="shared" si="90"/>
        <v>22991.187555793884</v>
      </c>
      <c r="AF34" s="38">
        <f t="shared" si="90"/>
        <v>25178.684870486086</v>
      </c>
      <c r="AG34" s="38">
        <f t="shared" si="90"/>
        <v>27493.132875538038</v>
      </c>
      <c r="AH34" s="38">
        <f t="shared" si="90"/>
        <v>29932.445275908831</v>
      </c>
      <c r="AI34" s="38">
        <f t="shared" si="90"/>
        <v>32493.339013671895</v>
      </c>
      <c r="AJ34" s="38">
        <f t="shared" ref="AJ34:BK34" si="91">FV(PriceTrend1, _xlfn.FLOOR.MATH((Month-1)/12),0,-1*UnitPrice1) * (Units1+RepeatMonthly1+RepeatYearly1)</f>
        <v>35171.284840401117</v>
      </c>
      <c r="AK34" s="38">
        <f t="shared" si="91"/>
        <v>37960.471975451248</v>
      </c>
      <c r="AL34" s="38">
        <f t="shared" si="91"/>
        <v>40853.788230967606</v>
      </c>
      <c r="AM34" s="38">
        <f t="shared" si="91"/>
        <v>43842.816739509028</v>
      </c>
      <c r="AN34" s="38">
        <f t="shared" si="91"/>
        <v>45471.577191292308</v>
      </c>
      <c r="AO34" s="38">
        <f t="shared" si="91"/>
        <v>47074.098757114443</v>
      </c>
      <c r="AP34" s="38">
        <f t="shared" si="91"/>
        <v>48637.903195864259</v>
      </c>
      <c r="AQ34" s="38">
        <f t="shared" si="91"/>
        <v>50150.31113925617</v>
      </c>
      <c r="AR34" s="38">
        <f t="shared" si="91"/>
        <v>51598.608780528477</v>
      </c>
      <c r="AS34" s="38">
        <f t="shared" si="91"/>
        <v>52970.222643918605</v>
      </c>
      <c r="AT34" s="38">
        <f t="shared" si="91"/>
        <v>54252.89915311394</v>
      </c>
      <c r="AU34" s="38">
        <f t="shared" si="91"/>
        <v>55434.88546514375</v>
      </c>
      <c r="AV34" s="38">
        <f t="shared" si="91"/>
        <v>56505.107872002132</v>
      </c>
      <c r="AW34" s="38">
        <f t="shared" si="91"/>
        <v>57453.344004223094</v>
      </c>
      <c r="AX34" s="38">
        <f t="shared" si="91"/>
        <v>58270.385103898705</v>
      </c>
      <c r="AY34" s="38">
        <f t="shared" si="91"/>
        <v>58948.184771519984</v>
      </c>
      <c r="AZ34" s="38">
        <f t="shared" si="91"/>
        <v>59479.990829903079</v>
      </c>
      <c r="BA34" s="38">
        <f t="shared" si="91"/>
        <v>59860.457284658616</v>
      </c>
      <c r="BB34" s="38">
        <f t="shared" si="91"/>
        <v>60085.7337855687</v>
      </c>
      <c r="BC34" s="38">
        <f t="shared" si="91"/>
        <v>60153.530495460356</v>
      </c>
      <c r="BD34" s="38">
        <f t="shared" si="91"/>
        <v>60063.156838303657</v>
      </c>
      <c r="BE34" s="38">
        <f t="shared" si="91"/>
        <v>59815.533209597328</v>
      </c>
      <c r="BF34" s="38">
        <f t="shared" si="91"/>
        <v>59413.175371360267</v>
      </c>
      <c r="BG34" s="38">
        <f t="shared" si="91"/>
        <v>58860.151901704681</v>
      </c>
      <c r="BH34" s="38">
        <f t="shared" si="91"/>
        <v>58162.015705418569</v>
      </c>
      <c r="BI34" s="38">
        <f t="shared" si="91"/>
        <v>57325.711197794291</v>
      </c>
      <c r="BJ34" s="38">
        <f t="shared" si="91"/>
        <v>56359.459331090991</v>
      </c>
      <c r="BK34" s="38">
        <f t="shared" si="91"/>
        <v>55272.623124972946</v>
      </c>
    </row>
    <row r="35" spans="1:63" s="7" customFormat="1" x14ac:dyDescent="0.2">
      <c r="A35" s="147"/>
      <c r="B35" s="7" t="str">
        <f>'Market Assumptions'!A4</f>
        <v>Target Segment 2</v>
      </c>
      <c r="C35" s="51"/>
      <c r="D35" s="38">
        <f t="shared" ref="D35:AI35" si="92">FV(PriceTrend2, _xlfn.FLOOR.MATH((Month-1)/12),0,-1*UnitPrice2) *(Units2+RepeatMonthly2+RepeatYearly2)</f>
        <v>282.35755828008382</v>
      </c>
      <c r="E35" s="38">
        <f t="shared" si="92"/>
        <v>589.3202702578883</v>
      </c>
      <c r="F35" s="38">
        <f t="shared" si="92"/>
        <v>926.96498721910916</v>
      </c>
      <c r="G35" s="38">
        <f t="shared" si="92"/>
        <v>1301.8691011887256</v>
      </c>
      <c r="H35" s="38">
        <f t="shared" si="92"/>
        <v>1721.1541209982274</v>
      </c>
      <c r="I35" s="38">
        <f t="shared" si="92"/>
        <v>2192.523907333808</v>
      </c>
      <c r="J35" s="38">
        <f t="shared" si="92"/>
        <v>2724.2962209326233</v>
      </c>
      <c r="K35" s="38">
        <f t="shared" si="92"/>
        <v>3325.426107309499</v>
      </c>
      <c r="L35" s="38">
        <f t="shared" si="92"/>
        <v>4005.519533000609</v>
      </c>
      <c r="M35" s="38">
        <f t="shared" si="92"/>
        <v>4774.8356091666446</v>
      </c>
      <c r="N35" s="38">
        <f t="shared" si="92"/>
        <v>5644.2756956077137</v>
      </c>
      <c r="O35" s="38">
        <f t="shared" si="92"/>
        <v>6625.3576789162262</v>
      </c>
      <c r="P35" s="38">
        <f t="shared" si="92"/>
        <v>7730.1737694693211</v>
      </c>
      <c r="Q35" s="38">
        <f t="shared" si="92"/>
        <v>8971.3302694977447</v>
      </c>
      <c r="R35" s="38">
        <f t="shared" si="92"/>
        <v>10361.867933900887</v>
      </c>
      <c r="S35" s="38">
        <f t="shared" si="92"/>
        <v>11915.161780880606</v>
      </c>
      <c r="T35" s="38">
        <f t="shared" si="92"/>
        <v>13644.799513285998</v>
      </c>
      <c r="U35" s="38">
        <f t="shared" si="92"/>
        <v>15564.438084283945</v>
      </c>
      <c r="V35" s="38">
        <f t="shared" si="92"/>
        <v>17687.638380815035</v>
      </c>
      <c r="W35" s="38">
        <f t="shared" si="92"/>
        <v>20027.67850095269</v>
      </c>
      <c r="X35" s="38">
        <f t="shared" si="92"/>
        <v>22597.346659729297</v>
      </c>
      <c r="Y35" s="38">
        <f t="shared" si="92"/>
        <v>25408.71536238167</v>
      </c>
      <c r="Z35" s="38">
        <f t="shared" si="92"/>
        <v>28472.899121636019</v>
      </c>
      <c r="AA35" s="38">
        <f t="shared" si="92"/>
        <v>31799.798651223446</v>
      </c>
      <c r="AB35" s="38">
        <f t="shared" si="92"/>
        <v>35397.835123452518</v>
      </c>
      <c r="AC35" s="38">
        <f t="shared" si="92"/>
        <v>39273.678714425252</v>
      </c>
      <c r="AD35" s="38">
        <f t="shared" si="92"/>
        <v>43431.976254827234</v>
      </c>
      <c r="AE35" s="38">
        <f t="shared" si="92"/>
        <v>47875.083334628493</v>
      </c>
      <c r="AF35" s="38">
        <f t="shared" si="92"/>
        <v>52602.80665372259</v>
      </c>
      <c r="AG35" s="38">
        <f t="shared" si="92"/>
        <v>57612.162745292793</v>
      </c>
      <c r="AH35" s="38">
        <f t="shared" si="92"/>
        <v>62897.159403745318</v>
      </c>
      <c r="AI35" s="38">
        <f t="shared" si="92"/>
        <v>68448.606205948672</v>
      </c>
      <c r="AJ35" s="38">
        <f t="shared" ref="AJ35:BK35" si="93">FV(PriceTrend2, _xlfn.FLOOR.MATH((Month-1)/12),0,-1*UnitPrice2) *(Units2+RepeatMonthly2+RepeatYearly2)</f>
        <v>74253.960408067811</v>
      </c>
      <c r="AK35" s="38">
        <f t="shared" si="93"/>
        <v>80297.214219356363</v>
      </c>
      <c r="AL35" s="38">
        <f t="shared" si="93"/>
        <v>86558.828992601484</v>
      </c>
      <c r="AM35" s="38">
        <f t="shared" si="93"/>
        <v>93015.721227695816</v>
      </c>
      <c r="AN35" s="38">
        <f t="shared" si="93"/>
        <v>93830.101453587442</v>
      </c>
      <c r="AO35" s="38">
        <f t="shared" si="93"/>
        <v>94631.36223649852</v>
      </c>
      <c r="AP35" s="38">
        <f t="shared" si="93"/>
        <v>95413.264455873432</v>
      </c>
      <c r="AQ35" s="38">
        <f t="shared" si="93"/>
        <v>96169.468427569387</v>
      </c>
      <c r="AR35" s="38">
        <f t="shared" si="93"/>
        <v>96893.617248205541</v>
      </c>
      <c r="AS35" s="38">
        <f t="shared" si="93"/>
        <v>97579.424179900598</v>
      </c>
      <c r="AT35" s="38">
        <f t="shared" si="93"/>
        <v>98220.762434498261</v>
      </c>
      <c r="AU35" s="38">
        <f t="shared" si="93"/>
        <v>98811.755590513174</v>
      </c>
      <c r="AV35" s="38">
        <f t="shared" si="93"/>
        <v>99346.866793942376</v>
      </c>
      <c r="AW35" s="38">
        <f t="shared" si="93"/>
        <v>99820.984860052849</v>
      </c>
      <c r="AX35" s="38">
        <f t="shared" si="93"/>
        <v>100229.50540989067</v>
      </c>
      <c r="AY35" s="38">
        <f t="shared" si="93"/>
        <v>100568.40524370129</v>
      </c>
      <c r="AZ35" s="38">
        <f t="shared" si="93"/>
        <v>100834.30827289284</v>
      </c>
      <c r="BA35" s="38">
        <f t="shared" si="93"/>
        <v>101024.5415002706</v>
      </c>
      <c r="BB35" s="38">
        <f t="shared" si="93"/>
        <v>101137.17975072564</v>
      </c>
      <c r="BC35" s="38">
        <f t="shared" si="93"/>
        <v>101171.07810567148</v>
      </c>
      <c r="BD35" s="38">
        <f t="shared" si="93"/>
        <v>101125.89127709312</v>
      </c>
      <c r="BE35" s="38">
        <f t="shared" si="93"/>
        <v>101002.07946273996</v>
      </c>
      <c r="BF35" s="38">
        <f t="shared" si="93"/>
        <v>100800.90054362142</v>
      </c>
      <c r="BG35" s="38">
        <f t="shared" si="93"/>
        <v>100524.38880879365</v>
      </c>
      <c r="BH35" s="38">
        <f t="shared" si="93"/>
        <v>100175.32071065059</v>
      </c>
      <c r="BI35" s="38">
        <f t="shared" si="93"/>
        <v>99757.168456838437</v>
      </c>
      <c r="BJ35" s="38">
        <f t="shared" si="93"/>
        <v>99274.042523486787</v>
      </c>
      <c r="BK35" s="38">
        <f t="shared" si="93"/>
        <v>98730.624420427775</v>
      </c>
    </row>
    <row r="36" spans="1:63" s="7" customFormat="1" x14ac:dyDescent="0.2">
      <c r="A36" s="147"/>
      <c r="B36" s="7" t="str">
        <f>'Market Assumptions'!A5</f>
        <v>Target Segment 3</v>
      </c>
      <c r="C36" s="51"/>
      <c r="D36" s="38">
        <f t="shared" ref="D36:AI36" si="94">FV(PriceTrend3, _xlfn.FLOOR.MATH((Month-1)/12),0,-1*UnitPrice3) * Units3</f>
        <v>1129.4302331203353</v>
      </c>
      <c r="E36" s="38">
        <f t="shared" si="94"/>
        <v>1340.7938712232512</v>
      </c>
      <c r="F36" s="38">
        <f t="shared" si="94"/>
        <v>1586.3069759480386</v>
      </c>
      <c r="G36" s="38">
        <f t="shared" si="94"/>
        <v>1870.4024507661102</v>
      </c>
      <c r="H36" s="38">
        <f t="shared" si="94"/>
        <v>2197.8877197134962</v>
      </c>
      <c r="I36" s="38">
        <f t="shared" si="94"/>
        <v>2573.9407937416127</v>
      </c>
      <c r="J36" s="38">
        <f t="shared" si="94"/>
        <v>3004.0988173287851</v>
      </c>
      <c r="K36" s="38">
        <f t="shared" si="94"/>
        <v>3494.2380338805515</v>
      </c>
      <c r="L36" s="38">
        <f t="shared" si="94"/>
        <v>4050.544145688239</v>
      </c>
      <c r="M36" s="38">
        <f t="shared" si="94"/>
        <v>4679.4721178643895</v>
      </c>
      <c r="N36" s="38">
        <f t="shared" si="94"/>
        <v>5387.6945894309338</v>
      </c>
      <c r="O36" s="38">
        <f t="shared" si="94"/>
        <v>6182.0382114771282</v>
      </c>
      <c r="P36" s="38">
        <f t="shared" si="94"/>
        <v>7069.4074337788734</v>
      </c>
      <c r="Q36" s="38">
        <f t="shared" si="94"/>
        <v>8056.6955079014178</v>
      </c>
      <c r="R36" s="38">
        <f t="shared" si="94"/>
        <v>9150.6827654116641</v>
      </c>
      <c r="S36" s="38">
        <f t="shared" si="94"/>
        <v>10357.922561479229</v>
      </c>
      <c r="T36" s="38">
        <f t="shared" si="94"/>
        <v>11684.615641973816</v>
      </c>
      <c r="U36" s="38">
        <f t="shared" si="94"/>
        <v>13136.474089306183</v>
      </c>
      <c r="V36" s="38">
        <f t="shared" si="94"/>
        <v>14718.576419837926</v>
      </c>
      <c r="W36" s="38">
        <f t="shared" si="94"/>
        <v>16435.215832876645</v>
      </c>
      <c r="X36" s="38">
        <f t="shared" si="94"/>
        <v>18289.7440354875</v>
      </c>
      <c r="Y36" s="38">
        <f t="shared" si="94"/>
        <v>20284.413474501216</v>
      </c>
      <c r="Z36" s="38">
        <f t="shared" si="94"/>
        <v>22420.221181970042</v>
      </c>
      <c r="AA36" s="38">
        <f t="shared" si="94"/>
        <v>24696.757767004114</v>
      </c>
      <c r="AB36" s="38">
        <f t="shared" si="94"/>
        <v>27112.065349405635</v>
      </c>
      <c r="AC36" s="38">
        <f t="shared" si="94"/>
        <v>29662.508413271949</v>
      </c>
      <c r="AD36" s="38">
        <f t="shared" si="94"/>
        <v>32342.661647378038</v>
      </c>
      <c r="AE36" s="38">
        <f t="shared" si="94"/>
        <v>35145.218821135917</v>
      </c>
      <c r="AF36" s="38">
        <f t="shared" si="94"/>
        <v>38060.926610227805</v>
      </c>
      <c r="AG36" s="38">
        <f t="shared" si="94"/>
        <v>41078.547027769811</v>
      </c>
      <c r="AH36" s="38">
        <f t="shared" si="94"/>
        <v>44184.851731927207</v>
      </c>
      <c r="AI36" s="38">
        <f t="shared" si="94"/>
        <v>47364.650970311559</v>
      </c>
      <c r="AJ36" s="38">
        <f t="shared" ref="AJ36:BK36" si="95">FV(PriceTrend3, _xlfn.FLOOR.MATH((Month-1)/12),0,-1*UnitPrice3) * Units3</f>
        <v>50600.859290856009</v>
      </c>
      <c r="AK36" s="38">
        <f t="shared" si="95"/>
        <v>53874.59940838124</v>
      </c>
      <c r="AL36" s="38">
        <f t="shared" si="95"/>
        <v>57165.344780723106</v>
      </c>
      <c r="AM36" s="38">
        <f t="shared" si="95"/>
        <v>60451.100537417871</v>
      </c>
      <c r="AN36" s="38">
        <f t="shared" si="95"/>
        <v>63708.621440984432</v>
      </c>
      <c r="AO36" s="38">
        <f t="shared" si="95"/>
        <v>66913.66457262871</v>
      </c>
      <c r="AP36" s="38">
        <f t="shared" si="95"/>
        <v>70041.273450128341</v>
      </c>
      <c r="AQ36" s="38">
        <f t="shared" si="95"/>
        <v>73066.089336912162</v>
      </c>
      <c r="AR36" s="38">
        <f t="shared" si="95"/>
        <v>75962.684619456762</v>
      </c>
      <c r="AS36" s="38">
        <f t="shared" si="95"/>
        <v>78705.912346237033</v>
      </c>
      <c r="AT36" s="38">
        <f t="shared" si="95"/>
        <v>81271.265364627703</v>
      </c>
      <c r="AU36" s="38">
        <f t="shared" si="95"/>
        <v>83635.237988687324</v>
      </c>
      <c r="AV36" s="38">
        <f t="shared" si="95"/>
        <v>85775.682802404102</v>
      </c>
      <c r="AW36" s="38">
        <f t="shared" si="95"/>
        <v>87672.155066846011</v>
      </c>
      <c r="AX36" s="38">
        <f t="shared" si="95"/>
        <v>89306.237266197248</v>
      </c>
      <c r="AY36" s="38">
        <f t="shared" si="95"/>
        <v>90661.836601439791</v>
      </c>
      <c r="AZ36" s="38">
        <f t="shared" si="95"/>
        <v>91725.448718205997</v>
      </c>
      <c r="BA36" s="38">
        <f t="shared" si="95"/>
        <v>92486.381627717055</v>
      </c>
      <c r="BB36" s="38">
        <f t="shared" si="95"/>
        <v>92936.934629537223</v>
      </c>
      <c r="BC36" s="38">
        <f t="shared" si="95"/>
        <v>93072.528049320536</v>
      </c>
      <c r="BD36" s="38">
        <f t="shared" si="95"/>
        <v>92891.780735007138</v>
      </c>
      <c r="BE36" s="38">
        <f t="shared" si="95"/>
        <v>92396.533477594479</v>
      </c>
      <c r="BF36" s="38">
        <f t="shared" si="95"/>
        <v>91591.817801120356</v>
      </c>
      <c r="BG36" s="38">
        <f t="shared" si="95"/>
        <v>90485.7708618092</v>
      </c>
      <c r="BH36" s="38">
        <f t="shared" si="95"/>
        <v>89089.498469236976</v>
      </c>
      <c r="BI36" s="38">
        <f t="shared" si="95"/>
        <v>87416.889453988406</v>
      </c>
      <c r="BJ36" s="38">
        <f t="shared" si="95"/>
        <v>85484.385720581806</v>
      </c>
      <c r="BK36" s="38">
        <f t="shared" si="95"/>
        <v>83310.713308345716</v>
      </c>
    </row>
    <row r="37" spans="1:63" s="7" customFormat="1" x14ac:dyDescent="0.2">
      <c r="A37" s="147"/>
      <c r="B37" s="7" t="str">
        <f>'Market Assumptions'!A6</f>
        <v>N/A</v>
      </c>
      <c r="C37" s="51"/>
      <c r="D37" s="38">
        <f t="shared" ref="D37:AI37" si="96">FV(PriceTrend4, _xlfn.FLOOR.MATH((Month-1)/12),0,-1*UnitPrice4) * Units4</f>
        <v>0</v>
      </c>
      <c r="E37" s="38">
        <f t="shared" si="96"/>
        <v>0</v>
      </c>
      <c r="F37" s="38">
        <f t="shared" si="96"/>
        <v>0</v>
      </c>
      <c r="G37" s="38">
        <f t="shared" si="96"/>
        <v>0</v>
      </c>
      <c r="H37" s="38">
        <f t="shared" si="96"/>
        <v>0</v>
      </c>
      <c r="I37" s="38">
        <f t="shared" si="96"/>
        <v>0</v>
      </c>
      <c r="J37" s="38">
        <f t="shared" si="96"/>
        <v>0</v>
      </c>
      <c r="K37" s="38">
        <f t="shared" si="96"/>
        <v>0</v>
      </c>
      <c r="L37" s="38">
        <f t="shared" si="96"/>
        <v>0</v>
      </c>
      <c r="M37" s="38">
        <f t="shared" si="96"/>
        <v>0</v>
      </c>
      <c r="N37" s="38">
        <f t="shared" si="96"/>
        <v>0</v>
      </c>
      <c r="O37" s="38">
        <f t="shared" si="96"/>
        <v>0</v>
      </c>
      <c r="P37" s="38">
        <f t="shared" si="96"/>
        <v>0</v>
      </c>
      <c r="Q37" s="38">
        <f t="shared" si="96"/>
        <v>0</v>
      </c>
      <c r="R37" s="38">
        <f t="shared" si="96"/>
        <v>0</v>
      </c>
      <c r="S37" s="38">
        <f t="shared" si="96"/>
        <v>0</v>
      </c>
      <c r="T37" s="38">
        <f t="shared" si="96"/>
        <v>0</v>
      </c>
      <c r="U37" s="38">
        <f t="shared" si="96"/>
        <v>0</v>
      </c>
      <c r="V37" s="38">
        <f t="shared" si="96"/>
        <v>0</v>
      </c>
      <c r="W37" s="38">
        <f t="shared" si="96"/>
        <v>0</v>
      </c>
      <c r="X37" s="38">
        <f t="shared" si="96"/>
        <v>0</v>
      </c>
      <c r="Y37" s="38">
        <f t="shared" si="96"/>
        <v>0</v>
      </c>
      <c r="Z37" s="38">
        <f t="shared" si="96"/>
        <v>0</v>
      </c>
      <c r="AA37" s="38">
        <f t="shared" si="96"/>
        <v>0</v>
      </c>
      <c r="AB37" s="38">
        <f t="shared" si="96"/>
        <v>0</v>
      </c>
      <c r="AC37" s="38">
        <f t="shared" si="96"/>
        <v>0</v>
      </c>
      <c r="AD37" s="38">
        <f t="shared" si="96"/>
        <v>0</v>
      </c>
      <c r="AE37" s="38">
        <f t="shared" si="96"/>
        <v>0</v>
      </c>
      <c r="AF37" s="38">
        <f t="shared" si="96"/>
        <v>0</v>
      </c>
      <c r="AG37" s="38">
        <f t="shared" si="96"/>
        <v>0</v>
      </c>
      <c r="AH37" s="38">
        <f t="shared" si="96"/>
        <v>0</v>
      </c>
      <c r="AI37" s="38">
        <f t="shared" si="96"/>
        <v>0</v>
      </c>
      <c r="AJ37" s="38">
        <f t="shared" ref="AJ37:BK37" si="97">FV(PriceTrend4, _xlfn.FLOOR.MATH((Month-1)/12),0,-1*UnitPrice4) * Units4</f>
        <v>0</v>
      </c>
      <c r="AK37" s="38">
        <f t="shared" si="97"/>
        <v>0</v>
      </c>
      <c r="AL37" s="38">
        <f t="shared" si="97"/>
        <v>0</v>
      </c>
      <c r="AM37" s="38">
        <f t="shared" si="97"/>
        <v>0</v>
      </c>
      <c r="AN37" s="38">
        <f t="shared" si="97"/>
        <v>0</v>
      </c>
      <c r="AO37" s="38">
        <f t="shared" si="97"/>
        <v>0</v>
      </c>
      <c r="AP37" s="38">
        <f t="shared" si="97"/>
        <v>0</v>
      </c>
      <c r="AQ37" s="38">
        <f t="shared" si="97"/>
        <v>0</v>
      </c>
      <c r="AR37" s="38">
        <f t="shared" si="97"/>
        <v>0</v>
      </c>
      <c r="AS37" s="38">
        <f t="shared" si="97"/>
        <v>0</v>
      </c>
      <c r="AT37" s="38">
        <f t="shared" si="97"/>
        <v>0</v>
      </c>
      <c r="AU37" s="38">
        <f t="shared" si="97"/>
        <v>0</v>
      </c>
      <c r="AV37" s="38">
        <f t="shared" si="97"/>
        <v>0</v>
      </c>
      <c r="AW37" s="38">
        <f t="shared" si="97"/>
        <v>0</v>
      </c>
      <c r="AX37" s="38">
        <f t="shared" si="97"/>
        <v>0</v>
      </c>
      <c r="AY37" s="38">
        <f t="shared" si="97"/>
        <v>0</v>
      </c>
      <c r="AZ37" s="38">
        <f t="shared" si="97"/>
        <v>0</v>
      </c>
      <c r="BA37" s="38">
        <f t="shared" si="97"/>
        <v>0</v>
      </c>
      <c r="BB37" s="38">
        <f t="shared" si="97"/>
        <v>0</v>
      </c>
      <c r="BC37" s="38">
        <f t="shared" si="97"/>
        <v>0</v>
      </c>
      <c r="BD37" s="38">
        <f t="shared" si="97"/>
        <v>0</v>
      </c>
      <c r="BE37" s="38">
        <f t="shared" si="97"/>
        <v>0</v>
      </c>
      <c r="BF37" s="38">
        <f t="shared" si="97"/>
        <v>0</v>
      </c>
      <c r="BG37" s="38">
        <f t="shared" si="97"/>
        <v>0</v>
      </c>
      <c r="BH37" s="38">
        <f t="shared" si="97"/>
        <v>0</v>
      </c>
      <c r="BI37" s="38">
        <f t="shared" si="97"/>
        <v>0</v>
      </c>
      <c r="BJ37" s="38">
        <f t="shared" si="97"/>
        <v>0</v>
      </c>
      <c r="BK37" s="38">
        <f t="shared" si="97"/>
        <v>0</v>
      </c>
    </row>
    <row r="38" spans="1:63" s="7" customFormat="1" x14ac:dyDescent="0.2">
      <c r="A38" s="147"/>
      <c r="B38" s="7" t="str">
        <f>'Market Assumptions'!A7</f>
        <v>N/A</v>
      </c>
      <c r="C38" s="51"/>
      <c r="D38" s="38">
        <f t="shared" ref="D38:AI38" si="98">FV(PriceTrend5, _xlfn.FLOOR.MATH((Month-1)/12),0,-1*UnitPrice5) * Units5</f>
        <v>0</v>
      </c>
      <c r="E38" s="38">
        <f t="shared" si="98"/>
        <v>0</v>
      </c>
      <c r="F38" s="38">
        <f t="shared" si="98"/>
        <v>0</v>
      </c>
      <c r="G38" s="38">
        <f t="shared" si="98"/>
        <v>0</v>
      </c>
      <c r="H38" s="38">
        <f t="shared" si="98"/>
        <v>0</v>
      </c>
      <c r="I38" s="38">
        <f t="shared" si="98"/>
        <v>0</v>
      </c>
      <c r="J38" s="38">
        <f t="shared" si="98"/>
        <v>0</v>
      </c>
      <c r="K38" s="38">
        <f t="shared" si="98"/>
        <v>0</v>
      </c>
      <c r="L38" s="38">
        <f t="shared" si="98"/>
        <v>0</v>
      </c>
      <c r="M38" s="38">
        <f t="shared" si="98"/>
        <v>0</v>
      </c>
      <c r="N38" s="38">
        <f t="shared" si="98"/>
        <v>0</v>
      </c>
      <c r="O38" s="38">
        <f t="shared" si="98"/>
        <v>0</v>
      </c>
      <c r="P38" s="38">
        <f t="shared" si="98"/>
        <v>0</v>
      </c>
      <c r="Q38" s="38">
        <f t="shared" si="98"/>
        <v>0</v>
      </c>
      <c r="R38" s="38">
        <f t="shared" si="98"/>
        <v>0</v>
      </c>
      <c r="S38" s="38">
        <f t="shared" si="98"/>
        <v>0</v>
      </c>
      <c r="T38" s="38">
        <f t="shared" si="98"/>
        <v>0</v>
      </c>
      <c r="U38" s="38">
        <f t="shared" si="98"/>
        <v>0</v>
      </c>
      <c r="V38" s="38">
        <f t="shared" si="98"/>
        <v>0</v>
      </c>
      <c r="W38" s="38">
        <f t="shared" si="98"/>
        <v>0</v>
      </c>
      <c r="X38" s="38">
        <f t="shared" si="98"/>
        <v>0</v>
      </c>
      <c r="Y38" s="38">
        <f t="shared" si="98"/>
        <v>0</v>
      </c>
      <c r="Z38" s="38">
        <f t="shared" si="98"/>
        <v>0</v>
      </c>
      <c r="AA38" s="38">
        <f t="shared" si="98"/>
        <v>0</v>
      </c>
      <c r="AB38" s="38">
        <f t="shared" si="98"/>
        <v>0</v>
      </c>
      <c r="AC38" s="38">
        <f t="shared" si="98"/>
        <v>0</v>
      </c>
      <c r="AD38" s="38">
        <f t="shared" si="98"/>
        <v>0</v>
      </c>
      <c r="AE38" s="38">
        <f t="shared" si="98"/>
        <v>0</v>
      </c>
      <c r="AF38" s="38">
        <f t="shared" si="98"/>
        <v>0</v>
      </c>
      <c r="AG38" s="38">
        <f t="shared" si="98"/>
        <v>0</v>
      </c>
      <c r="AH38" s="38">
        <f t="shared" si="98"/>
        <v>0</v>
      </c>
      <c r="AI38" s="38">
        <f t="shared" si="98"/>
        <v>0</v>
      </c>
      <c r="AJ38" s="38">
        <f t="shared" ref="AJ38:BK38" si="99">FV(PriceTrend5, _xlfn.FLOOR.MATH((Month-1)/12),0,-1*UnitPrice5) * Units5</f>
        <v>0</v>
      </c>
      <c r="AK38" s="38">
        <f t="shared" si="99"/>
        <v>0</v>
      </c>
      <c r="AL38" s="38">
        <f t="shared" si="99"/>
        <v>0</v>
      </c>
      <c r="AM38" s="38">
        <f t="shared" si="99"/>
        <v>0</v>
      </c>
      <c r="AN38" s="38">
        <f t="shared" si="99"/>
        <v>0</v>
      </c>
      <c r="AO38" s="38">
        <f t="shared" si="99"/>
        <v>0</v>
      </c>
      <c r="AP38" s="38">
        <f t="shared" si="99"/>
        <v>0</v>
      </c>
      <c r="AQ38" s="38">
        <f t="shared" si="99"/>
        <v>0</v>
      </c>
      <c r="AR38" s="38">
        <f t="shared" si="99"/>
        <v>0</v>
      </c>
      <c r="AS38" s="38">
        <f t="shared" si="99"/>
        <v>0</v>
      </c>
      <c r="AT38" s="38">
        <f t="shared" si="99"/>
        <v>0</v>
      </c>
      <c r="AU38" s="38">
        <f t="shared" si="99"/>
        <v>0</v>
      </c>
      <c r="AV38" s="38">
        <f t="shared" si="99"/>
        <v>0</v>
      </c>
      <c r="AW38" s="38">
        <f t="shared" si="99"/>
        <v>0</v>
      </c>
      <c r="AX38" s="38">
        <f t="shared" si="99"/>
        <v>0</v>
      </c>
      <c r="AY38" s="38">
        <f t="shared" si="99"/>
        <v>0</v>
      </c>
      <c r="AZ38" s="38">
        <f t="shared" si="99"/>
        <v>0</v>
      </c>
      <c r="BA38" s="38">
        <f t="shared" si="99"/>
        <v>0</v>
      </c>
      <c r="BB38" s="38">
        <f t="shared" si="99"/>
        <v>0</v>
      </c>
      <c r="BC38" s="38">
        <f t="shared" si="99"/>
        <v>0</v>
      </c>
      <c r="BD38" s="38">
        <f t="shared" si="99"/>
        <v>0</v>
      </c>
      <c r="BE38" s="38">
        <f t="shared" si="99"/>
        <v>0</v>
      </c>
      <c r="BF38" s="38">
        <f t="shared" si="99"/>
        <v>0</v>
      </c>
      <c r="BG38" s="38">
        <f t="shared" si="99"/>
        <v>0</v>
      </c>
      <c r="BH38" s="38">
        <f t="shared" si="99"/>
        <v>0</v>
      </c>
      <c r="BI38" s="38">
        <f t="shared" si="99"/>
        <v>0</v>
      </c>
      <c r="BJ38" s="38">
        <f t="shared" si="99"/>
        <v>0</v>
      </c>
      <c r="BK38" s="38">
        <f t="shared" si="99"/>
        <v>0</v>
      </c>
    </row>
    <row r="39" spans="1:63" s="7" customFormat="1" x14ac:dyDescent="0.2">
      <c r="A39" s="147"/>
      <c r="B39" s="7" t="str">
        <f>'Market Assumptions'!A8</f>
        <v>N/A</v>
      </c>
      <c r="C39" s="51"/>
      <c r="D39" s="38">
        <f t="shared" ref="D39:AI39" si="100">FV(PriceTrend6, _xlfn.FLOOR.MATH((Month-1)/12),0,-1*UnitPrice6) * Units6</f>
        <v>0</v>
      </c>
      <c r="E39" s="38">
        <f t="shared" si="100"/>
        <v>0</v>
      </c>
      <c r="F39" s="38">
        <f t="shared" si="100"/>
        <v>0</v>
      </c>
      <c r="G39" s="38">
        <f t="shared" si="100"/>
        <v>0</v>
      </c>
      <c r="H39" s="38">
        <f t="shared" si="100"/>
        <v>0</v>
      </c>
      <c r="I39" s="38">
        <f t="shared" si="100"/>
        <v>0</v>
      </c>
      <c r="J39" s="38">
        <f t="shared" si="100"/>
        <v>0</v>
      </c>
      <c r="K39" s="38">
        <f t="shared" si="100"/>
        <v>0</v>
      </c>
      <c r="L39" s="38">
        <f t="shared" si="100"/>
        <v>0</v>
      </c>
      <c r="M39" s="38">
        <f t="shared" si="100"/>
        <v>0</v>
      </c>
      <c r="N39" s="38">
        <f t="shared" si="100"/>
        <v>0</v>
      </c>
      <c r="O39" s="38">
        <f t="shared" si="100"/>
        <v>0</v>
      </c>
      <c r="P39" s="38">
        <f t="shared" si="100"/>
        <v>0</v>
      </c>
      <c r="Q39" s="38">
        <f t="shared" si="100"/>
        <v>0</v>
      </c>
      <c r="R39" s="38">
        <f t="shared" si="100"/>
        <v>0</v>
      </c>
      <c r="S39" s="38">
        <f t="shared" si="100"/>
        <v>0</v>
      </c>
      <c r="T39" s="38">
        <f t="shared" si="100"/>
        <v>0</v>
      </c>
      <c r="U39" s="38">
        <f t="shared" si="100"/>
        <v>0</v>
      </c>
      <c r="V39" s="38">
        <f t="shared" si="100"/>
        <v>0</v>
      </c>
      <c r="W39" s="38">
        <f t="shared" si="100"/>
        <v>0</v>
      </c>
      <c r="X39" s="38">
        <f t="shared" si="100"/>
        <v>0</v>
      </c>
      <c r="Y39" s="38">
        <f t="shared" si="100"/>
        <v>0</v>
      </c>
      <c r="Z39" s="38">
        <f t="shared" si="100"/>
        <v>0</v>
      </c>
      <c r="AA39" s="38">
        <f t="shared" si="100"/>
        <v>0</v>
      </c>
      <c r="AB39" s="38">
        <f t="shared" si="100"/>
        <v>0</v>
      </c>
      <c r="AC39" s="38">
        <f t="shared" si="100"/>
        <v>0</v>
      </c>
      <c r="AD39" s="38">
        <f t="shared" si="100"/>
        <v>0</v>
      </c>
      <c r="AE39" s="38">
        <f t="shared" si="100"/>
        <v>0</v>
      </c>
      <c r="AF39" s="38">
        <f t="shared" si="100"/>
        <v>0</v>
      </c>
      <c r="AG39" s="38">
        <f t="shared" si="100"/>
        <v>0</v>
      </c>
      <c r="AH39" s="38">
        <f t="shared" si="100"/>
        <v>0</v>
      </c>
      <c r="AI39" s="38">
        <f t="shared" si="100"/>
        <v>0</v>
      </c>
      <c r="AJ39" s="38">
        <f t="shared" ref="AJ39:BK39" si="101">FV(PriceTrend6, _xlfn.FLOOR.MATH((Month-1)/12),0,-1*UnitPrice6) * Units6</f>
        <v>0</v>
      </c>
      <c r="AK39" s="38">
        <f t="shared" si="101"/>
        <v>0</v>
      </c>
      <c r="AL39" s="38">
        <f t="shared" si="101"/>
        <v>0</v>
      </c>
      <c r="AM39" s="38">
        <f t="shared" si="101"/>
        <v>0</v>
      </c>
      <c r="AN39" s="38">
        <f t="shared" si="101"/>
        <v>0</v>
      </c>
      <c r="AO39" s="38">
        <f t="shared" si="101"/>
        <v>0</v>
      </c>
      <c r="AP39" s="38">
        <f t="shared" si="101"/>
        <v>0</v>
      </c>
      <c r="AQ39" s="38">
        <f t="shared" si="101"/>
        <v>0</v>
      </c>
      <c r="AR39" s="38">
        <f t="shared" si="101"/>
        <v>0</v>
      </c>
      <c r="AS39" s="38">
        <f t="shared" si="101"/>
        <v>0</v>
      </c>
      <c r="AT39" s="38">
        <f t="shared" si="101"/>
        <v>0</v>
      </c>
      <c r="AU39" s="38">
        <f t="shared" si="101"/>
        <v>0</v>
      </c>
      <c r="AV39" s="38">
        <f t="shared" si="101"/>
        <v>0</v>
      </c>
      <c r="AW39" s="38">
        <f t="shared" si="101"/>
        <v>0</v>
      </c>
      <c r="AX39" s="38">
        <f t="shared" si="101"/>
        <v>0</v>
      </c>
      <c r="AY39" s="38">
        <f t="shared" si="101"/>
        <v>0</v>
      </c>
      <c r="AZ39" s="38">
        <f t="shared" si="101"/>
        <v>0</v>
      </c>
      <c r="BA39" s="38">
        <f t="shared" si="101"/>
        <v>0</v>
      </c>
      <c r="BB39" s="38">
        <f t="shared" si="101"/>
        <v>0</v>
      </c>
      <c r="BC39" s="38">
        <f t="shared" si="101"/>
        <v>0</v>
      </c>
      <c r="BD39" s="38">
        <f t="shared" si="101"/>
        <v>0</v>
      </c>
      <c r="BE39" s="38">
        <f t="shared" si="101"/>
        <v>0</v>
      </c>
      <c r="BF39" s="38">
        <f t="shared" si="101"/>
        <v>0</v>
      </c>
      <c r="BG39" s="38">
        <f t="shared" si="101"/>
        <v>0</v>
      </c>
      <c r="BH39" s="38">
        <f t="shared" si="101"/>
        <v>0</v>
      </c>
      <c r="BI39" s="38">
        <f t="shared" si="101"/>
        <v>0</v>
      </c>
      <c r="BJ39" s="38">
        <f t="shared" si="101"/>
        <v>0</v>
      </c>
      <c r="BK39" s="38">
        <f t="shared" si="101"/>
        <v>0</v>
      </c>
    </row>
    <row r="40" spans="1:63" s="7" customFormat="1" x14ac:dyDescent="0.2">
      <c r="A40" s="147"/>
      <c r="B40" s="7" t="str">
        <f>'Market Assumptions'!A9</f>
        <v>N/A</v>
      </c>
      <c r="C40" s="51"/>
      <c r="D40" s="38">
        <f t="shared" ref="D40:AI40" si="102">FV(PriceTrend7, _xlfn.FLOOR.MATH((Month-1)/12),0,-1*UnitPrice7) * Units7</f>
        <v>0</v>
      </c>
      <c r="E40" s="38">
        <f t="shared" si="102"/>
        <v>0</v>
      </c>
      <c r="F40" s="38">
        <f t="shared" si="102"/>
        <v>0</v>
      </c>
      <c r="G40" s="38">
        <f t="shared" si="102"/>
        <v>0</v>
      </c>
      <c r="H40" s="38">
        <f t="shared" si="102"/>
        <v>0</v>
      </c>
      <c r="I40" s="38">
        <f t="shared" si="102"/>
        <v>0</v>
      </c>
      <c r="J40" s="38">
        <f t="shared" si="102"/>
        <v>0</v>
      </c>
      <c r="K40" s="38">
        <f t="shared" si="102"/>
        <v>0</v>
      </c>
      <c r="L40" s="38">
        <f t="shared" si="102"/>
        <v>0</v>
      </c>
      <c r="M40" s="38">
        <f t="shared" si="102"/>
        <v>0</v>
      </c>
      <c r="N40" s="38">
        <f t="shared" si="102"/>
        <v>0</v>
      </c>
      <c r="O40" s="38">
        <f t="shared" si="102"/>
        <v>0</v>
      </c>
      <c r="P40" s="38">
        <f t="shared" si="102"/>
        <v>0</v>
      </c>
      <c r="Q40" s="38">
        <f t="shared" si="102"/>
        <v>0</v>
      </c>
      <c r="R40" s="38">
        <f t="shared" si="102"/>
        <v>0</v>
      </c>
      <c r="S40" s="38">
        <f t="shared" si="102"/>
        <v>0</v>
      </c>
      <c r="T40" s="38">
        <f t="shared" si="102"/>
        <v>0</v>
      </c>
      <c r="U40" s="38">
        <f t="shared" si="102"/>
        <v>0</v>
      </c>
      <c r="V40" s="38">
        <f t="shared" si="102"/>
        <v>0</v>
      </c>
      <c r="W40" s="38">
        <f t="shared" si="102"/>
        <v>0</v>
      </c>
      <c r="X40" s="38">
        <f t="shared" si="102"/>
        <v>0</v>
      </c>
      <c r="Y40" s="38">
        <f t="shared" si="102"/>
        <v>0</v>
      </c>
      <c r="Z40" s="38">
        <f t="shared" si="102"/>
        <v>0</v>
      </c>
      <c r="AA40" s="38">
        <f t="shared" si="102"/>
        <v>0</v>
      </c>
      <c r="AB40" s="38">
        <f t="shared" si="102"/>
        <v>0</v>
      </c>
      <c r="AC40" s="38">
        <f t="shared" si="102"/>
        <v>0</v>
      </c>
      <c r="AD40" s="38">
        <f t="shared" si="102"/>
        <v>0</v>
      </c>
      <c r="AE40" s="38">
        <f t="shared" si="102"/>
        <v>0</v>
      </c>
      <c r="AF40" s="38">
        <f t="shared" si="102"/>
        <v>0</v>
      </c>
      <c r="AG40" s="38">
        <f t="shared" si="102"/>
        <v>0</v>
      </c>
      <c r="AH40" s="38">
        <f t="shared" si="102"/>
        <v>0</v>
      </c>
      <c r="AI40" s="38">
        <f t="shared" si="102"/>
        <v>0</v>
      </c>
      <c r="AJ40" s="38">
        <f t="shared" ref="AJ40:BK40" si="103">FV(PriceTrend7, _xlfn.FLOOR.MATH((Month-1)/12),0,-1*UnitPrice7) * Units7</f>
        <v>0</v>
      </c>
      <c r="AK40" s="38">
        <f t="shared" si="103"/>
        <v>0</v>
      </c>
      <c r="AL40" s="38">
        <f t="shared" si="103"/>
        <v>0</v>
      </c>
      <c r="AM40" s="38">
        <f t="shared" si="103"/>
        <v>0</v>
      </c>
      <c r="AN40" s="38">
        <f t="shared" si="103"/>
        <v>0</v>
      </c>
      <c r="AO40" s="38">
        <f t="shared" si="103"/>
        <v>0</v>
      </c>
      <c r="AP40" s="38">
        <f t="shared" si="103"/>
        <v>0</v>
      </c>
      <c r="AQ40" s="38">
        <f t="shared" si="103"/>
        <v>0</v>
      </c>
      <c r="AR40" s="38">
        <f t="shared" si="103"/>
        <v>0</v>
      </c>
      <c r="AS40" s="38">
        <f t="shared" si="103"/>
        <v>0</v>
      </c>
      <c r="AT40" s="38">
        <f t="shared" si="103"/>
        <v>0</v>
      </c>
      <c r="AU40" s="38">
        <f t="shared" si="103"/>
        <v>0</v>
      </c>
      <c r="AV40" s="38">
        <f t="shared" si="103"/>
        <v>0</v>
      </c>
      <c r="AW40" s="38">
        <f t="shared" si="103"/>
        <v>0</v>
      </c>
      <c r="AX40" s="38">
        <f t="shared" si="103"/>
        <v>0</v>
      </c>
      <c r="AY40" s="38">
        <f t="shared" si="103"/>
        <v>0</v>
      </c>
      <c r="AZ40" s="38">
        <f t="shared" si="103"/>
        <v>0</v>
      </c>
      <c r="BA40" s="38">
        <f t="shared" si="103"/>
        <v>0</v>
      </c>
      <c r="BB40" s="38">
        <f t="shared" si="103"/>
        <v>0</v>
      </c>
      <c r="BC40" s="38">
        <f t="shared" si="103"/>
        <v>0</v>
      </c>
      <c r="BD40" s="38">
        <f t="shared" si="103"/>
        <v>0</v>
      </c>
      <c r="BE40" s="38">
        <f t="shared" si="103"/>
        <v>0</v>
      </c>
      <c r="BF40" s="38">
        <f t="shared" si="103"/>
        <v>0</v>
      </c>
      <c r="BG40" s="38">
        <f t="shared" si="103"/>
        <v>0</v>
      </c>
      <c r="BH40" s="38">
        <f t="shared" si="103"/>
        <v>0</v>
      </c>
      <c r="BI40" s="38">
        <f t="shared" si="103"/>
        <v>0</v>
      </c>
      <c r="BJ40" s="38">
        <f t="shared" si="103"/>
        <v>0</v>
      </c>
      <c r="BK40" s="38">
        <f t="shared" si="103"/>
        <v>0</v>
      </c>
    </row>
    <row r="41" spans="1:63" s="7" customFormat="1" x14ac:dyDescent="0.2">
      <c r="A41" s="147"/>
      <c r="B41" s="7" t="str">
        <f>'Market Assumptions'!A10</f>
        <v>N/A</v>
      </c>
      <c r="C41" s="51"/>
      <c r="D41" s="38">
        <f t="shared" ref="D41:AI41" si="104">FV(PriceTrend8, _xlfn.FLOOR.MATH((Month-1)/12),0,-1*UnitPrice8) * Units8</f>
        <v>0</v>
      </c>
      <c r="E41" s="38">
        <f t="shared" si="104"/>
        <v>0</v>
      </c>
      <c r="F41" s="38">
        <f t="shared" si="104"/>
        <v>0</v>
      </c>
      <c r="G41" s="38">
        <f t="shared" si="104"/>
        <v>0</v>
      </c>
      <c r="H41" s="38">
        <f t="shared" si="104"/>
        <v>0</v>
      </c>
      <c r="I41" s="38">
        <f t="shared" si="104"/>
        <v>0</v>
      </c>
      <c r="J41" s="38">
        <f t="shared" si="104"/>
        <v>0</v>
      </c>
      <c r="K41" s="38">
        <f t="shared" si="104"/>
        <v>0</v>
      </c>
      <c r="L41" s="38">
        <f t="shared" si="104"/>
        <v>0</v>
      </c>
      <c r="M41" s="38">
        <f t="shared" si="104"/>
        <v>0</v>
      </c>
      <c r="N41" s="38">
        <f t="shared" si="104"/>
        <v>0</v>
      </c>
      <c r="O41" s="38">
        <f t="shared" si="104"/>
        <v>0</v>
      </c>
      <c r="P41" s="38">
        <f t="shared" si="104"/>
        <v>0</v>
      </c>
      <c r="Q41" s="38">
        <f t="shared" si="104"/>
        <v>0</v>
      </c>
      <c r="R41" s="38">
        <f t="shared" si="104"/>
        <v>0</v>
      </c>
      <c r="S41" s="38">
        <f t="shared" si="104"/>
        <v>0</v>
      </c>
      <c r="T41" s="38">
        <f t="shared" si="104"/>
        <v>0</v>
      </c>
      <c r="U41" s="38">
        <f t="shared" si="104"/>
        <v>0</v>
      </c>
      <c r="V41" s="38">
        <f t="shared" si="104"/>
        <v>0</v>
      </c>
      <c r="W41" s="38">
        <f t="shared" si="104"/>
        <v>0</v>
      </c>
      <c r="X41" s="38">
        <f t="shared" si="104"/>
        <v>0</v>
      </c>
      <c r="Y41" s="38">
        <f t="shared" si="104"/>
        <v>0</v>
      </c>
      <c r="Z41" s="38">
        <f t="shared" si="104"/>
        <v>0</v>
      </c>
      <c r="AA41" s="38">
        <f t="shared" si="104"/>
        <v>0</v>
      </c>
      <c r="AB41" s="38">
        <f t="shared" si="104"/>
        <v>0</v>
      </c>
      <c r="AC41" s="38">
        <f t="shared" si="104"/>
        <v>0</v>
      </c>
      <c r="AD41" s="38">
        <f t="shared" si="104"/>
        <v>0</v>
      </c>
      <c r="AE41" s="38">
        <f t="shared" si="104"/>
        <v>0</v>
      </c>
      <c r="AF41" s="38">
        <f t="shared" si="104"/>
        <v>0</v>
      </c>
      <c r="AG41" s="38">
        <f t="shared" si="104"/>
        <v>0</v>
      </c>
      <c r="AH41" s="38">
        <f t="shared" si="104"/>
        <v>0</v>
      </c>
      <c r="AI41" s="38">
        <f t="shared" si="104"/>
        <v>0</v>
      </c>
      <c r="AJ41" s="38">
        <f t="shared" ref="AJ41:BK41" si="105">FV(PriceTrend8, _xlfn.FLOOR.MATH((Month-1)/12),0,-1*UnitPrice8) * Units8</f>
        <v>0</v>
      </c>
      <c r="AK41" s="38">
        <f t="shared" si="105"/>
        <v>0</v>
      </c>
      <c r="AL41" s="38">
        <f t="shared" si="105"/>
        <v>0</v>
      </c>
      <c r="AM41" s="38">
        <f t="shared" si="105"/>
        <v>0</v>
      </c>
      <c r="AN41" s="38">
        <f t="shared" si="105"/>
        <v>0</v>
      </c>
      <c r="AO41" s="38">
        <f t="shared" si="105"/>
        <v>0</v>
      </c>
      <c r="AP41" s="38">
        <f t="shared" si="105"/>
        <v>0</v>
      </c>
      <c r="AQ41" s="38">
        <f t="shared" si="105"/>
        <v>0</v>
      </c>
      <c r="AR41" s="38">
        <f t="shared" si="105"/>
        <v>0</v>
      </c>
      <c r="AS41" s="38">
        <f t="shared" si="105"/>
        <v>0</v>
      </c>
      <c r="AT41" s="38">
        <f t="shared" si="105"/>
        <v>0</v>
      </c>
      <c r="AU41" s="38">
        <f t="shared" si="105"/>
        <v>0</v>
      </c>
      <c r="AV41" s="38">
        <f t="shared" si="105"/>
        <v>0</v>
      </c>
      <c r="AW41" s="38">
        <f t="shared" si="105"/>
        <v>0</v>
      </c>
      <c r="AX41" s="38">
        <f t="shared" si="105"/>
        <v>0</v>
      </c>
      <c r="AY41" s="38">
        <f t="shared" si="105"/>
        <v>0</v>
      </c>
      <c r="AZ41" s="38">
        <f t="shared" si="105"/>
        <v>0</v>
      </c>
      <c r="BA41" s="38">
        <f t="shared" si="105"/>
        <v>0</v>
      </c>
      <c r="BB41" s="38">
        <f t="shared" si="105"/>
        <v>0</v>
      </c>
      <c r="BC41" s="38">
        <f t="shared" si="105"/>
        <v>0</v>
      </c>
      <c r="BD41" s="38">
        <f t="shared" si="105"/>
        <v>0</v>
      </c>
      <c r="BE41" s="38">
        <f t="shared" si="105"/>
        <v>0</v>
      </c>
      <c r="BF41" s="38">
        <f t="shared" si="105"/>
        <v>0</v>
      </c>
      <c r="BG41" s="38">
        <f t="shared" si="105"/>
        <v>0</v>
      </c>
      <c r="BH41" s="38">
        <f t="shared" si="105"/>
        <v>0</v>
      </c>
      <c r="BI41" s="38">
        <f t="shared" si="105"/>
        <v>0</v>
      </c>
      <c r="BJ41" s="38">
        <f t="shared" si="105"/>
        <v>0</v>
      </c>
      <c r="BK41" s="38">
        <f t="shared" si="105"/>
        <v>0</v>
      </c>
    </row>
    <row r="42" spans="1:63" s="20" customFormat="1" x14ac:dyDescent="0.2">
      <c r="A42" s="147"/>
      <c r="B42" s="20" t="s">
        <v>31</v>
      </c>
      <c r="C42" s="53"/>
      <c r="D42" s="39">
        <f>SUM(D34:D41)</f>
        <v>1976.5029079605868</v>
      </c>
      <c r="E42" s="39">
        <f t="shared" ref="E42" si="106">SUM(E34:E41)</f>
        <v>2600.5110770927649</v>
      </c>
      <c r="F42" s="39">
        <f t="shared" ref="F42" si="107">SUM(F34:F41)</f>
        <v>3306.4254511411673</v>
      </c>
      <c r="G42" s="39">
        <f t="shared" ref="G42" si="108">SUM(G34:G41)</f>
        <v>4107.4727773378909</v>
      </c>
      <c r="H42" s="39">
        <f t="shared" ref="H42" si="109">SUM(H34:H41)</f>
        <v>5017.9857005684717</v>
      </c>
      <c r="I42" s="39">
        <f t="shared" ref="I42" si="110">SUM(I34:I41)</f>
        <v>6053.435097946227</v>
      </c>
      <c r="J42" s="39">
        <f t="shared" ref="J42" si="111">SUM(J34:J41)</f>
        <v>7230.4444469258005</v>
      </c>
      <c r="K42" s="39">
        <f t="shared" ref="K42" si="112">SUM(K34:K41)</f>
        <v>8566.7831581303253</v>
      </c>
      <c r="L42" s="39">
        <f t="shared" ref="L42" si="113">SUM(L34:L41)</f>
        <v>10081.335751532966</v>
      </c>
      <c r="M42" s="39">
        <f t="shared" ref="M42" si="114">SUM(M34:M41)</f>
        <v>11794.043785963229</v>
      </c>
      <c r="N42" s="39">
        <f t="shared" ref="N42" si="115">SUM(N34:N41)</f>
        <v>13725.817579754113</v>
      </c>
      <c r="O42" s="39">
        <f t="shared" ref="O42" si="116">SUM(O34:O41)</f>
        <v>15898.41499613192</v>
      </c>
      <c r="P42" s="39">
        <f t="shared" ref="P42" si="117">SUM(P34:P41)</f>
        <v>18842.52852504178</v>
      </c>
      <c r="Q42" s="39">
        <f t="shared" ref="Q42" si="118">SUM(Q34:Q41)</f>
        <v>21659.730773400333</v>
      </c>
      <c r="R42" s="39">
        <f t="shared" ref="R42" si="119">SUM(R34:R41)</f>
        <v>24801.730221195001</v>
      </c>
      <c r="S42" s="39">
        <f t="shared" ref="S42" si="120">SUM(S34:S41)</f>
        <v>28293.726725944201</v>
      </c>
      <c r="T42" s="39">
        <f t="shared" ref="T42" si="121">SUM(T34:T41)</f>
        <v>32160.772450117795</v>
      </c>
      <c r="U42" s="39">
        <f t="shared" ref="U42" si="122">SUM(U34:U41)</f>
        <v>36427.422575426943</v>
      </c>
      <c r="V42" s="39">
        <f t="shared" ref="V42" si="123">SUM(V34:V41)</f>
        <v>41117.347478369877</v>
      </c>
      <c r="W42" s="39">
        <f t="shared" ref="W42" si="124">SUM(W34:W41)</f>
        <v>46252.909365513908</v>
      </c>
      <c r="X42" s="39">
        <f t="shared" ref="X42" si="125">SUM(X34:X41)</f>
        <v>51854.707578520254</v>
      </c>
      <c r="Y42" s="39">
        <f t="shared" ref="Y42" si="126">SUM(Y34:Y41)</f>
        <v>57941.098027172469</v>
      </c>
      <c r="Z42" s="39">
        <f t="shared" ref="Z42" si="127">SUM(Z34:Z41)</f>
        <v>64527.693459835005</v>
      </c>
      <c r="AA42" s="39">
        <f t="shared" ref="AA42" si="128">SUM(AA34:AA41)</f>
        <v>71626.852496894324</v>
      </c>
      <c r="AB42" s="39">
        <f t="shared" ref="AB42" si="129">SUM(AB34:AB41)</f>
        <v>79704.585737175192</v>
      </c>
      <c r="AC42" s="39">
        <f t="shared" ref="AC42" si="130">SUM(AC34:AC41)</f>
        <v>87935.975830734227</v>
      </c>
      <c r="AD42" s="39">
        <f t="shared" ref="AD42" si="131">SUM(AD34:AD41)</f>
        <v>96706.230295588495</v>
      </c>
      <c r="AE42" s="39">
        <f t="shared" ref="AE42" si="132">SUM(AE34:AE41)</f>
        <v>106011.48971155829</v>
      </c>
      <c r="AF42" s="39">
        <f t="shared" ref="AF42" si="133">SUM(AF34:AF41)</f>
        <v>115842.41813443648</v>
      </c>
      <c r="AG42" s="39">
        <f t="shared" ref="AG42" si="134">SUM(AG34:AG41)</f>
        <v>126183.84264860064</v>
      </c>
      <c r="AH42" s="39">
        <f t="shared" ref="AH42" si="135">SUM(AH34:AH41)</f>
        <v>137014.45641158137</v>
      </c>
      <c r="AI42" s="39">
        <f t="shared" ref="AI42" si="136">SUM(AI34:AI41)</f>
        <v>148306.59618993214</v>
      </c>
      <c r="AJ42" s="39">
        <f t="shared" ref="AJ42" si="137">SUM(AJ34:AJ41)</f>
        <v>160026.10453932494</v>
      </c>
      <c r="AK42" s="39">
        <f t="shared" ref="AK42" si="138">SUM(AK34:AK41)</f>
        <v>172132.28560318885</v>
      </c>
      <c r="AL42" s="39">
        <f t="shared" ref="AL42" si="139">SUM(AL34:AL41)</f>
        <v>184577.9620042922</v>
      </c>
      <c r="AM42" s="39">
        <f t="shared" ref="AM42" si="140">SUM(AM34:AM41)</f>
        <v>197309.63850462271</v>
      </c>
      <c r="AN42" s="39">
        <f t="shared" ref="AN42" si="141">SUM(AN34:AN41)</f>
        <v>203010.30008586418</v>
      </c>
      <c r="AO42" s="39">
        <f t="shared" ref="AO42" si="142">SUM(AO34:AO41)</f>
        <v>208619.12556624168</v>
      </c>
      <c r="AP42" s="39">
        <f t="shared" ref="AP42" si="143">SUM(AP34:AP41)</f>
        <v>214092.44110186602</v>
      </c>
      <c r="AQ42" s="39">
        <f t="shared" ref="AQ42" si="144">SUM(AQ34:AQ41)</f>
        <v>219385.86890373769</v>
      </c>
      <c r="AR42" s="39">
        <f t="shared" ref="AR42" si="145">SUM(AR34:AR41)</f>
        <v>224454.91064819077</v>
      </c>
      <c r="AS42" s="39">
        <f t="shared" ref="AS42" si="146">SUM(AS34:AS41)</f>
        <v>229255.55917005625</v>
      </c>
      <c r="AT42" s="39">
        <f t="shared" ref="AT42" si="147">SUM(AT34:AT41)</f>
        <v>233744.92695223991</v>
      </c>
      <c r="AU42" s="39">
        <f t="shared" ref="AU42" si="148">SUM(AU34:AU41)</f>
        <v>237881.87904434424</v>
      </c>
      <c r="AV42" s="39">
        <f t="shared" ref="AV42" si="149">SUM(AV34:AV41)</f>
        <v>241627.65746834863</v>
      </c>
      <c r="AW42" s="39">
        <f t="shared" ref="AW42" si="150">SUM(AW34:AW41)</f>
        <v>244946.48393112194</v>
      </c>
      <c r="AX42" s="39">
        <f t="shared" ref="AX42" si="151">SUM(AX34:AX41)</f>
        <v>247806.12777998662</v>
      </c>
      <c r="AY42" s="39">
        <f t="shared" ref="AY42" si="152">SUM(AY34:AY41)</f>
        <v>250178.42661666108</v>
      </c>
      <c r="AZ42" s="39">
        <f t="shared" ref="AZ42" si="153">SUM(AZ34:AZ41)</f>
        <v>252039.74782100192</v>
      </c>
      <c r="BA42" s="39">
        <f t="shared" ref="BA42" si="154">SUM(BA34:BA41)</f>
        <v>253371.38041264628</v>
      </c>
      <c r="BB42" s="39">
        <f t="shared" ref="BB42" si="155">SUM(BB34:BB41)</f>
        <v>254159.84816583156</v>
      </c>
      <c r="BC42" s="39">
        <f t="shared" ref="BC42" si="156">SUM(BC34:BC41)</f>
        <v>254397.13665045236</v>
      </c>
      <c r="BD42" s="39">
        <f t="shared" ref="BD42" si="157">SUM(BD34:BD41)</f>
        <v>254080.82885040392</v>
      </c>
      <c r="BE42" s="39">
        <f t="shared" ref="BE42" si="158">SUM(BE34:BE41)</f>
        <v>253214.14614993177</v>
      </c>
      <c r="BF42" s="39">
        <f t="shared" ref="BF42" si="159">SUM(BF34:BF41)</f>
        <v>251805.89371610206</v>
      </c>
      <c r="BG42" s="39">
        <f t="shared" ref="BG42" si="160">SUM(BG34:BG41)</f>
        <v>249870.31157230755</v>
      </c>
      <c r="BH42" s="39">
        <f t="shared" ref="BH42" si="161">SUM(BH34:BH41)</f>
        <v>247426.83488530613</v>
      </c>
      <c r="BI42" s="39">
        <f t="shared" ref="BI42" si="162">SUM(BI34:BI41)</f>
        <v>244499.76910862114</v>
      </c>
      <c r="BJ42" s="39">
        <f t="shared" ref="BJ42" si="163">SUM(BJ34:BJ41)</f>
        <v>241117.88757515958</v>
      </c>
      <c r="BK42" s="39">
        <f t="shared" ref="BK42" si="164">SUM(BK34:BK41)</f>
        <v>237313.96085374645</v>
      </c>
    </row>
    <row r="43" spans="1:63" x14ac:dyDescent="0.2">
      <c r="A43" s="147" t="s">
        <v>28</v>
      </c>
      <c r="B43" s="75" t="str">
        <f>Lists!A8</f>
        <v>Marketing/Sales</v>
      </c>
      <c r="C43" s="60">
        <f>'Pre-Release'!B2</f>
        <v>0</v>
      </c>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row>
    <row r="44" spans="1:63" x14ac:dyDescent="0.2">
      <c r="A44" s="147"/>
      <c r="B44" s="75" t="str">
        <f>Lists!A9</f>
        <v>Technical Feasibility</v>
      </c>
      <c r="C44" s="60">
        <f>'Pre-Release'!B3</f>
        <v>-50000</v>
      </c>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row>
    <row r="45" spans="1:63" x14ac:dyDescent="0.2">
      <c r="A45" s="147"/>
      <c r="B45" s="75" t="str">
        <f>Lists!A10</f>
        <v>Software</v>
      </c>
      <c r="C45" s="60">
        <f>'Pre-Release'!B4</f>
        <v>-20000</v>
      </c>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row>
    <row r="46" spans="1:63" x14ac:dyDescent="0.2">
      <c r="A46" s="147"/>
      <c r="B46" s="75" t="str">
        <f>Lists!A11</f>
        <v>Hardware</v>
      </c>
      <c r="C46" s="60">
        <f>'Pre-Release'!B5</f>
        <v>0</v>
      </c>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row>
    <row r="47" spans="1:63" x14ac:dyDescent="0.2">
      <c r="A47" s="147"/>
      <c r="B47" s="75" t="str">
        <f>Lists!A12</f>
        <v>Prototype</v>
      </c>
      <c r="C47" s="60">
        <f>'Pre-Release'!B6</f>
        <v>0</v>
      </c>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row>
    <row r="48" spans="1:63" x14ac:dyDescent="0.2">
      <c r="A48" s="147"/>
      <c r="B48" s="75" t="str">
        <f>Lists!A13</f>
        <v>Legal</v>
      </c>
      <c r="C48" s="60">
        <f>'Pre-Release'!B7</f>
        <v>0</v>
      </c>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row>
    <row r="49" spans="1:63" x14ac:dyDescent="0.2">
      <c r="A49" s="147"/>
      <c r="B49" s="75" t="str">
        <f>Lists!A14</f>
        <v>Manufacturing</v>
      </c>
      <c r="C49" s="60">
        <f>'Pre-Release'!B8</f>
        <v>0</v>
      </c>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row>
    <row r="50" spans="1:63" x14ac:dyDescent="0.2">
      <c r="A50" s="147"/>
      <c r="B50" s="75" t="str">
        <f>Lists!A15</f>
        <v>Customer Service</v>
      </c>
      <c r="C50" s="60">
        <f>'Pre-Release'!B9</f>
        <v>0</v>
      </c>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row>
    <row r="51" spans="1:63" x14ac:dyDescent="0.2">
      <c r="A51" s="147"/>
      <c r="B51" s="75" t="str">
        <f>Lists!A16</f>
        <v>Overhead</v>
      </c>
      <c r="C51" s="60">
        <f>'Pre-Release'!B10</f>
        <v>0</v>
      </c>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row>
    <row r="52" spans="1:63" x14ac:dyDescent="0.2">
      <c r="A52" s="147"/>
      <c r="B52" s="75" t="str">
        <f>Lists!A17</f>
        <v>Misc.</v>
      </c>
      <c r="C52" s="60">
        <f>'Pre-Release'!B11</f>
        <v>0</v>
      </c>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row>
    <row r="53" spans="1:63" x14ac:dyDescent="0.2">
      <c r="A53" s="147"/>
      <c r="B53" s="75" t="str">
        <f>Lists!A18</f>
        <v>N/A</v>
      </c>
      <c r="C53" s="60">
        <f>'Pre-Release'!B12</f>
        <v>0</v>
      </c>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row>
    <row r="54" spans="1:63" x14ac:dyDescent="0.2">
      <c r="A54" s="147"/>
      <c r="B54" s="75" t="str">
        <f>Lists!A19</f>
        <v>N/A</v>
      </c>
      <c r="C54" s="60">
        <f>'Pre-Release'!B13</f>
        <v>0</v>
      </c>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row>
    <row r="55" spans="1:63" x14ac:dyDescent="0.2">
      <c r="A55" s="147"/>
      <c r="B55" s="75" t="str">
        <f>Lists!A20</f>
        <v>N/A</v>
      </c>
      <c r="C55" s="60">
        <f>'Pre-Release'!B14</f>
        <v>0</v>
      </c>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row>
    <row r="56" spans="1:63" x14ac:dyDescent="0.2">
      <c r="A56" s="147"/>
      <c r="B56" s="75" t="str">
        <f>Lists!A21</f>
        <v>N/A</v>
      </c>
      <c r="C56" s="60">
        <f>'Pre-Release'!B15</f>
        <v>0</v>
      </c>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row>
    <row r="57" spans="1:63" x14ac:dyDescent="0.2">
      <c r="A57" s="147" t="s">
        <v>91</v>
      </c>
      <c r="B57" s="75" t="str">
        <f>Lists!A8</f>
        <v>Marketing/Sales</v>
      </c>
      <c r="C57" s="9"/>
      <c r="D57" s="76">
        <f ca="1">SUM(D58:D61)</f>
        <v>0</v>
      </c>
      <c r="E57" s="76">
        <f t="shared" ref="E57:AM57" ca="1" si="165">SUM(E58:E61)</f>
        <v>0</v>
      </c>
      <c r="F57" s="76">
        <f t="shared" ca="1" si="165"/>
        <v>0</v>
      </c>
      <c r="G57" s="76">
        <f t="shared" ca="1" si="165"/>
        <v>0</v>
      </c>
      <c r="H57" s="76">
        <f t="shared" ca="1" si="165"/>
        <v>0</v>
      </c>
      <c r="I57" s="76">
        <f t="shared" ca="1" si="165"/>
        <v>0</v>
      </c>
      <c r="J57" s="76">
        <f t="shared" ca="1" si="165"/>
        <v>0</v>
      </c>
      <c r="K57" s="76">
        <f t="shared" ca="1" si="165"/>
        <v>0</v>
      </c>
      <c r="L57" s="76">
        <f t="shared" ca="1" si="165"/>
        <v>0</v>
      </c>
      <c r="M57" s="76">
        <f t="shared" ca="1" si="165"/>
        <v>0</v>
      </c>
      <c r="N57" s="76">
        <f t="shared" ca="1" si="165"/>
        <v>0</v>
      </c>
      <c r="O57" s="76">
        <f t="shared" ca="1" si="165"/>
        <v>0</v>
      </c>
      <c r="P57" s="76">
        <f t="shared" ca="1" si="165"/>
        <v>0</v>
      </c>
      <c r="Q57" s="76">
        <f t="shared" ca="1" si="165"/>
        <v>0</v>
      </c>
      <c r="R57" s="76">
        <f t="shared" ca="1" si="165"/>
        <v>0</v>
      </c>
      <c r="S57" s="76">
        <f t="shared" ca="1" si="165"/>
        <v>0</v>
      </c>
      <c r="T57" s="76">
        <f t="shared" ca="1" si="165"/>
        <v>0</v>
      </c>
      <c r="U57" s="76">
        <f t="shared" ca="1" si="165"/>
        <v>0</v>
      </c>
      <c r="V57" s="76">
        <f t="shared" ca="1" si="165"/>
        <v>0</v>
      </c>
      <c r="W57" s="76">
        <f t="shared" ca="1" si="165"/>
        <v>0</v>
      </c>
      <c r="X57" s="76">
        <f t="shared" ca="1" si="165"/>
        <v>0</v>
      </c>
      <c r="Y57" s="76">
        <f t="shared" ca="1" si="165"/>
        <v>0</v>
      </c>
      <c r="Z57" s="76">
        <f t="shared" ca="1" si="165"/>
        <v>0</v>
      </c>
      <c r="AA57" s="76">
        <f t="shared" ca="1" si="165"/>
        <v>0</v>
      </c>
      <c r="AB57" s="76">
        <f t="shared" ca="1" si="165"/>
        <v>0</v>
      </c>
      <c r="AC57" s="76">
        <f t="shared" ca="1" si="165"/>
        <v>0</v>
      </c>
      <c r="AD57" s="76">
        <f t="shared" ca="1" si="165"/>
        <v>0</v>
      </c>
      <c r="AE57" s="76">
        <f t="shared" ca="1" si="165"/>
        <v>0</v>
      </c>
      <c r="AF57" s="76">
        <f t="shared" ca="1" si="165"/>
        <v>0</v>
      </c>
      <c r="AG57" s="76">
        <f t="shared" ca="1" si="165"/>
        <v>0</v>
      </c>
      <c r="AH57" s="76">
        <f t="shared" ca="1" si="165"/>
        <v>0</v>
      </c>
      <c r="AI57" s="76">
        <f t="shared" ca="1" si="165"/>
        <v>0</v>
      </c>
      <c r="AJ57" s="76">
        <f t="shared" ca="1" si="165"/>
        <v>0</v>
      </c>
      <c r="AK57" s="76">
        <f t="shared" ca="1" si="165"/>
        <v>0</v>
      </c>
      <c r="AL57" s="76">
        <f t="shared" ca="1" si="165"/>
        <v>0</v>
      </c>
      <c r="AM57" s="76">
        <f t="shared" ca="1" si="165"/>
        <v>0</v>
      </c>
      <c r="AN57" s="76">
        <f t="shared" ref="AN57" ca="1" si="166">SUM(AN58:AN61)</f>
        <v>0</v>
      </c>
      <c r="AO57" s="76">
        <f t="shared" ref="AO57" ca="1" si="167">SUM(AO58:AO61)</f>
        <v>0</v>
      </c>
      <c r="AP57" s="76">
        <f t="shared" ref="AP57" ca="1" si="168">SUM(AP58:AP61)</f>
        <v>0</v>
      </c>
      <c r="AQ57" s="76">
        <f t="shared" ref="AQ57" ca="1" si="169">SUM(AQ58:AQ61)</f>
        <v>0</v>
      </c>
      <c r="AR57" s="76">
        <f t="shared" ref="AR57" ca="1" si="170">SUM(AR58:AR61)</f>
        <v>0</v>
      </c>
      <c r="AS57" s="76">
        <f t="shared" ref="AS57" ca="1" si="171">SUM(AS58:AS61)</f>
        <v>0</v>
      </c>
      <c r="AT57" s="76">
        <f t="shared" ref="AT57" ca="1" si="172">SUM(AT58:AT61)</f>
        <v>0</v>
      </c>
      <c r="AU57" s="76">
        <f t="shared" ref="AU57" ca="1" si="173">SUM(AU58:AU61)</f>
        <v>0</v>
      </c>
      <c r="AV57" s="76">
        <f t="shared" ref="AV57" ca="1" si="174">SUM(AV58:AV61)</f>
        <v>0</v>
      </c>
      <c r="AW57" s="76">
        <f t="shared" ref="AW57" ca="1" si="175">SUM(AW58:AW61)</f>
        <v>0</v>
      </c>
      <c r="AX57" s="76">
        <f t="shared" ref="AX57" ca="1" si="176">SUM(AX58:AX61)</f>
        <v>0</v>
      </c>
      <c r="AY57" s="76">
        <f t="shared" ref="AY57" ca="1" si="177">SUM(AY58:AY61)</f>
        <v>0</v>
      </c>
      <c r="AZ57" s="76">
        <f t="shared" ref="AZ57" ca="1" si="178">SUM(AZ58:AZ61)</f>
        <v>0</v>
      </c>
      <c r="BA57" s="76">
        <f t="shared" ref="BA57" ca="1" si="179">SUM(BA58:BA61)</f>
        <v>0</v>
      </c>
      <c r="BB57" s="76">
        <f t="shared" ref="BB57" ca="1" si="180">SUM(BB58:BB61)</f>
        <v>0</v>
      </c>
      <c r="BC57" s="76">
        <f t="shared" ref="BC57" ca="1" si="181">SUM(BC58:BC61)</f>
        <v>0</v>
      </c>
      <c r="BD57" s="76">
        <f t="shared" ref="BD57" ca="1" si="182">SUM(BD58:BD61)</f>
        <v>0</v>
      </c>
      <c r="BE57" s="76">
        <f t="shared" ref="BE57" ca="1" si="183">SUM(BE58:BE61)</f>
        <v>0</v>
      </c>
      <c r="BF57" s="76">
        <f t="shared" ref="BF57" ca="1" si="184">SUM(BF58:BF61)</f>
        <v>0</v>
      </c>
      <c r="BG57" s="76">
        <f t="shared" ref="BG57" ca="1" si="185">SUM(BG58:BG61)</f>
        <v>0</v>
      </c>
      <c r="BH57" s="76">
        <f t="shared" ref="BH57" ca="1" si="186">SUM(BH58:BH61)</f>
        <v>0</v>
      </c>
      <c r="BI57" s="76">
        <f t="shared" ref="BI57" ca="1" si="187">SUM(BI58:BI61)</f>
        <v>0</v>
      </c>
      <c r="BJ57" s="76">
        <f t="shared" ref="BJ57" ca="1" si="188">SUM(BJ58:BJ61)</f>
        <v>0</v>
      </c>
      <c r="BK57" s="76">
        <f t="shared" ref="BK57" ca="1" si="189">SUM(BK58:BK61)</f>
        <v>0</v>
      </c>
    </row>
    <row r="58" spans="1:63" x14ac:dyDescent="0.2">
      <c r="A58" s="147"/>
      <c r="B58" s="77" t="str">
        <f>Lists!$A$28</f>
        <v>Fixed (Monthly)</v>
      </c>
      <c r="C58" s="9"/>
      <c r="D58" s="76">
        <f t="shared" ref="D58:AI58" ca="1" si="190">SUMIFS(INDIRECT("BusinessModelAssumptions[Cost]"),INDIRECT("BusinessModelAssumptions[Stage]"),PostRelease,INDIRECT("BusinessModelAssumptions[Category]"),$B57,INDIRECT("BusinessModelAssumptions[Post-Cost Type]"),$B58)</f>
        <v>0</v>
      </c>
      <c r="E58" s="76">
        <f t="shared" ca="1" si="190"/>
        <v>0</v>
      </c>
      <c r="F58" s="76">
        <f t="shared" ca="1" si="190"/>
        <v>0</v>
      </c>
      <c r="G58" s="76">
        <f t="shared" ca="1" si="190"/>
        <v>0</v>
      </c>
      <c r="H58" s="76">
        <f t="shared" ca="1" si="190"/>
        <v>0</v>
      </c>
      <c r="I58" s="76">
        <f t="shared" ca="1" si="190"/>
        <v>0</v>
      </c>
      <c r="J58" s="76">
        <f t="shared" ca="1" si="190"/>
        <v>0</v>
      </c>
      <c r="K58" s="76">
        <f t="shared" ca="1" si="190"/>
        <v>0</v>
      </c>
      <c r="L58" s="76">
        <f t="shared" ca="1" si="190"/>
        <v>0</v>
      </c>
      <c r="M58" s="76">
        <f t="shared" ca="1" si="190"/>
        <v>0</v>
      </c>
      <c r="N58" s="76">
        <f t="shared" ca="1" si="190"/>
        <v>0</v>
      </c>
      <c r="O58" s="76">
        <f t="shared" ca="1" si="190"/>
        <v>0</v>
      </c>
      <c r="P58" s="76">
        <f t="shared" ca="1" si="190"/>
        <v>0</v>
      </c>
      <c r="Q58" s="76">
        <f t="shared" ca="1" si="190"/>
        <v>0</v>
      </c>
      <c r="R58" s="76">
        <f t="shared" ca="1" si="190"/>
        <v>0</v>
      </c>
      <c r="S58" s="76">
        <f t="shared" ca="1" si="190"/>
        <v>0</v>
      </c>
      <c r="T58" s="76">
        <f t="shared" ca="1" si="190"/>
        <v>0</v>
      </c>
      <c r="U58" s="76">
        <f t="shared" ca="1" si="190"/>
        <v>0</v>
      </c>
      <c r="V58" s="76">
        <f t="shared" ca="1" si="190"/>
        <v>0</v>
      </c>
      <c r="W58" s="76">
        <f t="shared" ca="1" si="190"/>
        <v>0</v>
      </c>
      <c r="X58" s="76">
        <f t="shared" ca="1" si="190"/>
        <v>0</v>
      </c>
      <c r="Y58" s="76">
        <f t="shared" ca="1" si="190"/>
        <v>0</v>
      </c>
      <c r="Z58" s="76">
        <f t="shared" ca="1" si="190"/>
        <v>0</v>
      </c>
      <c r="AA58" s="76">
        <f t="shared" ca="1" si="190"/>
        <v>0</v>
      </c>
      <c r="AB58" s="76">
        <f t="shared" ca="1" si="190"/>
        <v>0</v>
      </c>
      <c r="AC58" s="76">
        <f t="shared" ca="1" si="190"/>
        <v>0</v>
      </c>
      <c r="AD58" s="76">
        <f t="shared" ca="1" si="190"/>
        <v>0</v>
      </c>
      <c r="AE58" s="76">
        <f t="shared" ca="1" si="190"/>
        <v>0</v>
      </c>
      <c r="AF58" s="76">
        <f t="shared" ca="1" si="190"/>
        <v>0</v>
      </c>
      <c r="AG58" s="76">
        <f t="shared" ca="1" si="190"/>
        <v>0</v>
      </c>
      <c r="AH58" s="76">
        <f t="shared" ca="1" si="190"/>
        <v>0</v>
      </c>
      <c r="AI58" s="76">
        <f t="shared" ca="1" si="190"/>
        <v>0</v>
      </c>
      <c r="AJ58" s="76">
        <f t="shared" ref="AJ58:BK58" ca="1" si="191">SUMIFS(INDIRECT("BusinessModelAssumptions[Cost]"),INDIRECT("BusinessModelAssumptions[Stage]"),PostRelease,INDIRECT("BusinessModelAssumptions[Category]"),$B57,INDIRECT("BusinessModelAssumptions[Post-Cost Type]"),$B58)</f>
        <v>0</v>
      </c>
      <c r="AK58" s="76">
        <f t="shared" ca="1" si="191"/>
        <v>0</v>
      </c>
      <c r="AL58" s="76">
        <f t="shared" ca="1" si="191"/>
        <v>0</v>
      </c>
      <c r="AM58" s="76">
        <f t="shared" ca="1" si="191"/>
        <v>0</v>
      </c>
      <c r="AN58" s="76">
        <f t="shared" ca="1" si="191"/>
        <v>0</v>
      </c>
      <c r="AO58" s="76">
        <f t="shared" ca="1" si="191"/>
        <v>0</v>
      </c>
      <c r="AP58" s="76">
        <f t="shared" ca="1" si="191"/>
        <v>0</v>
      </c>
      <c r="AQ58" s="76">
        <f t="shared" ca="1" si="191"/>
        <v>0</v>
      </c>
      <c r="AR58" s="76">
        <f t="shared" ca="1" si="191"/>
        <v>0</v>
      </c>
      <c r="AS58" s="76">
        <f t="shared" ca="1" si="191"/>
        <v>0</v>
      </c>
      <c r="AT58" s="76">
        <f t="shared" ca="1" si="191"/>
        <v>0</v>
      </c>
      <c r="AU58" s="76">
        <f t="shared" ca="1" si="191"/>
        <v>0</v>
      </c>
      <c r="AV58" s="76">
        <f t="shared" ca="1" si="191"/>
        <v>0</v>
      </c>
      <c r="AW58" s="76">
        <f t="shared" ca="1" si="191"/>
        <v>0</v>
      </c>
      <c r="AX58" s="76">
        <f t="shared" ca="1" si="191"/>
        <v>0</v>
      </c>
      <c r="AY58" s="76">
        <f t="shared" ca="1" si="191"/>
        <v>0</v>
      </c>
      <c r="AZ58" s="76">
        <f t="shared" ca="1" si="191"/>
        <v>0</v>
      </c>
      <c r="BA58" s="76">
        <f t="shared" ca="1" si="191"/>
        <v>0</v>
      </c>
      <c r="BB58" s="76">
        <f t="shared" ca="1" si="191"/>
        <v>0</v>
      </c>
      <c r="BC58" s="76">
        <f t="shared" ca="1" si="191"/>
        <v>0</v>
      </c>
      <c r="BD58" s="76">
        <f t="shared" ca="1" si="191"/>
        <v>0</v>
      </c>
      <c r="BE58" s="76">
        <f t="shared" ca="1" si="191"/>
        <v>0</v>
      </c>
      <c r="BF58" s="76">
        <f t="shared" ca="1" si="191"/>
        <v>0</v>
      </c>
      <c r="BG58" s="76">
        <f t="shared" ca="1" si="191"/>
        <v>0</v>
      </c>
      <c r="BH58" s="76">
        <f t="shared" ca="1" si="191"/>
        <v>0</v>
      </c>
      <c r="BI58" s="76">
        <f t="shared" ca="1" si="191"/>
        <v>0</v>
      </c>
      <c r="BJ58" s="76">
        <f t="shared" ca="1" si="191"/>
        <v>0</v>
      </c>
      <c r="BK58" s="76">
        <f t="shared" ca="1" si="191"/>
        <v>0</v>
      </c>
    </row>
    <row r="59" spans="1:63" x14ac:dyDescent="0.2">
      <c r="A59" s="147"/>
      <c r="B59" s="77" t="str">
        <f>Lists!$A$29</f>
        <v>Per Unit Sold</v>
      </c>
      <c r="C59" s="9"/>
      <c r="D59" s="76">
        <f t="shared" ref="D59:AI59" ca="1" si="192">SUMIFS(INDIRECT("BusinessModelAssumptions[Cost]"),INDIRECT("BusinessModelAssumptions[Stage]"),PostRelease,INDIRECT("BusinessModelAssumptions[Category]"),$B57,INDIRECT("BusinessModelAssumptions[Post-Cost Type]"),$B59)*TotalUnitsSold</f>
        <v>0</v>
      </c>
      <c r="E59" s="76">
        <f t="shared" ca="1" si="192"/>
        <v>0</v>
      </c>
      <c r="F59" s="76">
        <f t="shared" ca="1" si="192"/>
        <v>0</v>
      </c>
      <c r="G59" s="76">
        <f t="shared" ca="1" si="192"/>
        <v>0</v>
      </c>
      <c r="H59" s="76">
        <f t="shared" ca="1" si="192"/>
        <v>0</v>
      </c>
      <c r="I59" s="76">
        <f t="shared" ca="1" si="192"/>
        <v>0</v>
      </c>
      <c r="J59" s="76">
        <f t="shared" ca="1" si="192"/>
        <v>0</v>
      </c>
      <c r="K59" s="76">
        <f t="shared" ca="1" si="192"/>
        <v>0</v>
      </c>
      <c r="L59" s="76">
        <f t="shared" ca="1" si="192"/>
        <v>0</v>
      </c>
      <c r="M59" s="76">
        <f t="shared" ca="1" si="192"/>
        <v>0</v>
      </c>
      <c r="N59" s="76">
        <f t="shared" ca="1" si="192"/>
        <v>0</v>
      </c>
      <c r="O59" s="76">
        <f t="shared" ca="1" si="192"/>
        <v>0</v>
      </c>
      <c r="P59" s="76">
        <f t="shared" ca="1" si="192"/>
        <v>0</v>
      </c>
      <c r="Q59" s="76">
        <f t="shared" ca="1" si="192"/>
        <v>0</v>
      </c>
      <c r="R59" s="76">
        <f t="shared" ca="1" si="192"/>
        <v>0</v>
      </c>
      <c r="S59" s="76">
        <f t="shared" ca="1" si="192"/>
        <v>0</v>
      </c>
      <c r="T59" s="76">
        <f t="shared" ca="1" si="192"/>
        <v>0</v>
      </c>
      <c r="U59" s="76">
        <f t="shared" ca="1" si="192"/>
        <v>0</v>
      </c>
      <c r="V59" s="76">
        <f t="shared" ca="1" si="192"/>
        <v>0</v>
      </c>
      <c r="W59" s="76">
        <f t="shared" ca="1" si="192"/>
        <v>0</v>
      </c>
      <c r="X59" s="76">
        <f t="shared" ca="1" si="192"/>
        <v>0</v>
      </c>
      <c r="Y59" s="76">
        <f t="shared" ca="1" si="192"/>
        <v>0</v>
      </c>
      <c r="Z59" s="76">
        <f t="shared" ca="1" si="192"/>
        <v>0</v>
      </c>
      <c r="AA59" s="76">
        <f t="shared" ca="1" si="192"/>
        <v>0</v>
      </c>
      <c r="AB59" s="76">
        <f t="shared" ca="1" si="192"/>
        <v>0</v>
      </c>
      <c r="AC59" s="76">
        <f t="shared" ca="1" si="192"/>
        <v>0</v>
      </c>
      <c r="AD59" s="76">
        <f t="shared" ca="1" si="192"/>
        <v>0</v>
      </c>
      <c r="AE59" s="76">
        <f t="shared" ca="1" si="192"/>
        <v>0</v>
      </c>
      <c r="AF59" s="76">
        <f t="shared" ca="1" si="192"/>
        <v>0</v>
      </c>
      <c r="AG59" s="76">
        <f t="shared" ca="1" si="192"/>
        <v>0</v>
      </c>
      <c r="AH59" s="76">
        <f t="shared" ca="1" si="192"/>
        <v>0</v>
      </c>
      <c r="AI59" s="76">
        <f t="shared" ca="1" si="192"/>
        <v>0</v>
      </c>
      <c r="AJ59" s="76">
        <f t="shared" ref="AJ59:BK59" ca="1" si="193">SUMIFS(INDIRECT("BusinessModelAssumptions[Cost]"),INDIRECT("BusinessModelAssumptions[Stage]"),PostRelease,INDIRECT("BusinessModelAssumptions[Category]"),$B57,INDIRECT("BusinessModelAssumptions[Post-Cost Type]"),$B59)*TotalUnitsSold</f>
        <v>0</v>
      </c>
      <c r="AK59" s="76">
        <f t="shared" ca="1" si="193"/>
        <v>0</v>
      </c>
      <c r="AL59" s="76">
        <f t="shared" ca="1" si="193"/>
        <v>0</v>
      </c>
      <c r="AM59" s="76">
        <f t="shared" ca="1" si="193"/>
        <v>0</v>
      </c>
      <c r="AN59" s="76">
        <f t="shared" ca="1" si="193"/>
        <v>0</v>
      </c>
      <c r="AO59" s="76">
        <f t="shared" ca="1" si="193"/>
        <v>0</v>
      </c>
      <c r="AP59" s="76">
        <f t="shared" ca="1" si="193"/>
        <v>0</v>
      </c>
      <c r="AQ59" s="76">
        <f t="shared" ca="1" si="193"/>
        <v>0</v>
      </c>
      <c r="AR59" s="76">
        <f t="shared" ca="1" si="193"/>
        <v>0</v>
      </c>
      <c r="AS59" s="76">
        <f t="shared" ca="1" si="193"/>
        <v>0</v>
      </c>
      <c r="AT59" s="76">
        <f t="shared" ca="1" si="193"/>
        <v>0</v>
      </c>
      <c r="AU59" s="76">
        <f t="shared" ca="1" si="193"/>
        <v>0</v>
      </c>
      <c r="AV59" s="76">
        <f t="shared" ca="1" si="193"/>
        <v>0</v>
      </c>
      <c r="AW59" s="76">
        <f t="shared" ca="1" si="193"/>
        <v>0</v>
      </c>
      <c r="AX59" s="76">
        <f t="shared" ca="1" si="193"/>
        <v>0</v>
      </c>
      <c r="AY59" s="76">
        <f t="shared" ca="1" si="193"/>
        <v>0</v>
      </c>
      <c r="AZ59" s="76">
        <f t="shared" ca="1" si="193"/>
        <v>0</v>
      </c>
      <c r="BA59" s="76">
        <f t="shared" ca="1" si="193"/>
        <v>0</v>
      </c>
      <c r="BB59" s="76">
        <f t="shared" ca="1" si="193"/>
        <v>0</v>
      </c>
      <c r="BC59" s="76">
        <f t="shared" ca="1" si="193"/>
        <v>0</v>
      </c>
      <c r="BD59" s="76">
        <f t="shared" ca="1" si="193"/>
        <v>0</v>
      </c>
      <c r="BE59" s="76">
        <f t="shared" ca="1" si="193"/>
        <v>0</v>
      </c>
      <c r="BF59" s="76">
        <f t="shared" ca="1" si="193"/>
        <v>0</v>
      </c>
      <c r="BG59" s="76">
        <f t="shared" ca="1" si="193"/>
        <v>0</v>
      </c>
      <c r="BH59" s="76">
        <f t="shared" ca="1" si="193"/>
        <v>0</v>
      </c>
      <c r="BI59" s="76">
        <f t="shared" ca="1" si="193"/>
        <v>0</v>
      </c>
      <c r="BJ59" s="76">
        <f t="shared" ca="1" si="193"/>
        <v>0</v>
      </c>
      <c r="BK59" s="76">
        <f t="shared" ca="1" si="193"/>
        <v>0</v>
      </c>
    </row>
    <row r="60" spans="1:63" x14ac:dyDescent="0.2">
      <c r="A60" s="147"/>
      <c r="B60" s="77" t="str">
        <f>Lists!$A$30</f>
        <v>% of Revenue</v>
      </c>
      <c r="C60" s="9"/>
      <c r="D60" s="76">
        <f t="shared" ref="D60:AI60" ca="1" si="194">SUMIFS(INDIRECT("BusinessModelAssumptions[Cost]"),INDIRECT("BusinessModelAssumptions[Stage]"),PostRelease,INDIRECT("BusinessModelAssumptions[Category]"),$B57,INDIRECT("BusinessModelAssumptions[Post-Cost Type]"),$B60)*TotalRevenue *-1</f>
        <v>0</v>
      </c>
      <c r="E60" s="76">
        <f t="shared" ca="1" si="194"/>
        <v>0</v>
      </c>
      <c r="F60" s="76">
        <f t="shared" ca="1" si="194"/>
        <v>0</v>
      </c>
      <c r="G60" s="76">
        <f t="shared" ca="1" si="194"/>
        <v>0</v>
      </c>
      <c r="H60" s="76">
        <f t="shared" ca="1" si="194"/>
        <v>0</v>
      </c>
      <c r="I60" s="76">
        <f t="shared" ca="1" si="194"/>
        <v>0</v>
      </c>
      <c r="J60" s="76">
        <f t="shared" ca="1" si="194"/>
        <v>0</v>
      </c>
      <c r="K60" s="76">
        <f t="shared" ca="1" si="194"/>
        <v>0</v>
      </c>
      <c r="L60" s="76">
        <f t="shared" ca="1" si="194"/>
        <v>0</v>
      </c>
      <c r="M60" s="76">
        <f t="shared" ca="1" si="194"/>
        <v>0</v>
      </c>
      <c r="N60" s="76">
        <f t="shared" ca="1" si="194"/>
        <v>0</v>
      </c>
      <c r="O60" s="76">
        <f t="shared" ca="1" si="194"/>
        <v>0</v>
      </c>
      <c r="P60" s="76">
        <f t="shared" ca="1" si="194"/>
        <v>0</v>
      </c>
      <c r="Q60" s="76">
        <f t="shared" ca="1" si="194"/>
        <v>0</v>
      </c>
      <c r="R60" s="76">
        <f t="shared" ca="1" si="194"/>
        <v>0</v>
      </c>
      <c r="S60" s="76">
        <f t="shared" ca="1" si="194"/>
        <v>0</v>
      </c>
      <c r="T60" s="76">
        <f t="shared" ca="1" si="194"/>
        <v>0</v>
      </c>
      <c r="U60" s="76">
        <f t="shared" ca="1" si="194"/>
        <v>0</v>
      </c>
      <c r="V60" s="76">
        <f t="shared" ca="1" si="194"/>
        <v>0</v>
      </c>
      <c r="W60" s="76">
        <f t="shared" ca="1" si="194"/>
        <v>0</v>
      </c>
      <c r="X60" s="76">
        <f t="shared" ca="1" si="194"/>
        <v>0</v>
      </c>
      <c r="Y60" s="76">
        <f t="shared" ca="1" si="194"/>
        <v>0</v>
      </c>
      <c r="Z60" s="76">
        <f t="shared" ca="1" si="194"/>
        <v>0</v>
      </c>
      <c r="AA60" s="76">
        <f t="shared" ca="1" si="194"/>
        <v>0</v>
      </c>
      <c r="AB60" s="76">
        <f t="shared" ca="1" si="194"/>
        <v>0</v>
      </c>
      <c r="AC60" s="76">
        <f t="shared" ca="1" si="194"/>
        <v>0</v>
      </c>
      <c r="AD60" s="76">
        <f t="shared" ca="1" si="194"/>
        <v>0</v>
      </c>
      <c r="AE60" s="76">
        <f t="shared" ca="1" si="194"/>
        <v>0</v>
      </c>
      <c r="AF60" s="76">
        <f t="shared" ca="1" si="194"/>
        <v>0</v>
      </c>
      <c r="AG60" s="76">
        <f t="shared" ca="1" si="194"/>
        <v>0</v>
      </c>
      <c r="AH60" s="76">
        <f t="shared" ca="1" si="194"/>
        <v>0</v>
      </c>
      <c r="AI60" s="76">
        <f t="shared" ca="1" si="194"/>
        <v>0</v>
      </c>
      <c r="AJ60" s="76">
        <f t="shared" ref="AJ60:BK60" ca="1" si="195">SUMIFS(INDIRECT("BusinessModelAssumptions[Cost]"),INDIRECT("BusinessModelAssumptions[Stage]"),PostRelease,INDIRECT("BusinessModelAssumptions[Category]"),$B57,INDIRECT("BusinessModelAssumptions[Post-Cost Type]"),$B60)*TotalRevenue *-1</f>
        <v>0</v>
      </c>
      <c r="AK60" s="76">
        <f t="shared" ca="1" si="195"/>
        <v>0</v>
      </c>
      <c r="AL60" s="76">
        <f t="shared" ca="1" si="195"/>
        <v>0</v>
      </c>
      <c r="AM60" s="76">
        <f t="shared" ca="1" si="195"/>
        <v>0</v>
      </c>
      <c r="AN60" s="76">
        <f t="shared" ca="1" si="195"/>
        <v>0</v>
      </c>
      <c r="AO60" s="76">
        <f t="shared" ca="1" si="195"/>
        <v>0</v>
      </c>
      <c r="AP60" s="76">
        <f t="shared" ca="1" si="195"/>
        <v>0</v>
      </c>
      <c r="AQ60" s="76">
        <f t="shared" ca="1" si="195"/>
        <v>0</v>
      </c>
      <c r="AR60" s="76">
        <f t="shared" ca="1" si="195"/>
        <v>0</v>
      </c>
      <c r="AS60" s="76">
        <f t="shared" ca="1" si="195"/>
        <v>0</v>
      </c>
      <c r="AT60" s="76">
        <f t="shared" ca="1" si="195"/>
        <v>0</v>
      </c>
      <c r="AU60" s="76">
        <f t="shared" ca="1" si="195"/>
        <v>0</v>
      </c>
      <c r="AV60" s="76">
        <f t="shared" ca="1" si="195"/>
        <v>0</v>
      </c>
      <c r="AW60" s="76">
        <f t="shared" ca="1" si="195"/>
        <v>0</v>
      </c>
      <c r="AX60" s="76">
        <f t="shared" ca="1" si="195"/>
        <v>0</v>
      </c>
      <c r="AY60" s="76">
        <f t="shared" ca="1" si="195"/>
        <v>0</v>
      </c>
      <c r="AZ60" s="76">
        <f t="shared" ca="1" si="195"/>
        <v>0</v>
      </c>
      <c r="BA60" s="76">
        <f t="shared" ca="1" si="195"/>
        <v>0</v>
      </c>
      <c r="BB60" s="76">
        <f t="shared" ca="1" si="195"/>
        <v>0</v>
      </c>
      <c r="BC60" s="76">
        <f t="shared" ca="1" si="195"/>
        <v>0</v>
      </c>
      <c r="BD60" s="76">
        <f t="shared" ca="1" si="195"/>
        <v>0</v>
      </c>
      <c r="BE60" s="76">
        <f t="shared" ca="1" si="195"/>
        <v>0</v>
      </c>
      <c r="BF60" s="76">
        <f t="shared" ca="1" si="195"/>
        <v>0</v>
      </c>
      <c r="BG60" s="76">
        <f t="shared" ca="1" si="195"/>
        <v>0</v>
      </c>
      <c r="BH60" s="76">
        <f t="shared" ca="1" si="195"/>
        <v>0</v>
      </c>
      <c r="BI60" s="76">
        <f t="shared" ca="1" si="195"/>
        <v>0</v>
      </c>
      <c r="BJ60" s="76">
        <f t="shared" ca="1" si="195"/>
        <v>0</v>
      </c>
      <c r="BK60" s="76">
        <f t="shared" ca="1" si="195"/>
        <v>0</v>
      </c>
    </row>
    <row r="61" spans="1:63" x14ac:dyDescent="0.2">
      <c r="A61" s="147"/>
      <c r="B61" s="77" t="s">
        <v>111</v>
      </c>
      <c r="C61" s="9"/>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c r="BK61" s="76"/>
    </row>
    <row r="62" spans="1:63" x14ac:dyDescent="0.2">
      <c r="A62" s="147"/>
      <c r="B62" s="75" t="str">
        <f>Lists!A9</f>
        <v>Technical Feasibility</v>
      </c>
      <c r="C62" s="9"/>
      <c r="D62" s="76">
        <f ca="1">SUM(D63:D66)</f>
        <v>0</v>
      </c>
      <c r="E62" s="76">
        <f t="shared" ref="E62:AM62" ca="1" si="196">SUM(E63:E66)</f>
        <v>0</v>
      </c>
      <c r="F62" s="76">
        <f t="shared" ca="1" si="196"/>
        <v>0</v>
      </c>
      <c r="G62" s="76">
        <f t="shared" ca="1" si="196"/>
        <v>0</v>
      </c>
      <c r="H62" s="76">
        <f t="shared" ca="1" si="196"/>
        <v>0</v>
      </c>
      <c r="I62" s="76">
        <f t="shared" ca="1" si="196"/>
        <v>0</v>
      </c>
      <c r="J62" s="76">
        <f t="shared" ca="1" si="196"/>
        <v>0</v>
      </c>
      <c r="K62" s="76">
        <f t="shared" ca="1" si="196"/>
        <v>0</v>
      </c>
      <c r="L62" s="76">
        <f t="shared" ca="1" si="196"/>
        <v>0</v>
      </c>
      <c r="M62" s="76">
        <f t="shared" ca="1" si="196"/>
        <v>0</v>
      </c>
      <c r="N62" s="76">
        <f t="shared" ca="1" si="196"/>
        <v>0</v>
      </c>
      <c r="O62" s="76">
        <f t="shared" ca="1" si="196"/>
        <v>0</v>
      </c>
      <c r="P62" s="76">
        <f t="shared" ca="1" si="196"/>
        <v>0</v>
      </c>
      <c r="Q62" s="76">
        <f t="shared" ca="1" si="196"/>
        <v>0</v>
      </c>
      <c r="R62" s="76">
        <f t="shared" ca="1" si="196"/>
        <v>0</v>
      </c>
      <c r="S62" s="76">
        <f t="shared" ca="1" si="196"/>
        <v>0</v>
      </c>
      <c r="T62" s="76">
        <f t="shared" ca="1" si="196"/>
        <v>0</v>
      </c>
      <c r="U62" s="76">
        <f t="shared" ca="1" si="196"/>
        <v>0</v>
      </c>
      <c r="V62" s="76">
        <f t="shared" ca="1" si="196"/>
        <v>0</v>
      </c>
      <c r="W62" s="76">
        <f t="shared" ca="1" si="196"/>
        <v>0</v>
      </c>
      <c r="X62" s="76">
        <f t="shared" ca="1" si="196"/>
        <v>0</v>
      </c>
      <c r="Y62" s="76">
        <f t="shared" ca="1" si="196"/>
        <v>0</v>
      </c>
      <c r="Z62" s="76">
        <f t="shared" ca="1" si="196"/>
        <v>0</v>
      </c>
      <c r="AA62" s="76">
        <f t="shared" ca="1" si="196"/>
        <v>0</v>
      </c>
      <c r="AB62" s="76">
        <f t="shared" ca="1" si="196"/>
        <v>0</v>
      </c>
      <c r="AC62" s="76">
        <f t="shared" ca="1" si="196"/>
        <v>0</v>
      </c>
      <c r="AD62" s="76">
        <f t="shared" ca="1" si="196"/>
        <v>0</v>
      </c>
      <c r="AE62" s="76">
        <f t="shared" ca="1" si="196"/>
        <v>0</v>
      </c>
      <c r="AF62" s="76">
        <f t="shared" ca="1" si="196"/>
        <v>0</v>
      </c>
      <c r="AG62" s="76">
        <f t="shared" ca="1" si="196"/>
        <v>0</v>
      </c>
      <c r="AH62" s="76">
        <f t="shared" ca="1" si="196"/>
        <v>0</v>
      </c>
      <c r="AI62" s="76">
        <f t="shared" ca="1" si="196"/>
        <v>0</v>
      </c>
      <c r="AJ62" s="76">
        <f t="shared" ca="1" si="196"/>
        <v>0</v>
      </c>
      <c r="AK62" s="76">
        <f t="shared" ca="1" si="196"/>
        <v>0</v>
      </c>
      <c r="AL62" s="76">
        <f t="shared" ca="1" si="196"/>
        <v>0</v>
      </c>
      <c r="AM62" s="76">
        <f t="shared" ca="1" si="196"/>
        <v>0</v>
      </c>
      <c r="AN62" s="76">
        <f t="shared" ref="AN62" ca="1" si="197">SUM(AN63:AN66)</f>
        <v>0</v>
      </c>
      <c r="AO62" s="76">
        <f t="shared" ref="AO62" ca="1" si="198">SUM(AO63:AO66)</f>
        <v>0</v>
      </c>
      <c r="AP62" s="76">
        <f t="shared" ref="AP62" ca="1" si="199">SUM(AP63:AP66)</f>
        <v>0</v>
      </c>
      <c r="AQ62" s="76">
        <f t="shared" ref="AQ62" ca="1" si="200">SUM(AQ63:AQ66)</f>
        <v>0</v>
      </c>
      <c r="AR62" s="76">
        <f t="shared" ref="AR62" ca="1" si="201">SUM(AR63:AR66)</f>
        <v>0</v>
      </c>
      <c r="AS62" s="76">
        <f t="shared" ref="AS62" ca="1" si="202">SUM(AS63:AS66)</f>
        <v>0</v>
      </c>
      <c r="AT62" s="76">
        <f t="shared" ref="AT62" ca="1" si="203">SUM(AT63:AT66)</f>
        <v>0</v>
      </c>
      <c r="AU62" s="76">
        <f t="shared" ref="AU62" ca="1" si="204">SUM(AU63:AU66)</f>
        <v>0</v>
      </c>
      <c r="AV62" s="76">
        <f t="shared" ref="AV62" ca="1" si="205">SUM(AV63:AV66)</f>
        <v>0</v>
      </c>
      <c r="AW62" s="76">
        <f t="shared" ref="AW62" ca="1" si="206">SUM(AW63:AW66)</f>
        <v>0</v>
      </c>
      <c r="AX62" s="76">
        <f t="shared" ref="AX62" ca="1" si="207">SUM(AX63:AX66)</f>
        <v>0</v>
      </c>
      <c r="AY62" s="76">
        <f t="shared" ref="AY62" ca="1" si="208">SUM(AY63:AY66)</f>
        <v>0</v>
      </c>
      <c r="AZ62" s="76">
        <f t="shared" ref="AZ62" ca="1" si="209">SUM(AZ63:AZ66)</f>
        <v>0</v>
      </c>
      <c r="BA62" s="76">
        <f t="shared" ref="BA62" ca="1" si="210">SUM(BA63:BA66)</f>
        <v>0</v>
      </c>
      <c r="BB62" s="76">
        <f t="shared" ref="BB62" ca="1" si="211">SUM(BB63:BB66)</f>
        <v>0</v>
      </c>
      <c r="BC62" s="76">
        <f t="shared" ref="BC62" ca="1" si="212">SUM(BC63:BC66)</f>
        <v>0</v>
      </c>
      <c r="BD62" s="76">
        <f t="shared" ref="BD62" ca="1" si="213">SUM(BD63:BD66)</f>
        <v>0</v>
      </c>
      <c r="BE62" s="76">
        <f t="shared" ref="BE62" ca="1" si="214">SUM(BE63:BE66)</f>
        <v>0</v>
      </c>
      <c r="BF62" s="76">
        <f t="shared" ref="BF62" ca="1" si="215">SUM(BF63:BF66)</f>
        <v>0</v>
      </c>
      <c r="BG62" s="76">
        <f t="shared" ref="BG62" ca="1" si="216">SUM(BG63:BG66)</f>
        <v>0</v>
      </c>
      <c r="BH62" s="76">
        <f t="shared" ref="BH62" ca="1" si="217">SUM(BH63:BH66)</f>
        <v>0</v>
      </c>
      <c r="BI62" s="76">
        <f t="shared" ref="BI62" ca="1" si="218">SUM(BI63:BI66)</f>
        <v>0</v>
      </c>
      <c r="BJ62" s="76">
        <f t="shared" ref="BJ62" ca="1" si="219">SUM(BJ63:BJ66)</f>
        <v>0</v>
      </c>
      <c r="BK62" s="76">
        <f t="shared" ref="BK62" ca="1" si="220">SUM(BK63:BK66)</f>
        <v>0</v>
      </c>
    </row>
    <row r="63" spans="1:63" x14ac:dyDescent="0.2">
      <c r="A63" s="147"/>
      <c r="B63" s="77" t="str">
        <f>Lists!$A$28</f>
        <v>Fixed (Monthly)</v>
      </c>
      <c r="C63" s="9"/>
      <c r="D63" s="76">
        <f t="shared" ref="D63:AI63" ca="1" si="221">SUMIFS(INDIRECT("BusinessModelAssumptions[Cost]"),INDIRECT("BusinessModelAssumptions[Stage]"),PostRelease,INDIRECT("BusinessModelAssumptions[Category]"),$B62,INDIRECT("BusinessModelAssumptions[Post-Cost Type]"),$B63)</f>
        <v>0</v>
      </c>
      <c r="E63" s="76">
        <f t="shared" ca="1" si="221"/>
        <v>0</v>
      </c>
      <c r="F63" s="76">
        <f t="shared" ca="1" si="221"/>
        <v>0</v>
      </c>
      <c r="G63" s="76">
        <f t="shared" ca="1" si="221"/>
        <v>0</v>
      </c>
      <c r="H63" s="76">
        <f t="shared" ca="1" si="221"/>
        <v>0</v>
      </c>
      <c r="I63" s="76">
        <f t="shared" ca="1" si="221"/>
        <v>0</v>
      </c>
      <c r="J63" s="76">
        <f t="shared" ca="1" si="221"/>
        <v>0</v>
      </c>
      <c r="K63" s="76">
        <f t="shared" ca="1" si="221"/>
        <v>0</v>
      </c>
      <c r="L63" s="76">
        <f t="shared" ca="1" si="221"/>
        <v>0</v>
      </c>
      <c r="M63" s="76">
        <f t="shared" ca="1" si="221"/>
        <v>0</v>
      </c>
      <c r="N63" s="76">
        <f t="shared" ca="1" si="221"/>
        <v>0</v>
      </c>
      <c r="O63" s="76">
        <f t="shared" ca="1" si="221"/>
        <v>0</v>
      </c>
      <c r="P63" s="76">
        <f t="shared" ca="1" si="221"/>
        <v>0</v>
      </c>
      <c r="Q63" s="76">
        <f t="shared" ca="1" si="221"/>
        <v>0</v>
      </c>
      <c r="R63" s="76">
        <f t="shared" ca="1" si="221"/>
        <v>0</v>
      </c>
      <c r="S63" s="76">
        <f t="shared" ca="1" si="221"/>
        <v>0</v>
      </c>
      <c r="T63" s="76">
        <f t="shared" ca="1" si="221"/>
        <v>0</v>
      </c>
      <c r="U63" s="76">
        <f t="shared" ca="1" si="221"/>
        <v>0</v>
      </c>
      <c r="V63" s="76">
        <f t="shared" ca="1" si="221"/>
        <v>0</v>
      </c>
      <c r="W63" s="76">
        <f t="shared" ca="1" si="221"/>
        <v>0</v>
      </c>
      <c r="X63" s="76">
        <f t="shared" ca="1" si="221"/>
        <v>0</v>
      </c>
      <c r="Y63" s="76">
        <f t="shared" ca="1" si="221"/>
        <v>0</v>
      </c>
      <c r="Z63" s="76">
        <f t="shared" ca="1" si="221"/>
        <v>0</v>
      </c>
      <c r="AA63" s="76">
        <f t="shared" ca="1" si="221"/>
        <v>0</v>
      </c>
      <c r="AB63" s="76">
        <f t="shared" ca="1" si="221"/>
        <v>0</v>
      </c>
      <c r="AC63" s="76">
        <f t="shared" ca="1" si="221"/>
        <v>0</v>
      </c>
      <c r="AD63" s="76">
        <f t="shared" ca="1" si="221"/>
        <v>0</v>
      </c>
      <c r="AE63" s="76">
        <f t="shared" ca="1" si="221"/>
        <v>0</v>
      </c>
      <c r="AF63" s="76">
        <f t="shared" ca="1" si="221"/>
        <v>0</v>
      </c>
      <c r="AG63" s="76">
        <f t="shared" ca="1" si="221"/>
        <v>0</v>
      </c>
      <c r="AH63" s="76">
        <f t="shared" ca="1" si="221"/>
        <v>0</v>
      </c>
      <c r="AI63" s="76">
        <f t="shared" ca="1" si="221"/>
        <v>0</v>
      </c>
      <c r="AJ63" s="76">
        <f t="shared" ref="AJ63:BK63" ca="1" si="222">SUMIFS(INDIRECT("BusinessModelAssumptions[Cost]"),INDIRECT("BusinessModelAssumptions[Stage]"),PostRelease,INDIRECT("BusinessModelAssumptions[Category]"),$B62,INDIRECT("BusinessModelAssumptions[Post-Cost Type]"),$B63)</f>
        <v>0</v>
      </c>
      <c r="AK63" s="76">
        <f t="shared" ca="1" si="222"/>
        <v>0</v>
      </c>
      <c r="AL63" s="76">
        <f t="shared" ca="1" si="222"/>
        <v>0</v>
      </c>
      <c r="AM63" s="76">
        <f t="shared" ca="1" si="222"/>
        <v>0</v>
      </c>
      <c r="AN63" s="76">
        <f t="shared" ca="1" si="222"/>
        <v>0</v>
      </c>
      <c r="AO63" s="76">
        <f t="shared" ca="1" si="222"/>
        <v>0</v>
      </c>
      <c r="AP63" s="76">
        <f t="shared" ca="1" si="222"/>
        <v>0</v>
      </c>
      <c r="AQ63" s="76">
        <f t="shared" ca="1" si="222"/>
        <v>0</v>
      </c>
      <c r="AR63" s="76">
        <f t="shared" ca="1" si="222"/>
        <v>0</v>
      </c>
      <c r="AS63" s="76">
        <f t="shared" ca="1" si="222"/>
        <v>0</v>
      </c>
      <c r="AT63" s="76">
        <f t="shared" ca="1" si="222"/>
        <v>0</v>
      </c>
      <c r="AU63" s="76">
        <f t="shared" ca="1" si="222"/>
        <v>0</v>
      </c>
      <c r="AV63" s="76">
        <f t="shared" ca="1" si="222"/>
        <v>0</v>
      </c>
      <c r="AW63" s="76">
        <f t="shared" ca="1" si="222"/>
        <v>0</v>
      </c>
      <c r="AX63" s="76">
        <f t="shared" ca="1" si="222"/>
        <v>0</v>
      </c>
      <c r="AY63" s="76">
        <f t="shared" ca="1" si="222"/>
        <v>0</v>
      </c>
      <c r="AZ63" s="76">
        <f t="shared" ca="1" si="222"/>
        <v>0</v>
      </c>
      <c r="BA63" s="76">
        <f t="shared" ca="1" si="222"/>
        <v>0</v>
      </c>
      <c r="BB63" s="76">
        <f t="shared" ca="1" si="222"/>
        <v>0</v>
      </c>
      <c r="BC63" s="76">
        <f t="shared" ca="1" si="222"/>
        <v>0</v>
      </c>
      <c r="BD63" s="76">
        <f t="shared" ca="1" si="222"/>
        <v>0</v>
      </c>
      <c r="BE63" s="76">
        <f t="shared" ca="1" si="222"/>
        <v>0</v>
      </c>
      <c r="BF63" s="76">
        <f t="shared" ca="1" si="222"/>
        <v>0</v>
      </c>
      <c r="BG63" s="76">
        <f t="shared" ca="1" si="222"/>
        <v>0</v>
      </c>
      <c r="BH63" s="76">
        <f t="shared" ca="1" si="222"/>
        <v>0</v>
      </c>
      <c r="BI63" s="76">
        <f t="shared" ca="1" si="222"/>
        <v>0</v>
      </c>
      <c r="BJ63" s="76">
        <f t="shared" ca="1" si="222"/>
        <v>0</v>
      </c>
      <c r="BK63" s="76">
        <f t="shared" ca="1" si="222"/>
        <v>0</v>
      </c>
    </row>
    <row r="64" spans="1:63" x14ac:dyDescent="0.2">
      <c r="A64" s="147"/>
      <c r="B64" s="77" t="str">
        <f>Lists!$A$29</f>
        <v>Per Unit Sold</v>
      </c>
      <c r="C64" s="9"/>
      <c r="D64" s="76">
        <f t="shared" ref="D64:AI64" ca="1" si="223">SUMIFS(INDIRECT("BusinessModelAssumptions[Cost]"),INDIRECT("BusinessModelAssumptions[Stage]"),PostRelease,INDIRECT("BusinessModelAssumptions[Category]"),$B62,INDIRECT("BusinessModelAssumptions[Post-Cost Type]"),$B64)*TotalUnitsSold</f>
        <v>0</v>
      </c>
      <c r="E64" s="76">
        <f t="shared" ca="1" si="223"/>
        <v>0</v>
      </c>
      <c r="F64" s="76">
        <f t="shared" ca="1" si="223"/>
        <v>0</v>
      </c>
      <c r="G64" s="76">
        <f t="shared" ca="1" si="223"/>
        <v>0</v>
      </c>
      <c r="H64" s="76">
        <f t="shared" ca="1" si="223"/>
        <v>0</v>
      </c>
      <c r="I64" s="76">
        <f t="shared" ca="1" si="223"/>
        <v>0</v>
      </c>
      <c r="J64" s="76">
        <f t="shared" ca="1" si="223"/>
        <v>0</v>
      </c>
      <c r="K64" s="76">
        <f t="shared" ca="1" si="223"/>
        <v>0</v>
      </c>
      <c r="L64" s="76">
        <f t="shared" ca="1" si="223"/>
        <v>0</v>
      </c>
      <c r="M64" s="76">
        <f t="shared" ca="1" si="223"/>
        <v>0</v>
      </c>
      <c r="N64" s="76">
        <f t="shared" ca="1" si="223"/>
        <v>0</v>
      </c>
      <c r="O64" s="76">
        <f t="shared" ca="1" si="223"/>
        <v>0</v>
      </c>
      <c r="P64" s="76">
        <f t="shared" ca="1" si="223"/>
        <v>0</v>
      </c>
      <c r="Q64" s="76">
        <f t="shared" ca="1" si="223"/>
        <v>0</v>
      </c>
      <c r="R64" s="76">
        <f t="shared" ca="1" si="223"/>
        <v>0</v>
      </c>
      <c r="S64" s="76">
        <f t="shared" ca="1" si="223"/>
        <v>0</v>
      </c>
      <c r="T64" s="76">
        <f t="shared" ca="1" si="223"/>
        <v>0</v>
      </c>
      <c r="U64" s="76">
        <f t="shared" ca="1" si="223"/>
        <v>0</v>
      </c>
      <c r="V64" s="76">
        <f t="shared" ca="1" si="223"/>
        <v>0</v>
      </c>
      <c r="W64" s="76">
        <f t="shared" ca="1" si="223"/>
        <v>0</v>
      </c>
      <c r="X64" s="76">
        <f t="shared" ca="1" si="223"/>
        <v>0</v>
      </c>
      <c r="Y64" s="76">
        <f t="shared" ca="1" si="223"/>
        <v>0</v>
      </c>
      <c r="Z64" s="76">
        <f t="shared" ca="1" si="223"/>
        <v>0</v>
      </c>
      <c r="AA64" s="76">
        <f t="shared" ca="1" si="223"/>
        <v>0</v>
      </c>
      <c r="AB64" s="76">
        <f t="shared" ca="1" si="223"/>
        <v>0</v>
      </c>
      <c r="AC64" s="76">
        <f t="shared" ca="1" si="223"/>
        <v>0</v>
      </c>
      <c r="AD64" s="76">
        <f t="shared" ca="1" si="223"/>
        <v>0</v>
      </c>
      <c r="AE64" s="76">
        <f t="shared" ca="1" si="223"/>
        <v>0</v>
      </c>
      <c r="AF64" s="76">
        <f t="shared" ca="1" si="223"/>
        <v>0</v>
      </c>
      <c r="AG64" s="76">
        <f t="shared" ca="1" si="223"/>
        <v>0</v>
      </c>
      <c r="AH64" s="76">
        <f t="shared" ca="1" si="223"/>
        <v>0</v>
      </c>
      <c r="AI64" s="76">
        <f t="shared" ca="1" si="223"/>
        <v>0</v>
      </c>
      <c r="AJ64" s="76">
        <f t="shared" ref="AJ64:BK64" ca="1" si="224">SUMIFS(INDIRECT("BusinessModelAssumptions[Cost]"),INDIRECT("BusinessModelAssumptions[Stage]"),PostRelease,INDIRECT("BusinessModelAssumptions[Category]"),$B62,INDIRECT("BusinessModelAssumptions[Post-Cost Type]"),$B64)*TotalUnitsSold</f>
        <v>0</v>
      </c>
      <c r="AK64" s="76">
        <f t="shared" ca="1" si="224"/>
        <v>0</v>
      </c>
      <c r="AL64" s="76">
        <f t="shared" ca="1" si="224"/>
        <v>0</v>
      </c>
      <c r="AM64" s="76">
        <f t="shared" ca="1" si="224"/>
        <v>0</v>
      </c>
      <c r="AN64" s="76">
        <f t="shared" ca="1" si="224"/>
        <v>0</v>
      </c>
      <c r="AO64" s="76">
        <f t="shared" ca="1" si="224"/>
        <v>0</v>
      </c>
      <c r="AP64" s="76">
        <f t="shared" ca="1" si="224"/>
        <v>0</v>
      </c>
      <c r="AQ64" s="76">
        <f t="shared" ca="1" si="224"/>
        <v>0</v>
      </c>
      <c r="AR64" s="76">
        <f t="shared" ca="1" si="224"/>
        <v>0</v>
      </c>
      <c r="AS64" s="76">
        <f t="shared" ca="1" si="224"/>
        <v>0</v>
      </c>
      <c r="AT64" s="76">
        <f t="shared" ca="1" si="224"/>
        <v>0</v>
      </c>
      <c r="AU64" s="76">
        <f t="shared" ca="1" si="224"/>
        <v>0</v>
      </c>
      <c r="AV64" s="76">
        <f t="shared" ca="1" si="224"/>
        <v>0</v>
      </c>
      <c r="AW64" s="76">
        <f t="shared" ca="1" si="224"/>
        <v>0</v>
      </c>
      <c r="AX64" s="76">
        <f t="shared" ca="1" si="224"/>
        <v>0</v>
      </c>
      <c r="AY64" s="76">
        <f t="shared" ca="1" si="224"/>
        <v>0</v>
      </c>
      <c r="AZ64" s="76">
        <f t="shared" ca="1" si="224"/>
        <v>0</v>
      </c>
      <c r="BA64" s="76">
        <f t="shared" ca="1" si="224"/>
        <v>0</v>
      </c>
      <c r="BB64" s="76">
        <f t="shared" ca="1" si="224"/>
        <v>0</v>
      </c>
      <c r="BC64" s="76">
        <f t="shared" ca="1" si="224"/>
        <v>0</v>
      </c>
      <c r="BD64" s="76">
        <f t="shared" ca="1" si="224"/>
        <v>0</v>
      </c>
      <c r="BE64" s="76">
        <f t="shared" ca="1" si="224"/>
        <v>0</v>
      </c>
      <c r="BF64" s="76">
        <f t="shared" ca="1" si="224"/>
        <v>0</v>
      </c>
      <c r="BG64" s="76">
        <f t="shared" ca="1" si="224"/>
        <v>0</v>
      </c>
      <c r="BH64" s="76">
        <f t="shared" ca="1" si="224"/>
        <v>0</v>
      </c>
      <c r="BI64" s="76">
        <f t="shared" ca="1" si="224"/>
        <v>0</v>
      </c>
      <c r="BJ64" s="76">
        <f t="shared" ca="1" si="224"/>
        <v>0</v>
      </c>
      <c r="BK64" s="76">
        <f t="shared" ca="1" si="224"/>
        <v>0</v>
      </c>
    </row>
    <row r="65" spans="1:63" x14ac:dyDescent="0.2">
      <c r="A65" s="147"/>
      <c r="B65" s="77" t="str">
        <f>Lists!$A$30</f>
        <v>% of Revenue</v>
      </c>
      <c r="C65" s="9"/>
      <c r="D65" s="76">
        <f t="shared" ref="D65:AI65" ca="1" si="225">SUMIFS(INDIRECT("BusinessModelAssumptions[Cost]"),INDIRECT("BusinessModelAssumptions[Stage]"),PostRelease,INDIRECT("BusinessModelAssumptions[Category]"),$B62,INDIRECT("BusinessModelAssumptions[Post-Cost Type]"),$B65)*TotalRevenue *-1</f>
        <v>0</v>
      </c>
      <c r="E65" s="76">
        <f t="shared" ca="1" si="225"/>
        <v>0</v>
      </c>
      <c r="F65" s="76">
        <f t="shared" ca="1" si="225"/>
        <v>0</v>
      </c>
      <c r="G65" s="76">
        <f t="shared" ca="1" si="225"/>
        <v>0</v>
      </c>
      <c r="H65" s="76">
        <f t="shared" ca="1" si="225"/>
        <v>0</v>
      </c>
      <c r="I65" s="76">
        <f t="shared" ca="1" si="225"/>
        <v>0</v>
      </c>
      <c r="J65" s="76">
        <f t="shared" ca="1" si="225"/>
        <v>0</v>
      </c>
      <c r="K65" s="76">
        <f t="shared" ca="1" si="225"/>
        <v>0</v>
      </c>
      <c r="L65" s="76">
        <f t="shared" ca="1" si="225"/>
        <v>0</v>
      </c>
      <c r="M65" s="76">
        <f t="shared" ca="1" si="225"/>
        <v>0</v>
      </c>
      <c r="N65" s="76">
        <f t="shared" ca="1" si="225"/>
        <v>0</v>
      </c>
      <c r="O65" s="76">
        <f t="shared" ca="1" si="225"/>
        <v>0</v>
      </c>
      <c r="P65" s="76">
        <f t="shared" ca="1" si="225"/>
        <v>0</v>
      </c>
      <c r="Q65" s="76">
        <f t="shared" ca="1" si="225"/>
        <v>0</v>
      </c>
      <c r="R65" s="76">
        <f t="shared" ca="1" si="225"/>
        <v>0</v>
      </c>
      <c r="S65" s="76">
        <f t="shared" ca="1" si="225"/>
        <v>0</v>
      </c>
      <c r="T65" s="76">
        <f t="shared" ca="1" si="225"/>
        <v>0</v>
      </c>
      <c r="U65" s="76">
        <f t="shared" ca="1" si="225"/>
        <v>0</v>
      </c>
      <c r="V65" s="76">
        <f t="shared" ca="1" si="225"/>
        <v>0</v>
      </c>
      <c r="W65" s="76">
        <f t="shared" ca="1" si="225"/>
        <v>0</v>
      </c>
      <c r="X65" s="76">
        <f t="shared" ca="1" si="225"/>
        <v>0</v>
      </c>
      <c r="Y65" s="76">
        <f t="shared" ca="1" si="225"/>
        <v>0</v>
      </c>
      <c r="Z65" s="76">
        <f t="shared" ca="1" si="225"/>
        <v>0</v>
      </c>
      <c r="AA65" s="76">
        <f t="shared" ca="1" si="225"/>
        <v>0</v>
      </c>
      <c r="AB65" s="76">
        <f t="shared" ca="1" si="225"/>
        <v>0</v>
      </c>
      <c r="AC65" s="76">
        <f t="shared" ca="1" si="225"/>
        <v>0</v>
      </c>
      <c r="AD65" s="76">
        <f t="shared" ca="1" si="225"/>
        <v>0</v>
      </c>
      <c r="AE65" s="76">
        <f t="shared" ca="1" si="225"/>
        <v>0</v>
      </c>
      <c r="AF65" s="76">
        <f t="shared" ca="1" si="225"/>
        <v>0</v>
      </c>
      <c r="AG65" s="76">
        <f t="shared" ca="1" si="225"/>
        <v>0</v>
      </c>
      <c r="AH65" s="76">
        <f t="shared" ca="1" si="225"/>
        <v>0</v>
      </c>
      <c r="AI65" s="76">
        <f t="shared" ca="1" si="225"/>
        <v>0</v>
      </c>
      <c r="AJ65" s="76">
        <f t="shared" ref="AJ65:BK65" ca="1" si="226">SUMIFS(INDIRECT("BusinessModelAssumptions[Cost]"),INDIRECT("BusinessModelAssumptions[Stage]"),PostRelease,INDIRECT("BusinessModelAssumptions[Category]"),$B62,INDIRECT("BusinessModelAssumptions[Post-Cost Type]"),$B65)*TotalRevenue *-1</f>
        <v>0</v>
      </c>
      <c r="AK65" s="76">
        <f t="shared" ca="1" si="226"/>
        <v>0</v>
      </c>
      <c r="AL65" s="76">
        <f t="shared" ca="1" si="226"/>
        <v>0</v>
      </c>
      <c r="AM65" s="76">
        <f t="shared" ca="1" si="226"/>
        <v>0</v>
      </c>
      <c r="AN65" s="76">
        <f t="shared" ca="1" si="226"/>
        <v>0</v>
      </c>
      <c r="AO65" s="76">
        <f t="shared" ca="1" si="226"/>
        <v>0</v>
      </c>
      <c r="AP65" s="76">
        <f t="shared" ca="1" si="226"/>
        <v>0</v>
      </c>
      <c r="AQ65" s="76">
        <f t="shared" ca="1" si="226"/>
        <v>0</v>
      </c>
      <c r="AR65" s="76">
        <f t="shared" ca="1" si="226"/>
        <v>0</v>
      </c>
      <c r="AS65" s="76">
        <f t="shared" ca="1" si="226"/>
        <v>0</v>
      </c>
      <c r="AT65" s="76">
        <f t="shared" ca="1" si="226"/>
        <v>0</v>
      </c>
      <c r="AU65" s="76">
        <f t="shared" ca="1" si="226"/>
        <v>0</v>
      </c>
      <c r="AV65" s="76">
        <f t="shared" ca="1" si="226"/>
        <v>0</v>
      </c>
      <c r="AW65" s="76">
        <f t="shared" ca="1" si="226"/>
        <v>0</v>
      </c>
      <c r="AX65" s="76">
        <f t="shared" ca="1" si="226"/>
        <v>0</v>
      </c>
      <c r="AY65" s="76">
        <f t="shared" ca="1" si="226"/>
        <v>0</v>
      </c>
      <c r="AZ65" s="76">
        <f t="shared" ca="1" si="226"/>
        <v>0</v>
      </c>
      <c r="BA65" s="76">
        <f t="shared" ca="1" si="226"/>
        <v>0</v>
      </c>
      <c r="BB65" s="76">
        <f t="shared" ca="1" si="226"/>
        <v>0</v>
      </c>
      <c r="BC65" s="76">
        <f t="shared" ca="1" si="226"/>
        <v>0</v>
      </c>
      <c r="BD65" s="76">
        <f t="shared" ca="1" si="226"/>
        <v>0</v>
      </c>
      <c r="BE65" s="76">
        <f t="shared" ca="1" si="226"/>
        <v>0</v>
      </c>
      <c r="BF65" s="76">
        <f t="shared" ca="1" si="226"/>
        <v>0</v>
      </c>
      <c r="BG65" s="76">
        <f t="shared" ca="1" si="226"/>
        <v>0</v>
      </c>
      <c r="BH65" s="76">
        <f t="shared" ca="1" si="226"/>
        <v>0</v>
      </c>
      <c r="BI65" s="76">
        <f t="shared" ca="1" si="226"/>
        <v>0</v>
      </c>
      <c r="BJ65" s="76">
        <f t="shared" ca="1" si="226"/>
        <v>0</v>
      </c>
      <c r="BK65" s="76">
        <f t="shared" ca="1" si="226"/>
        <v>0</v>
      </c>
    </row>
    <row r="66" spans="1:63" x14ac:dyDescent="0.2">
      <c r="A66" s="147"/>
      <c r="B66" s="77" t="s">
        <v>111</v>
      </c>
      <c r="C66" s="9"/>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c r="BK66" s="76"/>
    </row>
    <row r="67" spans="1:63" x14ac:dyDescent="0.2">
      <c r="A67" s="147"/>
      <c r="B67" s="75" t="str">
        <f>Lists!A10</f>
        <v>Software</v>
      </c>
      <c r="C67" s="9"/>
      <c r="D67" s="76">
        <f ca="1">SUM(D68:D71)</f>
        <v>-10000</v>
      </c>
      <c r="E67" s="76">
        <f t="shared" ref="E67:AM67" ca="1" si="227">SUM(E68:E71)</f>
        <v>-10000</v>
      </c>
      <c r="F67" s="76">
        <f t="shared" ca="1" si="227"/>
        <v>-10000</v>
      </c>
      <c r="G67" s="76">
        <f t="shared" ca="1" si="227"/>
        <v>-10000</v>
      </c>
      <c r="H67" s="76">
        <f t="shared" ca="1" si="227"/>
        <v>-10000</v>
      </c>
      <c r="I67" s="76">
        <f t="shared" ca="1" si="227"/>
        <v>-10000</v>
      </c>
      <c r="J67" s="76">
        <f t="shared" ca="1" si="227"/>
        <v>-10000</v>
      </c>
      <c r="K67" s="76">
        <f t="shared" ca="1" si="227"/>
        <v>-10000</v>
      </c>
      <c r="L67" s="76">
        <f t="shared" ca="1" si="227"/>
        <v>-10000</v>
      </c>
      <c r="M67" s="76">
        <f t="shared" ca="1" si="227"/>
        <v>-10000</v>
      </c>
      <c r="N67" s="76">
        <f t="shared" ca="1" si="227"/>
        <v>-10000</v>
      </c>
      <c r="O67" s="76">
        <f t="shared" ca="1" si="227"/>
        <v>-10000</v>
      </c>
      <c r="P67" s="76">
        <f t="shared" ca="1" si="227"/>
        <v>-10000</v>
      </c>
      <c r="Q67" s="76">
        <f t="shared" ca="1" si="227"/>
        <v>-10000</v>
      </c>
      <c r="R67" s="76">
        <f t="shared" ca="1" si="227"/>
        <v>-10000</v>
      </c>
      <c r="S67" s="76">
        <f t="shared" ca="1" si="227"/>
        <v>-10000</v>
      </c>
      <c r="T67" s="76">
        <f t="shared" ca="1" si="227"/>
        <v>-10000</v>
      </c>
      <c r="U67" s="76">
        <f t="shared" ca="1" si="227"/>
        <v>-10000</v>
      </c>
      <c r="V67" s="76">
        <f t="shared" ca="1" si="227"/>
        <v>-10000</v>
      </c>
      <c r="W67" s="76">
        <f t="shared" ca="1" si="227"/>
        <v>-10000</v>
      </c>
      <c r="X67" s="76">
        <f t="shared" ca="1" si="227"/>
        <v>-10000</v>
      </c>
      <c r="Y67" s="76">
        <f t="shared" ca="1" si="227"/>
        <v>-10000</v>
      </c>
      <c r="Z67" s="76">
        <f t="shared" ca="1" si="227"/>
        <v>-10000</v>
      </c>
      <c r="AA67" s="76">
        <f t="shared" ca="1" si="227"/>
        <v>-10000</v>
      </c>
      <c r="AB67" s="76">
        <f t="shared" ca="1" si="227"/>
        <v>-10000</v>
      </c>
      <c r="AC67" s="76">
        <f t="shared" ca="1" si="227"/>
        <v>-10000</v>
      </c>
      <c r="AD67" s="76">
        <f t="shared" ca="1" si="227"/>
        <v>-10000</v>
      </c>
      <c r="AE67" s="76">
        <f t="shared" ca="1" si="227"/>
        <v>-10000</v>
      </c>
      <c r="AF67" s="76">
        <f t="shared" ca="1" si="227"/>
        <v>-10000</v>
      </c>
      <c r="AG67" s="76">
        <f t="shared" ca="1" si="227"/>
        <v>-10000</v>
      </c>
      <c r="AH67" s="76">
        <f t="shared" ca="1" si="227"/>
        <v>-10000</v>
      </c>
      <c r="AI67" s="76">
        <f t="shared" ca="1" si="227"/>
        <v>-10000</v>
      </c>
      <c r="AJ67" s="76">
        <f t="shared" ca="1" si="227"/>
        <v>-10000</v>
      </c>
      <c r="AK67" s="76">
        <f t="shared" ca="1" si="227"/>
        <v>-10000</v>
      </c>
      <c r="AL67" s="76">
        <f t="shared" ca="1" si="227"/>
        <v>-10000</v>
      </c>
      <c r="AM67" s="76">
        <f t="shared" ca="1" si="227"/>
        <v>-10000</v>
      </c>
      <c r="AN67" s="76">
        <f t="shared" ref="AN67" ca="1" si="228">SUM(AN68:AN71)</f>
        <v>-10000</v>
      </c>
      <c r="AO67" s="76">
        <f t="shared" ref="AO67" ca="1" si="229">SUM(AO68:AO71)</f>
        <v>-10000</v>
      </c>
      <c r="AP67" s="76">
        <f t="shared" ref="AP67" ca="1" si="230">SUM(AP68:AP71)</f>
        <v>-10000</v>
      </c>
      <c r="AQ67" s="76">
        <f t="shared" ref="AQ67" ca="1" si="231">SUM(AQ68:AQ71)</f>
        <v>-10000</v>
      </c>
      <c r="AR67" s="76">
        <f t="shared" ref="AR67" ca="1" si="232">SUM(AR68:AR71)</f>
        <v>-10000</v>
      </c>
      <c r="AS67" s="76">
        <f t="shared" ref="AS67" ca="1" si="233">SUM(AS68:AS71)</f>
        <v>-10000</v>
      </c>
      <c r="AT67" s="76">
        <f t="shared" ref="AT67" ca="1" si="234">SUM(AT68:AT71)</f>
        <v>-10000</v>
      </c>
      <c r="AU67" s="76">
        <f t="shared" ref="AU67" ca="1" si="235">SUM(AU68:AU71)</f>
        <v>-10000</v>
      </c>
      <c r="AV67" s="76">
        <f t="shared" ref="AV67" ca="1" si="236">SUM(AV68:AV71)</f>
        <v>-10000</v>
      </c>
      <c r="AW67" s="76">
        <f t="shared" ref="AW67" ca="1" si="237">SUM(AW68:AW71)</f>
        <v>-10000</v>
      </c>
      <c r="AX67" s="76">
        <f t="shared" ref="AX67" ca="1" si="238">SUM(AX68:AX71)</f>
        <v>-10000</v>
      </c>
      <c r="AY67" s="76">
        <f t="shared" ref="AY67" ca="1" si="239">SUM(AY68:AY71)</f>
        <v>-10000</v>
      </c>
      <c r="AZ67" s="76">
        <f t="shared" ref="AZ67" ca="1" si="240">SUM(AZ68:AZ71)</f>
        <v>-10000</v>
      </c>
      <c r="BA67" s="76">
        <f t="shared" ref="BA67" ca="1" si="241">SUM(BA68:BA71)</f>
        <v>-10000</v>
      </c>
      <c r="BB67" s="76">
        <f t="shared" ref="BB67" ca="1" si="242">SUM(BB68:BB71)</f>
        <v>-10000</v>
      </c>
      <c r="BC67" s="76">
        <f t="shared" ref="BC67" ca="1" si="243">SUM(BC68:BC71)</f>
        <v>-10000</v>
      </c>
      <c r="BD67" s="76">
        <f t="shared" ref="BD67" ca="1" si="244">SUM(BD68:BD71)</f>
        <v>-10000</v>
      </c>
      <c r="BE67" s="76">
        <f t="shared" ref="BE67" ca="1" si="245">SUM(BE68:BE71)</f>
        <v>-10000</v>
      </c>
      <c r="BF67" s="76">
        <f t="shared" ref="BF67" ca="1" si="246">SUM(BF68:BF71)</f>
        <v>-10000</v>
      </c>
      <c r="BG67" s="76">
        <f t="shared" ref="BG67" ca="1" si="247">SUM(BG68:BG71)</f>
        <v>-10000</v>
      </c>
      <c r="BH67" s="76">
        <f t="shared" ref="BH67" ca="1" si="248">SUM(BH68:BH71)</f>
        <v>-10000</v>
      </c>
      <c r="BI67" s="76">
        <f t="shared" ref="BI67" ca="1" si="249">SUM(BI68:BI71)</f>
        <v>-10000</v>
      </c>
      <c r="BJ67" s="76">
        <f t="shared" ref="BJ67" ca="1" si="250">SUM(BJ68:BJ71)</f>
        <v>-10000</v>
      </c>
      <c r="BK67" s="76">
        <f t="shared" ref="BK67" ca="1" si="251">SUM(BK68:BK71)</f>
        <v>-10000</v>
      </c>
    </row>
    <row r="68" spans="1:63" x14ac:dyDescent="0.2">
      <c r="A68" s="147"/>
      <c r="B68" s="77" t="str">
        <f>Lists!$A$28</f>
        <v>Fixed (Monthly)</v>
      </c>
      <c r="C68" s="9"/>
      <c r="D68" s="76">
        <f t="shared" ref="D68:AI68" ca="1" si="252">SUMIFS(INDIRECT("BusinessModelAssumptions[Cost]"),INDIRECT("BusinessModelAssumptions[Stage]"),PostRelease,INDIRECT("BusinessModelAssumptions[Category]"),$B67,INDIRECT("BusinessModelAssumptions[Post-Cost Type]"),$B68)</f>
        <v>-10000</v>
      </c>
      <c r="E68" s="76">
        <f t="shared" ca="1" si="252"/>
        <v>-10000</v>
      </c>
      <c r="F68" s="76">
        <f t="shared" ca="1" si="252"/>
        <v>-10000</v>
      </c>
      <c r="G68" s="76">
        <f t="shared" ca="1" si="252"/>
        <v>-10000</v>
      </c>
      <c r="H68" s="76">
        <f t="shared" ca="1" si="252"/>
        <v>-10000</v>
      </c>
      <c r="I68" s="76">
        <f t="shared" ca="1" si="252"/>
        <v>-10000</v>
      </c>
      <c r="J68" s="76">
        <f t="shared" ca="1" si="252"/>
        <v>-10000</v>
      </c>
      <c r="K68" s="76">
        <f t="shared" ca="1" si="252"/>
        <v>-10000</v>
      </c>
      <c r="L68" s="76">
        <f t="shared" ca="1" si="252"/>
        <v>-10000</v>
      </c>
      <c r="M68" s="76">
        <f t="shared" ca="1" si="252"/>
        <v>-10000</v>
      </c>
      <c r="N68" s="76">
        <f t="shared" ca="1" si="252"/>
        <v>-10000</v>
      </c>
      <c r="O68" s="76">
        <f t="shared" ca="1" si="252"/>
        <v>-10000</v>
      </c>
      <c r="P68" s="76">
        <f t="shared" ca="1" si="252"/>
        <v>-10000</v>
      </c>
      <c r="Q68" s="76">
        <f t="shared" ca="1" si="252"/>
        <v>-10000</v>
      </c>
      <c r="R68" s="76">
        <f t="shared" ca="1" si="252"/>
        <v>-10000</v>
      </c>
      <c r="S68" s="76">
        <f t="shared" ca="1" si="252"/>
        <v>-10000</v>
      </c>
      <c r="T68" s="76">
        <f t="shared" ca="1" si="252"/>
        <v>-10000</v>
      </c>
      <c r="U68" s="76">
        <f t="shared" ca="1" si="252"/>
        <v>-10000</v>
      </c>
      <c r="V68" s="76">
        <f t="shared" ca="1" si="252"/>
        <v>-10000</v>
      </c>
      <c r="W68" s="76">
        <f t="shared" ca="1" si="252"/>
        <v>-10000</v>
      </c>
      <c r="X68" s="76">
        <f t="shared" ca="1" si="252"/>
        <v>-10000</v>
      </c>
      <c r="Y68" s="76">
        <f t="shared" ca="1" si="252"/>
        <v>-10000</v>
      </c>
      <c r="Z68" s="76">
        <f t="shared" ca="1" si="252"/>
        <v>-10000</v>
      </c>
      <c r="AA68" s="76">
        <f t="shared" ca="1" si="252"/>
        <v>-10000</v>
      </c>
      <c r="AB68" s="76">
        <f t="shared" ca="1" si="252"/>
        <v>-10000</v>
      </c>
      <c r="AC68" s="76">
        <f t="shared" ca="1" si="252"/>
        <v>-10000</v>
      </c>
      <c r="AD68" s="76">
        <f t="shared" ca="1" si="252"/>
        <v>-10000</v>
      </c>
      <c r="AE68" s="76">
        <f t="shared" ca="1" si="252"/>
        <v>-10000</v>
      </c>
      <c r="AF68" s="76">
        <f t="shared" ca="1" si="252"/>
        <v>-10000</v>
      </c>
      <c r="AG68" s="76">
        <f t="shared" ca="1" si="252"/>
        <v>-10000</v>
      </c>
      <c r="AH68" s="76">
        <f t="shared" ca="1" si="252"/>
        <v>-10000</v>
      </c>
      <c r="AI68" s="76">
        <f t="shared" ca="1" si="252"/>
        <v>-10000</v>
      </c>
      <c r="AJ68" s="76">
        <f t="shared" ref="AJ68:BK68" ca="1" si="253">SUMIFS(INDIRECT("BusinessModelAssumptions[Cost]"),INDIRECT("BusinessModelAssumptions[Stage]"),PostRelease,INDIRECT("BusinessModelAssumptions[Category]"),$B67,INDIRECT("BusinessModelAssumptions[Post-Cost Type]"),$B68)</f>
        <v>-10000</v>
      </c>
      <c r="AK68" s="76">
        <f t="shared" ca="1" si="253"/>
        <v>-10000</v>
      </c>
      <c r="AL68" s="76">
        <f t="shared" ca="1" si="253"/>
        <v>-10000</v>
      </c>
      <c r="AM68" s="76">
        <f t="shared" ca="1" si="253"/>
        <v>-10000</v>
      </c>
      <c r="AN68" s="76">
        <f t="shared" ca="1" si="253"/>
        <v>-10000</v>
      </c>
      <c r="AO68" s="76">
        <f t="shared" ca="1" si="253"/>
        <v>-10000</v>
      </c>
      <c r="AP68" s="76">
        <f t="shared" ca="1" si="253"/>
        <v>-10000</v>
      </c>
      <c r="AQ68" s="76">
        <f t="shared" ca="1" si="253"/>
        <v>-10000</v>
      </c>
      <c r="AR68" s="76">
        <f t="shared" ca="1" si="253"/>
        <v>-10000</v>
      </c>
      <c r="AS68" s="76">
        <f t="shared" ca="1" si="253"/>
        <v>-10000</v>
      </c>
      <c r="AT68" s="76">
        <f t="shared" ca="1" si="253"/>
        <v>-10000</v>
      </c>
      <c r="AU68" s="76">
        <f t="shared" ca="1" si="253"/>
        <v>-10000</v>
      </c>
      <c r="AV68" s="76">
        <f t="shared" ca="1" si="253"/>
        <v>-10000</v>
      </c>
      <c r="AW68" s="76">
        <f t="shared" ca="1" si="253"/>
        <v>-10000</v>
      </c>
      <c r="AX68" s="76">
        <f t="shared" ca="1" si="253"/>
        <v>-10000</v>
      </c>
      <c r="AY68" s="76">
        <f t="shared" ca="1" si="253"/>
        <v>-10000</v>
      </c>
      <c r="AZ68" s="76">
        <f t="shared" ca="1" si="253"/>
        <v>-10000</v>
      </c>
      <c r="BA68" s="76">
        <f t="shared" ca="1" si="253"/>
        <v>-10000</v>
      </c>
      <c r="BB68" s="76">
        <f t="shared" ca="1" si="253"/>
        <v>-10000</v>
      </c>
      <c r="BC68" s="76">
        <f t="shared" ca="1" si="253"/>
        <v>-10000</v>
      </c>
      <c r="BD68" s="76">
        <f t="shared" ca="1" si="253"/>
        <v>-10000</v>
      </c>
      <c r="BE68" s="76">
        <f t="shared" ca="1" si="253"/>
        <v>-10000</v>
      </c>
      <c r="BF68" s="76">
        <f t="shared" ca="1" si="253"/>
        <v>-10000</v>
      </c>
      <c r="BG68" s="76">
        <f t="shared" ca="1" si="253"/>
        <v>-10000</v>
      </c>
      <c r="BH68" s="76">
        <f t="shared" ca="1" si="253"/>
        <v>-10000</v>
      </c>
      <c r="BI68" s="76">
        <f t="shared" ca="1" si="253"/>
        <v>-10000</v>
      </c>
      <c r="BJ68" s="76">
        <f t="shared" ca="1" si="253"/>
        <v>-10000</v>
      </c>
      <c r="BK68" s="76">
        <f t="shared" ca="1" si="253"/>
        <v>-10000</v>
      </c>
    </row>
    <row r="69" spans="1:63" x14ac:dyDescent="0.2">
      <c r="A69" s="147"/>
      <c r="B69" s="77" t="str">
        <f>Lists!$A$29</f>
        <v>Per Unit Sold</v>
      </c>
      <c r="C69" s="9"/>
      <c r="D69" s="76">
        <f t="shared" ref="D69:AI69" ca="1" si="254">SUMIFS(INDIRECT("BusinessModelAssumptions[Cost]"),INDIRECT("BusinessModelAssumptions[Stage]"),PostRelease,INDIRECT("BusinessModelAssumptions[Category]"),$B67,INDIRECT("BusinessModelAssumptions[Post-Cost Type]"),$B69)*TotalUnitsSold</f>
        <v>0</v>
      </c>
      <c r="E69" s="76">
        <f t="shared" ca="1" si="254"/>
        <v>0</v>
      </c>
      <c r="F69" s="76">
        <f t="shared" ca="1" si="254"/>
        <v>0</v>
      </c>
      <c r="G69" s="76">
        <f t="shared" ca="1" si="254"/>
        <v>0</v>
      </c>
      <c r="H69" s="76">
        <f t="shared" ca="1" si="254"/>
        <v>0</v>
      </c>
      <c r="I69" s="76">
        <f t="shared" ca="1" si="254"/>
        <v>0</v>
      </c>
      <c r="J69" s="76">
        <f t="shared" ca="1" si="254"/>
        <v>0</v>
      </c>
      <c r="K69" s="76">
        <f t="shared" ca="1" si="254"/>
        <v>0</v>
      </c>
      <c r="L69" s="76">
        <f t="shared" ca="1" si="254"/>
        <v>0</v>
      </c>
      <c r="M69" s="76">
        <f t="shared" ca="1" si="254"/>
        <v>0</v>
      </c>
      <c r="N69" s="76">
        <f t="shared" ca="1" si="254"/>
        <v>0</v>
      </c>
      <c r="O69" s="76">
        <f t="shared" ca="1" si="254"/>
        <v>0</v>
      </c>
      <c r="P69" s="76">
        <f t="shared" ca="1" si="254"/>
        <v>0</v>
      </c>
      <c r="Q69" s="76">
        <f t="shared" ca="1" si="254"/>
        <v>0</v>
      </c>
      <c r="R69" s="76">
        <f t="shared" ca="1" si="254"/>
        <v>0</v>
      </c>
      <c r="S69" s="76">
        <f t="shared" ca="1" si="254"/>
        <v>0</v>
      </c>
      <c r="T69" s="76">
        <f t="shared" ca="1" si="254"/>
        <v>0</v>
      </c>
      <c r="U69" s="76">
        <f t="shared" ca="1" si="254"/>
        <v>0</v>
      </c>
      <c r="V69" s="76">
        <f t="shared" ca="1" si="254"/>
        <v>0</v>
      </c>
      <c r="W69" s="76">
        <f t="shared" ca="1" si="254"/>
        <v>0</v>
      </c>
      <c r="X69" s="76">
        <f t="shared" ca="1" si="254"/>
        <v>0</v>
      </c>
      <c r="Y69" s="76">
        <f t="shared" ca="1" si="254"/>
        <v>0</v>
      </c>
      <c r="Z69" s="76">
        <f t="shared" ca="1" si="254"/>
        <v>0</v>
      </c>
      <c r="AA69" s="76">
        <f t="shared" ca="1" si="254"/>
        <v>0</v>
      </c>
      <c r="AB69" s="76">
        <f t="shared" ca="1" si="254"/>
        <v>0</v>
      </c>
      <c r="AC69" s="76">
        <f t="shared" ca="1" si="254"/>
        <v>0</v>
      </c>
      <c r="AD69" s="76">
        <f t="shared" ca="1" si="254"/>
        <v>0</v>
      </c>
      <c r="AE69" s="76">
        <f t="shared" ca="1" si="254"/>
        <v>0</v>
      </c>
      <c r="AF69" s="76">
        <f t="shared" ca="1" si="254"/>
        <v>0</v>
      </c>
      <c r="AG69" s="76">
        <f t="shared" ca="1" si="254"/>
        <v>0</v>
      </c>
      <c r="AH69" s="76">
        <f t="shared" ca="1" si="254"/>
        <v>0</v>
      </c>
      <c r="AI69" s="76">
        <f t="shared" ca="1" si="254"/>
        <v>0</v>
      </c>
      <c r="AJ69" s="76">
        <f t="shared" ref="AJ69:BK69" ca="1" si="255">SUMIFS(INDIRECT("BusinessModelAssumptions[Cost]"),INDIRECT("BusinessModelAssumptions[Stage]"),PostRelease,INDIRECT("BusinessModelAssumptions[Category]"),$B67,INDIRECT("BusinessModelAssumptions[Post-Cost Type]"),$B69)*TotalUnitsSold</f>
        <v>0</v>
      </c>
      <c r="AK69" s="76">
        <f t="shared" ca="1" si="255"/>
        <v>0</v>
      </c>
      <c r="AL69" s="76">
        <f t="shared" ca="1" si="255"/>
        <v>0</v>
      </c>
      <c r="AM69" s="76">
        <f t="shared" ca="1" si="255"/>
        <v>0</v>
      </c>
      <c r="AN69" s="76">
        <f t="shared" ca="1" si="255"/>
        <v>0</v>
      </c>
      <c r="AO69" s="76">
        <f t="shared" ca="1" si="255"/>
        <v>0</v>
      </c>
      <c r="AP69" s="76">
        <f t="shared" ca="1" si="255"/>
        <v>0</v>
      </c>
      <c r="AQ69" s="76">
        <f t="shared" ca="1" si="255"/>
        <v>0</v>
      </c>
      <c r="AR69" s="76">
        <f t="shared" ca="1" si="255"/>
        <v>0</v>
      </c>
      <c r="AS69" s="76">
        <f t="shared" ca="1" si="255"/>
        <v>0</v>
      </c>
      <c r="AT69" s="76">
        <f t="shared" ca="1" si="255"/>
        <v>0</v>
      </c>
      <c r="AU69" s="76">
        <f t="shared" ca="1" si="255"/>
        <v>0</v>
      </c>
      <c r="AV69" s="76">
        <f t="shared" ca="1" si="255"/>
        <v>0</v>
      </c>
      <c r="AW69" s="76">
        <f t="shared" ca="1" si="255"/>
        <v>0</v>
      </c>
      <c r="AX69" s="76">
        <f t="shared" ca="1" si="255"/>
        <v>0</v>
      </c>
      <c r="AY69" s="76">
        <f t="shared" ca="1" si="255"/>
        <v>0</v>
      </c>
      <c r="AZ69" s="76">
        <f t="shared" ca="1" si="255"/>
        <v>0</v>
      </c>
      <c r="BA69" s="76">
        <f t="shared" ca="1" si="255"/>
        <v>0</v>
      </c>
      <c r="BB69" s="76">
        <f t="shared" ca="1" si="255"/>
        <v>0</v>
      </c>
      <c r="BC69" s="76">
        <f t="shared" ca="1" si="255"/>
        <v>0</v>
      </c>
      <c r="BD69" s="76">
        <f t="shared" ca="1" si="255"/>
        <v>0</v>
      </c>
      <c r="BE69" s="76">
        <f t="shared" ca="1" si="255"/>
        <v>0</v>
      </c>
      <c r="BF69" s="76">
        <f t="shared" ca="1" si="255"/>
        <v>0</v>
      </c>
      <c r="BG69" s="76">
        <f t="shared" ca="1" si="255"/>
        <v>0</v>
      </c>
      <c r="BH69" s="76">
        <f t="shared" ca="1" si="255"/>
        <v>0</v>
      </c>
      <c r="BI69" s="76">
        <f t="shared" ca="1" si="255"/>
        <v>0</v>
      </c>
      <c r="BJ69" s="76">
        <f t="shared" ca="1" si="255"/>
        <v>0</v>
      </c>
      <c r="BK69" s="76">
        <f t="shared" ca="1" si="255"/>
        <v>0</v>
      </c>
    </row>
    <row r="70" spans="1:63" x14ac:dyDescent="0.2">
      <c r="A70" s="147"/>
      <c r="B70" s="77" t="str">
        <f>Lists!$A$30</f>
        <v>% of Revenue</v>
      </c>
      <c r="C70" s="9"/>
      <c r="D70" s="76">
        <f t="shared" ref="D70:AI70" ca="1" si="256">SUMIFS(INDIRECT("BusinessModelAssumptions[Cost]"),INDIRECT("BusinessModelAssumptions[Stage]"),PostRelease,INDIRECT("BusinessModelAssumptions[Category]"),$B67,INDIRECT("BusinessModelAssumptions[Post-Cost Type]"),$B70)*TotalRevenue *-1</f>
        <v>0</v>
      </c>
      <c r="E70" s="76">
        <f t="shared" ca="1" si="256"/>
        <v>0</v>
      </c>
      <c r="F70" s="76">
        <f t="shared" ca="1" si="256"/>
        <v>0</v>
      </c>
      <c r="G70" s="76">
        <f t="shared" ca="1" si="256"/>
        <v>0</v>
      </c>
      <c r="H70" s="76">
        <f t="shared" ca="1" si="256"/>
        <v>0</v>
      </c>
      <c r="I70" s="76">
        <f t="shared" ca="1" si="256"/>
        <v>0</v>
      </c>
      <c r="J70" s="76">
        <f t="shared" ca="1" si="256"/>
        <v>0</v>
      </c>
      <c r="K70" s="76">
        <f t="shared" ca="1" si="256"/>
        <v>0</v>
      </c>
      <c r="L70" s="76">
        <f t="shared" ca="1" si="256"/>
        <v>0</v>
      </c>
      <c r="M70" s="76">
        <f t="shared" ca="1" si="256"/>
        <v>0</v>
      </c>
      <c r="N70" s="76">
        <f t="shared" ca="1" si="256"/>
        <v>0</v>
      </c>
      <c r="O70" s="76">
        <f t="shared" ca="1" si="256"/>
        <v>0</v>
      </c>
      <c r="P70" s="76">
        <f t="shared" ca="1" si="256"/>
        <v>0</v>
      </c>
      <c r="Q70" s="76">
        <f t="shared" ca="1" si="256"/>
        <v>0</v>
      </c>
      <c r="R70" s="76">
        <f t="shared" ca="1" si="256"/>
        <v>0</v>
      </c>
      <c r="S70" s="76">
        <f t="shared" ca="1" si="256"/>
        <v>0</v>
      </c>
      <c r="T70" s="76">
        <f t="shared" ca="1" si="256"/>
        <v>0</v>
      </c>
      <c r="U70" s="76">
        <f t="shared" ca="1" si="256"/>
        <v>0</v>
      </c>
      <c r="V70" s="76">
        <f t="shared" ca="1" si="256"/>
        <v>0</v>
      </c>
      <c r="W70" s="76">
        <f t="shared" ca="1" si="256"/>
        <v>0</v>
      </c>
      <c r="X70" s="76">
        <f t="shared" ca="1" si="256"/>
        <v>0</v>
      </c>
      <c r="Y70" s="76">
        <f t="shared" ca="1" si="256"/>
        <v>0</v>
      </c>
      <c r="Z70" s="76">
        <f t="shared" ca="1" si="256"/>
        <v>0</v>
      </c>
      <c r="AA70" s="76">
        <f t="shared" ca="1" si="256"/>
        <v>0</v>
      </c>
      <c r="AB70" s="76">
        <f t="shared" ca="1" si="256"/>
        <v>0</v>
      </c>
      <c r="AC70" s="76">
        <f t="shared" ca="1" si="256"/>
        <v>0</v>
      </c>
      <c r="AD70" s="76">
        <f t="shared" ca="1" si="256"/>
        <v>0</v>
      </c>
      <c r="AE70" s="76">
        <f t="shared" ca="1" si="256"/>
        <v>0</v>
      </c>
      <c r="AF70" s="76">
        <f t="shared" ca="1" si="256"/>
        <v>0</v>
      </c>
      <c r="AG70" s="76">
        <f t="shared" ca="1" si="256"/>
        <v>0</v>
      </c>
      <c r="AH70" s="76">
        <f t="shared" ca="1" si="256"/>
        <v>0</v>
      </c>
      <c r="AI70" s="76">
        <f t="shared" ca="1" si="256"/>
        <v>0</v>
      </c>
      <c r="AJ70" s="76">
        <f t="shared" ref="AJ70:BK70" ca="1" si="257">SUMIFS(INDIRECT("BusinessModelAssumptions[Cost]"),INDIRECT("BusinessModelAssumptions[Stage]"),PostRelease,INDIRECT("BusinessModelAssumptions[Category]"),$B67,INDIRECT("BusinessModelAssumptions[Post-Cost Type]"),$B70)*TotalRevenue *-1</f>
        <v>0</v>
      </c>
      <c r="AK70" s="76">
        <f t="shared" ca="1" si="257"/>
        <v>0</v>
      </c>
      <c r="AL70" s="76">
        <f t="shared" ca="1" si="257"/>
        <v>0</v>
      </c>
      <c r="AM70" s="76">
        <f t="shared" ca="1" si="257"/>
        <v>0</v>
      </c>
      <c r="AN70" s="76">
        <f t="shared" ca="1" si="257"/>
        <v>0</v>
      </c>
      <c r="AO70" s="76">
        <f t="shared" ca="1" si="257"/>
        <v>0</v>
      </c>
      <c r="AP70" s="76">
        <f t="shared" ca="1" si="257"/>
        <v>0</v>
      </c>
      <c r="AQ70" s="76">
        <f t="shared" ca="1" si="257"/>
        <v>0</v>
      </c>
      <c r="AR70" s="76">
        <f t="shared" ca="1" si="257"/>
        <v>0</v>
      </c>
      <c r="AS70" s="76">
        <f t="shared" ca="1" si="257"/>
        <v>0</v>
      </c>
      <c r="AT70" s="76">
        <f t="shared" ca="1" si="257"/>
        <v>0</v>
      </c>
      <c r="AU70" s="76">
        <f t="shared" ca="1" si="257"/>
        <v>0</v>
      </c>
      <c r="AV70" s="76">
        <f t="shared" ca="1" si="257"/>
        <v>0</v>
      </c>
      <c r="AW70" s="76">
        <f t="shared" ca="1" si="257"/>
        <v>0</v>
      </c>
      <c r="AX70" s="76">
        <f t="shared" ca="1" si="257"/>
        <v>0</v>
      </c>
      <c r="AY70" s="76">
        <f t="shared" ca="1" si="257"/>
        <v>0</v>
      </c>
      <c r="AZ70" s="76">
        <f t="shared" ca="1" si="257"/>
        <v>0</v>
      </c>
      <c r="BA70" s="76">
        <f t="shared" ca="1" si="257"/>
        <v>0</v>
      </c>
      <c r="BB70" s="76">
        <f t="shared" ca="1" si="257"/>
        <v>0</v>
      </c>
      <c r="BC70" s="76">
        <f t="shared" ca="1" si="257"/>
        <v>0</v>
      </c>
      <c r="BD70" s="76">
        <f t="shared" ca="1" si="257"/>
        <v>0</v>
      </c>
      <c r="BE70" s="76">
        <f t="shared" ca="1" si="257"/>
        <v>0</v>
      </c>
      <c r="BF70" s="76">
        <f t="shared" ca="1" si="257"/>
        <v>0</v>
      </c>
      <c r="BG70" s="76">
        <f t="shared" ca="1" si="257"/>
        <v>0</v>
      </c>
      <c r="BH70" s="76">
        <f t="shared" ca="1" si="257"/>
        <v>0</v>
      </c>
      <c r="BI70" s="76">
        <f t="shared" ca="1" si="257"/>
        <v>0</v>
      </c>
      <c r="BJ70" s="76">
        <f t="shared" ca="1" si="257"/>
        <v>0</v>
      </c>
      <c r="BK70" s="76">
        <f t="shared" ca="1" si="257"/>
        <v>0</v>
      </c>
    </row>
    <row r="71" spans="1:63" x14ac:dyDescent="0.2">
      <c r="A71" s="147"/>
      <c r="B71" s="77" t="s">
        <v>111</v>
      </c>
      <c r="C71" s="9"/>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c r="BK71" s="76"/>
    </row>
    <row r="72" spans="1:63" x14ac:dyDescent="0.2">
      <c r="A72" s="147"/>
      <c r="B72" s="75" t="str">
        <f>Lists!A11</f>
        <v>Hardware</v>
      </c>
      <c r="C72" s="9"/>
      <c r="D72" s="76">
        <f ca="1">SUM(D73:D76)</f>
        <v>-395.3005815921174</v>
      </c>
      <c r="E72" s="76">
        <f t="shared" ref="E72:AM72" ca="1" si="258">SUM(E73:E76)</f>
        <v>-520.1022154185531</v>
      </c>
      <c r="F72" s="76">
        <f t="shared" ca="1" si="258"/>
        <v>-661.28509022823334</v>
      </c>
      <c r="G72" s="76">
        <f t="shared" ca="1" si="258"/>
        <v>-821.49455546757827</v>
      </c>
      <c r="H72" s="76">
        <f t="shared" ca="1" si="258"/>
        <v>-1003.5971401136944</v>
      </c>
      <c r="I72" s="76">
        <f t="shared" ca="1" si="258"/>
        <v>-1210.6870195892454</v>
      </c>
      <c r="J72" s="76">
        <f t="shared" ca="1" si="258"/>
        <v>-1446.0888893851602</v>
      </c>
      <c r="K72" s="76">
        <f t="shared" ca="1" si="258"/>
        <v>-1713.3566316260653</v>
      </c>
      <c r="L72" s="76">
        <f t="shared" ca="1" si="258"/>
        <v>-2016.2671503065935</v>
      </c>
      <c r="M72" s="76">
        <f t="shared" ca="1" si="258"/>
        <v>-2358.8087571926458</v>
      </c>
      <c r="N72" s="76">
        <f t="shared" ca="1" si="258"/>
        <v>-2745.1635159508228</v>
      </c>
      <c r="O72" s="76">
        <f t="shared" ca="1" si="258"/>
        <v>-3179.6829992263838</v>
      </c>
      <c r="P72" s="76">
        <f t="shared" ca="1" si="258"/>
        <v>-3768.505705008356</v>
      </c>
      <c r="Q72" s="76">
        <f t="shared" ca="1" si="258"/>
        <v>-4331.9461546800676</v>
      </c>
      <c r="R72" s="76">
        <f t="shared" ca="1" si="258"/>
        <v>-4960.3460442390005</v>
      </c>
      <c r="S72" s="76">
        <f t="shared" ca="1" si="258"/>
        <v>-5658.7453451888396</v>
      </c>
      <c r="T72" s="76">
        <f t="shared" ca="1" si="258"/>
        <v>-6432.1544900235594</v>
      </c>
      <c r="U72" s="76">
        <f t="shared" ca="1" si="258"/>
        <v>-7285.484515085388</v>
      </c>
      <c r="V72" s="76">
        <f t="shared" ca="1" si="258"/>
        <v>-8223.469495673975</v>
      </c>
      <c r="W72" s="76">
        <f t="shared" ca="1" si="258"/>
        <v>-9250.5818731027812</v>
      </c>
      <c r="X72" s="76">
        <f t="shared" ca="1" si="258"/>
        <v>-10370.941515704049</v>
      </c>
      <c r="Y72" s="76">
        <f t="shared" ca="1" si="258"/>
        <v>-11588.219605434495</v>
      </c>
      <c r="Z72" s="76">
        <f t="shared" ca="1" si="258"/>
        <v>-12905.538691967</v>
      </c>
      <c r="AA72" s="76">
        <f t="shared" ca="1" si="258"/>
        <v>-14325.370499378865</v>
      </c>
      <c r="AB72" s="76">
        <f t="shared" ca="1" si="258"/>
        <v>-15940.917147435039</v>
      </c>
      <c r="AC72" s="76">
        <f t="shared" ca="1" si="258"/>
        <v>-17587.195166146845</v>
      </c>
      <c r="AD72" s="76">
        <f t="shared" ca="1" si="258"/>
        <v>-19341.2460591177</v>
      </c>
      <c r="AE72" s="76">
        <f t="shared" ca="1" si="258"/>
        <v>-21202.297942311659</v>
      </c>
      <c r="AF72" s="76">
        <f t="shared" ca="1" si="258"/>
        <v>-23168.483626887297</v>
      </c>
      <c r="AG72" s="76">
        <f t="shared" ca="1" si="258"/>
        <v>-25236.768529720128</v>
      </c>
      <c r="AH72" s="76">
        <f t="shared" ca="1" si="258"/>
        <v>-27402.891282316272</v>
      </c>
      <c r="AI72" s="76">
        <f t="shared" ca="1" si="258"/>
        <v>-29661.319237986427</v>
      </c>
      <c r="AJ72" s="76">
        <f t="shared" ca="1" si="258"/>
        <v>-32005.220907864987</v>
      </c>
      <c r="AK72" s="76">
        <f t="shared" ca="1" si="258"/>
        <v>-34426.457120637766</v>
      </c>
      <c r="AL72" s="76">
        <f t="shared" ca="1" si="258"/>
        <v>-36915.592400858433</v>
      </c>
      <c r="AM72" s="76">
        <f t="shared" ca="1" si="258"/>
        <v>-39461.927700924542</v>
      </c>
      <c r="AN72" s="76">
        <f t="shared" ref="AN72" ca="1" si="259">SUM(AN73:AN76)</f>
        <v>-40602.060017172844</v>
      </c>
      <c r="AO72" s="76">
        <f t="shared" ref="AO72" ca="1" si="260">SUM(AO73:AO76)</f>
        <v>-41723.825113248335</v>
      </c>
      <c r="AP72" s="76">
        <f t="shared" ref="AP72" ca="1" si="261">SUM(AP73:AP76)</f>
        <v>-42818.488220373205</v>
      </c>
      <c r="AQ72" s="76">
        <f t="shared" ref="AQ72" ca="1" si="262">SUM(AQ73:AQ76)</f>
        <v>-43877.173780747544</v>
      </c>
      <c r="AR72" s="76">
        <f t="shared" ref="AR72" ca="1" si="263">SUM(AR73:AR76)</f>
        <v>-44890.982129638156</v>
      </c>
      <c r="AS72" s="76">
        <f t="shared" ref="AS72" ca="1" si="264">SUM(AS73:AS76)</f>
        <v>-45851.111834011244</v>
      </c>
      <c r="AT72" s="76">
        <f t="shared" ref="AT72" ca="1" si="265">SUM(AT73:AT76)</f>
        <v>-46748.985390447982</v>
      </c>
      <c r="AU72" s="76">
        <f t="shared" ref="AU72" ca="1" si="266">SUM(AU73:AU76)</f>
        <v>-47576.375808868856</v>
      </c>
      <c r="AV72" s="76">
        <f t="shared" ref="AV72" ca="1" si="267">SUM(AV73:AV76)</f>
        <v>-48325.531493669725</v>
      </c>
      <c r="AW72" s="76">
        <f t="shared" ref="AW72" ca="1" si="268">SUM(AW73:AW76)</f>
        <v>-48989.29678622439</v>
      </c>
      <c r="AX72" s="76">
        <f t="shared" ref="AX72" ca="1" si="269">SUM(AX73:AX76)</f>
        <v>-49561.22555599732</v>
      </c>
      <c r="AY72" s="76">
        <f t="shared" ref="AY72" ca="1" si="270">SUM(AY73:AY76)</f>
        <v>-50035.685323332218</v>
      </c>
      <c r="AZ72" s="76">
        <f t="shared" ref="AZ72" ca="1" si="271">SUM(AZ73:AZ76)</f>
        <v>-50407.949564200382</v>
      </c>
      <c r="BA72" s="76">
        <f t="shared" ref="BA72" ca="1" si="272">SUM(BA73:BA76)</f>
        <v>-50674.276082529257</v>
      </c>
      <c r="BB72" s="76">
        <f t="shared" ref="BB72" ca="1" si="273">SUM(BB73:BB76)</f>
        <v>-50831.969633166314</v>
      </c>
      <c r="BC72" s="76">
        <f t="shared" ref="BC72" ca="1" si="274">SUM(BC73:BC76)</f>
        <v>-50879.427330090475</v>
      </c>
      <c r="BD72" s="76">
        <f t="shared" ref="BD72" ca="1" si="275">SUM(BD73:BD76)</f>
        <v>-50816.165770080785</v>
      </c>
      <c r="BE72" s="76">
        <f t="shared" ref="BE72" ca="1" si="276">SUM(BE73:BE76)</f>
        <v>-50642.829229986353</v>
      </c>
      <c r="BF72" s="76">
        <f t="shared" ref="BF72" ca="1" si="277">SUM(BF73:BF76)</f>
        <v>-50361.178743220415</v>
      </c>
      <c r="BG72" s="76">
        <f t="shared" ref="BG72" ca="1" si="278">SUM(BG73:BG76)</f>
        <v>-49974.062314461509</v>
      </c>
      <c r="BH72" s="76">
        <f t="shared" ref="BH72" ca="1" si="279">SUM(BH73:BH76)</f>
        <v>-49485.366977061225</v>
      </c>
      <c r="BI72" s="76">
        <f t="shared" ref="BI72" ca="1" si="280">SUM(BI73:BI76)</f>
        <v>-48899.95382172423</v>
      </c>
      <c r="BJ72" s="76">
        <f t="shared" ref="BJ72" ca="1" si="281">SUM(BJ73:BJ76)</f>
        <v>-48223.577515031924</v>
      </c>
      <c r="BK72" s="76">
        <f t="shared" ref="BK72" ca="1" si="282">SUM(BK73:BK76)</f>
        <v>-47462.792170749286</v>
      </c>
    </row>
    <row r="73" spans="1:63" x14ac:dyDescent="0.2">
      <c r="A73" s="147"/>
      <c r="B73" s="77" t="str">
        <f>Lists!$A$28</f>
        <v>Fixed (Monthly)</v>
      </c>
      <c r="C73" s="9"/>
      <c r="D73" s="76">
        <f t="shared" ref="D73:AI73" ca="1" si="283">SUMIFS(INDIRECT("BusinessModelAssumptions[Cost]"),INDIRECT("BusinessModelAssumptions[Stage]"),PostRelease,INDIRECT("BusinessModelAssumptions[Category]"),$B72,INDIRECT("BusinessModelAssumptions[Post-Cost Type]"),$B73)</f>
        <v>0</v>
      </c>
      <c r="E73" s="76">
        <f t="shared" ca="1" si="283"/>
        <v>0</v>
      </c>
      <c r="F73" s="76">
        <f t="shared" ca="1" si="283"/>
        <v>0</v>
      </c>
      <c r="G73" s="76">
        <f t="shared" ca="1" si="283"/>
        <v>0</v>
      </c>
      <c r="H73" s="76">
        <f t="shared" ca="1" si="283"/>
        <v>0</v>
      </c>
      <c r="I73" s="76">
        <f t="shared" ca="1" si="283"/>
        <v>0</v>
      </c>
      <c r="J73" s="76">
        <f t="shared" ca="1" si="283"/>
        <v>0</v>
      </c>
      <c r="K73" s="76">
        <f t="shared" ca="1" si="283"/>
        <v>0</v>
      </c>
      <c r="L73" s="76">
        <f t="shared" ca="1" si="283"/>
        <v>0</v>
      </c>
      <c r="M73" s="76">
        <f t="shared" ca="1" si="283"/>
        <v>0</v>
      </c>
      <c r="N73" s="76">
        <f t="shared" ca="1" si="283"/>
        <v>0</v>
      </c>
      <c r="O73" s="76">
        <f t="shared" ca="1" si="283"/>
        <v>0</v>
      </c>
      <c r="P73" s="76">
        <f t="shared" ca="1" si="283"/>
        <v>0</v>
      </c>
      <c r="Q73" s="76">
        <f t="shared" ca="1" si="283"/>
        <v>0</v>
      </c>
      <c r="R73" s="76">
        <f t="shared" ca="1" si="283"/>
        <v>0</v>
      </c>
      <c r="S73" s="76">
        <f t="shared" ca="1" si="283"/>
        <v>0</v>
      </c>
      <c r="T73" s="76">
        <f t="shared" ca="1" si="283"/>
        <v>0</v>
      </c>
      <c r="U73" s="76">
        <f t="shared" ca="1" si="283"/>
        <v>0</v>
      </c>
      <c r="V73" s="76">
        <f t="shared" ca="1" si="283"/>
        <v>0</v>
      </c>
      <c r="W73" s="76">
        <f t="shared" ca="1" si="283"/>
        <v>0</v>
      </c>
      <c r="X73" s="76">
        <f t="shared" ca="1" si="283"/>
        <v>0</v>
      </c>
      <c r="Y73" s="76">
        <f t="shared" ca="1" si="283"/>
        <v>0</v>
      </c>
      <c r="Z73" s="76">
        <f t="shared" ca="1" si="283"/>
        <v>0</v>
      </c>
      <c r="AA73" s="76">
        <f t="shared" ca="1" si="283"/>
        <v>0</v>
      </c>
      <c r="AB73" s="76">
        <f t="shared" ca="1" si="283"/>
        <v>0</v>
      </c>
      <c r="AC73" s="76">
        <f t="shared" ca="1" si="283"/>
        <v>0</v>
      </c>
      <c r="AD73" s="76">
        <f t="shared" ca="1" si="283"/>
        <v>0</v>
      </c>
      <c r="AE73" s="76">
        <f t="shared" ca="1" si="283"/>
        <v>0</v>
      </c>
      <c r="AF73" s="76">
        <f t="shared" ca="1" si="283"/>
        <v>0</v>
      </c>
      <c r="AG73" s="76">
        <f t="shared" ca="1" si="283"/>
        <v>0</v>
      </c>
      <c r="AH73" s="76">
        <f t="shared" ca="1" si="283"/>
        <v>0</v>
      </c>
      <c r="AI73" s="76">
        <f t="shared" ca="1" si="283"/>
        <v>0</v>
      </c>
      <c r="AJ73" s="76">
        <f t="shared" ref="AJ73:BK73" ca="1" si="284">SUMIFS(INDIRECT("BusinessModelAssumptions[Cost]"),INDIRECT("BusinessModelAssumptions[Stage]"),PostRelease,INDIRECT("BusinessModelAssumptions[Category]"),$B72,INDIRECT("BusinessModelAssumptions[Post-Cost Type]"),$B73)</f>
        <v>0</v>
      </c>
      <c r="AK73" s="76">
        <f t="shared" ca="1" si="284"/>
        <v>0</v>
      </c>
      <c r="AL73" s="76">
        <f t="shared" ca="1" si="284"/>
        <v>0</v>
      </c>
      <c r="AM73" s="76">
        <f t="shared" ca="1" si="284"/>
        <v>0</v>
      </c>
      <c r="AN73" s="76">
        <f t="shared" ca="1" si="284"/>
        <v>0</v>
      </c>
      <c r="AO73" s="76">
        <f t="shared" ca="1" si="284"/>
        <v>0</v>
      </c>
      <c r="AP73" s="76">
        <f t="shared" ca="1" si="284"/>
        <v>0</v>
      </c>
      <c r="AQ73" s="76">
        <f t="shared" ca="1" si="284"/>
        <v>0</v>
      </c>
      <c r="AR73" s="76">
        <f t="shared" ca="1" si="284"/>
        <v>0</v>
      </c>
      <c r="AS73" s="76">
        <f t="shared" ca="1" si="284"/>
        <v>0</v>
      </c>
      <c r="AT73" s="76">
        <f t="shared" ca="1" si="284"/>
        <v>0</v>
      </c>
      <c r="AU73" s="76">
        <f t="shared" ca="1" si="284"/>
        <v>0</v>
      </c>
      <c r="AV73" s="76">
        <f t="shared" ca="1" si="284"/>
        <v>0</v>
      </c>
      <c r="AW73" s="76">
        <f t="shared" ca="1" si="284"/>
        <v>0</v>
      </c>
      <c r="AX73" s="76">
        <f t="shared" ca="1" si="284"/>
        <v>0</v>
      </c>
      <c r="AY73" s="76">
        <f t="shared" ca="1" si="284"/>
        <v>0</v>
      </c>
      <c r="AZ73" s="76">
        <f t="shared" ca="1" si="284"/>
        <v>0</v>
      </c>
      <c r="BA73" s="76">
        <f t="shared" ca="1" si="284"/>
        <v>0</v>
      </c>
      <c r="BB73" s="76">
        <f t="shared" ca="1" si="284"/>
        <v>0</v>
      </c>
      <c r="BC73" s="76">
        <f t="shared" ca="1" si="284"/>
        <v>0</v>
      </c>
      <c r="BD73" s="76">
        <f t="shared" ca="1" si="284"/>
        <v>0</v>
      </c>
      <c r="BE73" s="76">
        <f t="shared" ca="1" si="284"/>
        <v>0</v>
      </c>
      <c r="BF73" s="76">
        <f t="shared" ca="1" si="284"/>
        <v>0</v>
      </c>
      <c r="BG73" s="76">
        <f t="shared" ca="1" si="284"/>
        <v>0</v>
      </c>
      <c r="BH73" s="76">
        <f t="shared" ca="1" si="284"/>
        <v>0</v>
      </c>
      <c r="BI73" s="76">
        <f t="shared" ca="1" si="284"/>
        <v>0</v>
      </c>
      <c r="BJ73" s="76">
        <f t="shared" ca="1" si="284"/>
        <v>0</v>
      </c>
      <c r="BK73" s="76">
        <f t="shared" ca="1" si="284"/>
        <v>0</v>
      </c>
    </row>
    <row r="74" spans="1:63" x14ac:dyDescent="0.2">
      <c r="A74" s="147"/>
      <c r="B74" s="77" t="str">
        <f>Lists!$A$29</f>
        <v>Per Unit Sold</v>
      </c>
      <c r="C74" s="9"/>
      <c r="D74" s="76">
        <f t="shared" ref="D74:AI74" ca="1" si="285">SUMIFS(INDIRECT("BusinessModelAssumptions[Cost]"),INDIRECT("BusinessModelAssumptions[Stage]"),PostRelease,INDIRECT("BusinessModelAssumptions[Category]"),$B72,INDIRECT("BusinessModelAssumptions[Post-Cost Type]"),$B74)*TotalUnitsSold</f>
        <v>-395.3005815921174</v>
      </c>
      <c r="E74" s="76">
        <f t="shared" ca="1" si="285"/>
        <v>-520.1022154185531</v>
      </c>
      <c r="F74" s="76">
        <f t="shared" ca="1" si="285"/>
        <v>-661.28509022823334</v>
      </c>
      <c r="G74" s="76">
        <f t="shared" ca="1" si="285"/>
        <v>-821.49455546757827</v>
      </c>
      <c r="H74" s="76">
        <f t="shared" ca="1" si="285"/>
        <v>-1003.5971401136944</v>
      </c>
      <c r="I74" s="76">
        <f t="shared" ca="1" si="285"/>
        <v>-1210.6870195892454</v>
      </c>
      <c r="J74" s="76">
        <f t="shared" ca="1" si="285"/>
        <v>-1446.0888893851602</v>
      </c>
      <c r="K74" s="76">
        <f t="shared" ca="1" si="285"/>
        <v>-1713.3566316260653</v>
      </c>
      <c r="L74" s="76">
        <f t="shared" ca="1" si="285"/>
        <v>-2016.2671503065935</v>
      </c>
      <c r="M74" s="76">
        <f t="shared" ca="1" si="285"/>
        <v>-2358.8087571926458</v>
      </c>
      <c r="N74" s="76">
        <f t="shared" ca="1" si="285"/>
        <v>-2745.1635159508228</v>
      </c>
      <c r="O74" s="76">
        <f t="shared" ca="1" si="285"/>
        <v>-3179.6829992263838</v>
      </c>
      <c r="P74" s="76">
        <f t="shared" ca="1" si="285"/>
        <v>-3768.505705008356</v>
      </c>
      <c r="Q74" s="76">
        <f t="shared" ca="1" si="285"/>
        <v>-4331.9461546800676</v>
      </c>
      <c r="R74" s="76">
        <f t="shared" ca="1" si="285"/>
        <v>-4960.3460442390005</v>
      </c>
      <c r="S74" s="76">
        <f t="shared" ca="1" si="285"/>
        <v>-5658.7453451888396</v>
      </c>
      <c r="T74" s="76">
        <f t="shared" ca="1" si="285"/>
        <v>-6432.1544900235594</v>
      </c>
      <c r="U74" s="76">
        <f t="shared" ca="1" si="285"/>
        <v>-7285.484515085388</v>
      </c>
      <c r="V74" s="76">
        <f t="shared" ca="1" si="285"/>
        <v>-8223.469495673975</v>
      </c>
      <c r="W74" s="76">
        <f t="shared" ca="1" si="285"/>
        <v>-9250.5818731027812</v>
      </c>
      <c r="X74" s="76">
        <f t="shared" ca="1" si="285"/>
        <v>-10370.941515704049</v>
      </c>
      <c r="Y74" s="76">
        <f t="shared" ca="1" si="285"/>
        <v>-11588.219605434495</v>
      </c>
      <c r="Z74" s="76">
        <f t="shared" ca="1" si="285"/>
        <v>-12905.538691967</v>
      </c>
      <c r="AA74" s="76">
        <f t="shared" ca="1" si="285"/>
        <v>-14325.370499378865</v>
      </c>
      <c r="AB74" s="76">
        <f t="shared" ca="1" si="285"/>
        <v>-15940.917147435039</v>
      </c>
      <c r="AC74" s="76">
        <f t="shared" ca="1" si="285"/>
        <v>-17587.195166146845</v>
      </c>
      <c r="AD74" s="76">
        <f t="shared" ca="1" si="285"/>
        <v>-19341.2460591177</v>
      </c>
      <c r="AE74" s="76">
        <f t="shared" ca="1" si="285"/>
        <v>-21202.297942311659</v>
      </c>
      <c r="AF74" s="76">
        <f t="shared" ca="1" si="285"/>
        <v>-23168.483626887297</v>
      </c>
      <c r="AG74" s="76">
        <f t="shared" ca="1" si="285"/>
        <v>-25236.768529720128</v>
      </c>
      <c r="AH74" s="76">
        <f t="shared" ca="1" si="285"/>
        <v>-27402.891282316272</v>
      </c>
      <c r="AI74" s="76">
        <f t="shared" ca="1" si="285"/>
        <v>-29661.319237986427</v>
      </c>
      <c r="AJ74" s="76">
        <f t="shared" ref="AJ74:BK74" ca="1" si="286">SUMIFS(INDIRECT("BusinessModelAssumptions[Cost]"),INDIRECT("BusinessModelAssumptions[Stage]"),PostRelease,INDIRECT("BusinessModelAssumptions[Category]"),$B72,INDIRECT("BusinessModelAssumptions[Post-Cost Type]"),$B74)*TotalUnitsSold</f>
        <v>-32005.220907864987</v>
      </c>
      <c r="AK74" s="76">
        <f t="shared" ca="1" si="286"/>
        <v>-34426.457120637766</v>
      </c>
      <c r="AL74" s="76">
        <f t="shared" ca="1" si="286"/>
        <v>-36915.592400858433</v>
      </c>
      <c r="AM74" s="76">
        <f t="shared" ca="1" si="286"/>
        <v>-39461.927700924542</v>
      </c>
      <c r="AN74" s="76">
        <f t="shared" ca="1" si="286"/>
        <v>-40602.060017172844</v>
      </c>
      <c r="AO74" s="76">
        <f t="shared" ca="1" si="286"/>
        <v>-41723.825113248335</v>
      </c>
      <c r="AP74" s="76">
        <f t="shared" ca="1" si="286"/>
        <v>-42818.488220373205</v>
      </c>
      <c r="AQ74" s="76">
        <f t="shared" ca="1" si="286"/>
        <v>-43877.173780747544</v>
      </c>
      <c r="AR74" s="76">
        <f t="shared" ca="1" si="286"/>
        <v>-44890.982129638156</v>
      </c>
      <c r="AS74" s="76">
        <f t="shared" ca="1" si="286"/>
        <v>-45851.111834011244</v>
      </c>
      <c r="AT74" s="76">
        <f t="shared" ca="1" si="286"/>
        <v>-46748.985390447982</v>
      </c>
      <c r="AU74" s="76">
        <f t="shared" ca="1" si="286"/>
        <v>-47576.375808868856</v>
      </c>
      <c r="AV74" s="76">
        <f t="shared" ca="1" si="286"/>
        <v>-48325.531493669725</v>
      </c>
      <c r="AW74" s="76">
        <f t="shared" ca="1" si="286"/>
        <v>-48989.29678622439</v>
      </c>
      <c r="AX74" s="76">
        <f t="shared" ca="1" si="286"/>
        <v>-49561.22555599732</v>
      </c>
      <c r="AY74" s="76">
        <f t="shared" ca="1" si="286"/>
        <v>-50035.685323332218</v>
      </c>
      <c r="AZ74" s="76">
        <f t="shared" ca="1" si="286"/>
        <v>-50407.949564200382</v>
      </c>
      <c r="BA74" s="76">
        <f t="shared" ca="1" si="286"/>
        <v>-50674.276082529257</v>
      </c>
      <c r="BB74" s="76">
        <f t="shared" ca="1" si="286"/>
        <v>-50831.969633166314</v>
      </c>
      <c r="BC74" s="76">
        <f t="shared" ca="1" si="286"/>
        <v>-50879.427330090475</v>
      </c>
      <c r="BD74" s="76">
        <f t="shared" ca="1" si="286"/>
        <v>-50816.165770080785</v>
      </c>
      <c r="BE74" s="76">
        <f t="shared" ca="1" si="286"/>
        <v>-50642.829229986353</v>
      </c>
      <c r="BF74" s="76">
        <f t="shared" ca="1" si="286"/>
        <v>-50361.178743220415</v>
      </c>
      <c r="BG74" s="76">
        <f t="shared" ca="1" si="286"/>
        <v>-49974.062314461509</v>
      </c>
      <c r="BH74" s="76">
        <f t="shared" ca="1" si="286"/>
        <v>-49485.366977061225</v>
      </c>
      <c r="BI74" s="76">
        <f t="shared" ca="1" si="286"/>
        <v>-48899.95382172423</v>
      </c>
      <c r="BJ74" s="76">
        <f t="shared" ca="1" si="286"/>
        <v>-48223.577515031924</v>
      </c>
      <c r="BK74" s="76">
        <f t="shared" ca="1" si="286"/>
        <v>-47462.792170749286</v>
      </c>
    </row>
    <row r="75" spans="1:63" x14ac:dyDescent="0.2">
      <c r="A75" s="147"/>
      <c r="B75" s="77" t="str">
        <f>Lists!$A$30</f>
        <v>% of Revenue</v>
      </c>
      <c r="C75" s="9"/>
      <c r="D75" s="76">
        <f t="shared" ref="D75:AI75" ca="1" si="287">SUMIFS(INDIRECT("BusinessModelAssumptions[Cost]"),INDIRECT("BusinessModelAssumptions[Stage]"),PostRelease,INDIRECT("BusinessModelAssumptions[Category]"),$B72,INDIRECT("BusinessModelAssumptions[Post-Cost Type]"),$B75)*TotalRevenue *-1</f>
        <v>0</v>
      </c>
      <c r="E75" s="76">
        <f t="shared" ca="1" si="287"/>
        <v>0</v>
      </c>
      <c r="F75" s="76">
        <f t="shared" ca="1" si="287"/>
        <v>0</v>
      </c>
      <c r="G75" s="76">
        <f t="shared" ca="1" si="287"/>
        <v>0</v>
      </c>
      <c r="H75" s="76">
        <f t="shared" ca="1" si="287"/>
        <v>0</v>
      </c>
      <c r="I75" s="76">
        <f t="shared" ca="1" si="287"/>
        <v>0</v>
      </c>
      <c r="J75" s="76">
        <f t="shared" ca="1" si="287"/>
        <v>0</v>
      </c>
      <c r="K75" s="76">
        <f t="shared" ca="1" si="287"/>
        <v>0</v>
      </c>
      <c r="L75" s="76">
        <f t="shared" ca="1" si="287"/>
        <v>0</v>
      </c>
      <c r="M75" s="76">
        <f t="shared" ca="1" si="287"/>
        <v>0</v>
      </c>
      <c r="N75" s="76">
        <f t="shared" ca="1" si="287"/>
        <v>0</v>
      </c>
      <c r="O75" s="76">
        <f t="shared" ca="1" si="287"/>
        <v>0</v>
      </c>
      <c r="P75" s="76">
        <f t="shared" ca="1" si="287"/>
        <v>0</v>
      </c>
      <c r="Q75" s="76">
        <f t="shared" ca="1" si="287"/>
        <v>0</v>
      </c>
      <c r="R75" s="76">
        <f t="shared" ca="1" si="287"/>
        <v>0</v>
      </c>
      <c r="S75" s="76">
        <f t="shared" ca="1" si="287"/>
        <v>0</v>
      </c>
      <c r="T75" s="76">
        <f t="shared" ca="1" si="287"/>
        <v>0</v>
      </c>
      <c r="U75" s="76">
        <f t="shared" ca="1" si="287"/>
        <v>0</v>
      </c>
      <c r="V75" s="76">
        <f t="shared" ca="1" si="287"/>
        <v>0</v>
      </c>
      <c r="W75" s="76">
        <f t="shared" ca="1" si="287"/>
        <v>0</v>
      </c>
      <c r="X75" s="76">
        <f t="shared" ca="1" si="287"/>
        <v>0</v>
      </c>
      <c r="Y75" s="76">
        <f t="shared" ca="1" si="287"/>
        <v>0</v>
      </c>
      <c r="Z75" s="76">
        <f t="shared" ca="1" si="287"/>
        <v>0</v>
      </c>
      <c r="AA75" s="76">
        <f t="shared" ca="1" si="287"/>
        <v>0</v>
      </c>
      <c r="AB75" s="76">
        <f t="shared" ca="1" si="287"/>
        <v>0</v>
      </c>
      <c r="AC75" s="76">
        <f t="shared" ca="1" si="287"/>
        <v>0</v>
      </c>
      <c r="AD75" s="76">
        <f t="shared" ca="1" si="287"/>
        <v>0</v>
      </c>
      <c r="AE75" s="76">
        <f t="shared" ca="1" si="287"/>
        <v>0</v>
      </c>
      <c r="AF75" s="76">
        <f t="shared" ca="1" si="287"/>
        <v>0</v>
      </c>
      <c r="AG75" s="76">
        <f t="shared" ca="1" si="287"/>
        <v>0</v>
      </c>
      <c r="AH75" s="76">
        <f t="shared" ca="1" si="287"/>
        <v>0</v>
      </c>
      <c r="AI75" s="76">
        <f t="shared" ca="1" si="287"/>
        <v>0</v>
      </c>
      <c r="AJ75" s="76">
        <f t="shared" ref="AJ75:BK75" ca="1" si="288">SUMIFS(INDIRECT("BusinessModelAssumptions[Cost]"),INDIRECT("BusinessModelAssumptions[Stage]"),PostRelease,INDIRECT("BusinessModelAssumptions[Category]"),$B72,INDIRECT("BusinessModelAssumptions[Post-Cost Type]"),$B75)*TotalRevenue *-1</f>
        <v>0</v>
      </c>
      <c r="AK75" s="76">
        <f t="shared" ca="1" si="288"/>
        <v>0</v>
      </c>
      <c r="AL75" s="76">
        <f t="shared" ca="1" si="288"/>
        <v>0</v>
      </c>
      <c r="AM75" s="76">
        <f t="shared" ca="1" si="288"/>
        <v>0</v>
      </c>
      <c r="AN75" s="76">
        <f t="shared" ca="1" si="288"/>
        <v>0</v>
      </c>
      <c r="AO75" s="76">
        <f t="shared" ca="1" si="288"/>
        <v>0</v>
      </c>
      <c r="AP75" s="76">
        <f t="shared" ca="1" si="288"/>
        <v>0</v>
      </c>
      <c r="AQ75" s="76">
        <f t="shared" ca="1" si="288"/>
        <v>0</v>
      </c>
      <c r="AR75" s="76">
        <f t="shared" ca="1" si="288"/>
        <v>0</v>
      </c>
      <c r="AS75" s="76">
        <f t="shared" ca="1" si="288"/>
        <v>0</v>
      </c>
      <c r="AT75" s="76">
        <f t="shared" ca="1" si="288"/>
        <v>0</v>
      </c>
      <c r="AU75" s="76">
        <f t="shared" ca="1" si="288"/>
        <v>0</v>
      </c>
      <c r="AV75" s="76">
        <f t="shared" ca="1" si="288"/>
        <v>0</v>
      </c>
      <c r="AW75" s="76">
        <f t="shared" ca="1" si="288"/>
        <v>0</v>
      </c>
      <c r="AX75" s="76">
        <f t="shared" ca="1" si="288"/>
        <v>0</v>
      </c>
      <c r="AY75" s="76">
        <f t="shared" ca="1" si="288"/>
        <v>0</v>
      </c>
      <c r="AZ75" s="76">
        <f t="shared" ca="1" si="288"/>
        <v>0</v>
      </c>
      <c r="BA75" s="76">
        <f t="shared" ca="1" si="288"/>
        <v>0</v>
      </c>
      <c r="BB75" s="76">
        <f t="shared" ca="1" si="288"/>
        <v>0</v>
      </c>
      <c r="BC75" s="76">
        <f t="shared" ca="1" si="288"/>
        <v>0</v>
      </c>
      <c r="BD75" s="76">
        <f t="shared" ca="1" si="288"/>
        <v>0</v>
      </c>
      <c r="BE75" s="76">
        <f t="shared" ca="1" si="288"/>
        <v>0</v>
      </c>
      <c r="BF75" s="76">
        <f t="shared" ca="1" si="288"/>
        <v>0</v>
      </c>
      <c r="BG75" s="76">
        <f t="shared" ca="1" si="288"/>
        <v>0</v>
      </c>
      <c r="BH75" s="76">
        <f t="shared" ca="1" si="288"/>
        <v>0</v>
      </c>
      <c r="BI75" s="76">
        <f t="shared" ca="1" si="288"/>
        <v>0</v>
      </c>
      <c r="BJ75" s="76">
        <f t="shared" ca="1" si="288"/>
        <v>0</v>
      </c>
      <c r="BK75" s="76">
        <f t="shared" ca="1" si="288"/>
        <v>0</v>
      </c>
    </row>
    <row r="76" spans="1:63" x14ac:dyDescent="0.2">
      <c r="A76" s="147"/>
      <c r="B76" s="77" t="s">
        <v>111</v>
      </c>
      <c r="C76" s="9"/>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c r="BK76" s="76"/>
    </row>
    <row r="77" spans="1:63" x14ac:dyDescent="0.2">
      <c r="A77" s="147"/>
      <c r="B77" s="75" t="str">
        <f>Lists!A12</f>
        <v>Prototype</v>
      </c>
      <c r="C77" s="9"/>
      <c r="D77" s="76">
        <f ca="1">SUM(D78:D81)</f>
        <v>0</v>
      </c>
      <c r="E77" s="76">
        <f t="shared" ref="E77:AM77" ca="1" si="289">SUM(E78:E81)</f>
        <v>0</v>
      </c>
      <c r="F77" s="76">
        <f t="shared" ca="1" si="289"/>
        <v>0</v>
      </c>
      <c r="G77" s="76">
        <f t="shared" ca="1" si="289"/>
        <v>0</v>
      </c>
      <c r="H77" s="76">
        <f t="shared" ca="1" si="289"/>
        <v>0</v>
      </c>
      <c r="I77" s="76">
        <f t="shared" ca="1" si="289"/>
        <v>0</v>
      </c>
      <c r="J77" s="76">
        <f t="shared" ca="1" si="289"/>
        <v>0</v>
      </c>
      <c r="K77" s="76">
        <f t="shared" ca="1" si="289"/>
        <v>0</v>
      </c>
      <c r="L77" s="76">
        <f t="shared" ca="1" si="289"/>
        <v>0</v>
      </c>
      <c r="M77" s="76">
        <f t="shared" ca="1" si="289"/>
        <v>0</v>
      </c>
      <c r="N77" s="76">
        <f t="shared" ca="1" si="289"/>
        <v>0</v>
      </c>
      <c r="O77" s="76">
        <f t="shared" ca="1" si="289"/>
        <v>0</v>
      </c>
      <c r="P77" s="76">
        <f t="shared" ca="1" si="289"/>
        <v>0</v>
      </c>
      <c r="Q77" s="76">
        <f t="shared" ca="1" si="289"/>
        <v>0</v>
      </c>
      <c r="R77" s="76">
        <f t="shared" ca="1" si="289"/>
        <v>0</v>
      </c>
      <c r="S77" s="76">
        <f t="shared" ca="1" si="289"/>
        <v>0</v>
      </c>
      <c r="T77" s="76">
        <f t="shared" ca="1" si="289"/>
        <v>0</v>
      </c>
      <c r="U77" s="76">
        <f t="shared" ca="1" si="289"/>
        <v>0</v>
      </c>
      <c r="V77" s="76">
        <f t="shared" ca="1" si="289"/>
        <v>0</v>
      </c>
      <c r="W77" s="76">
        <f t="shared" ca="1" si="289"/>
        <v>0</v>
      </c>
      <c r="X77" s="76">
        <f t="shared" ca="1" si="289"/>
        <v>0</v>
      </c>
      <c r="Y77" s="76">
        <f t="shared" ca="1" si="289"/>
        <v>0</v>
      </c>
      <c r="Z77" s="76">
        <f t="shared" ca="1" si="289"/>
        <v>0</v>
      </c>
      <c r="AA77" s="76">
        <f t="shared" ca="1" si="289"/>
        <v>0</v>
      </c>
      <c r="AB77" s="76">
        <f t="shared" ca="1" si="289"/>
        <v>0</v>
      </c>
      <c r="AC77" s="76">
        <f t="shared" ca="1" si="289"/>
        <v>0</v>
      </c>
      <c r="AD77" s="76">
        <f t="shared" ca="1" si="289"/>
        <v>0</v>
      </c>
      <c r="AE77" s="76">
        <f t="shared" ca="1" si="289"/>
        <v>0</v>
      </c>
      <c r="AF77" s="76">
        <f t="shared" ca="1" si="289"/>
        <v>0</v>
      </c>
      <c r="AG77" s="76">
        <f t="shared" ca="1" si="289"/>
        <v>0</v>
      </c>
      <c r="AH77" s="76">
        <f t="shared" ca="1" si="289"/>
        <v>0</v>
      </c>
      <c r="AI77" s="76">
        <f t="shared" ca="1" si="289"/>
        <v>0</v>
      </c>
      <c r="AJ77" s="76">
        <f t="shared" ca="1" si="289"/>
        <v>0</v>
      </c>
      <c r="AK77" s="76">
        <f t="shared" ca="1" si="289"/>
        <v>0</v>
      </c>
      <c r="AL77" s="76">
        <f t="shared" ca="1" si="289"/>
        <v>0</v>
      </c>
      <c r="AM77" s="76">
        <f t="shared" ca="1" si="289"/>
        <v>0</v>
      </c>
      <c r="AN77" s="76">
        <f t="shared" ref="AN77" ca="1" si="290">SUM(AN78:AN81)</f>
        <v>0</v>
      </c>
      <c r="AO77" s="76">
        <f t="shared" ref="AO77" ca="1" si="291">SUM(AO78:AO81)</f>
        <v>0</v>
      </c>
      <c r="AP77" s="76">
        <f t="shared" ref="AP77" ca="1" si="292">SUM(AP78:AP81)</f>
        <v>0</v>
      </c>
      <c r="AQ77" s="76">
        <f t="shared" ref="AQ77" ca="1" si="293">SUM(AQ78:AQ81)</f>
        <v>0</v>
      </c>
      <c r="AR77" s="76">
        <f t="shared" ref="AR77" ca="1" si="294">SUM(AR78:AR81)</f>
        <v>0</v>
      </c>
      <c r="AS77" s="76">
        <f t="shared" ref="AS77" ca="1" si="295">SUM(AS78:AS81)</f>
        <v>0</v>
      </c>
      <c r="AT77" s="76">
        <f t="shared" ref="AT77" ca="1" si="296">SUM(AT78:AT81)</f>
        <v>0</v>
      </c>
      <c r="AU77" s="76">
        <f t="shared" ref="AU77" ca="1" si="297">SUM(AU78:AU81)</f>
        <v>0</v>
      </c>
      <c r="AV77" s="76">
        <f t="shared" ref="AV77" ca="1" si="298">SUM(AV78:AV81)</f>
        <v>0</v>
      </c>
      <c r="AW77" s="76">
        <f t="shared" ref="AW77" ca="1" si="299">SUM(AW78:AW81)</f>
        <v>0</v>
      </c>
      <c r="AX77" s="76">
        <f t="shared" ref="AX77" ca="1" si="300">SUM(AX78:AX81)</f>
        <v>0</v>
      </c>
      <c r="AY77" s="76">
        <f t="shared" ref="AY77" ca="1" si="301">SUM(AY78:AY81)</f>
        <v>0</v>
      </c>
      <c r="AZ77" s="76">
        <f t="shared" ref="AZ77" ca="1" si="302">SUM(AZ78:AZ81)</f>
        <v>0</v>
      </c>
      <c r="BA77" s="76">
        <f t="shared" ref="BA77" ca="1" si="303">SUM(BA78:BA81)</f>
        <v>0</v>
      </c>
      <c r="BB77" s="76">
        <f t="shared" ref="BB77" ca="1" si="304">SUM(BB78:BB81)</f>
        <v>0</v>
      </c>
      <c r="BC77" s="76">
        <f t="shared" ref="BC77" ca="1" si="305">SUM(BC78:BC81)</f>
        <v>0</v>
      </c>
      <c r="BD77" s="76">
        <f t="shared" ref="BD77" ca="1" si="306">SUM(BD78:BD81)</f>
        <v>0</v>
      </c>
      <c r="BE77" s="76">
        <f t="shared" ref="BE77" ca="1" si="307">SUM(BE78:BE81)</f>
        <v>0</v>
      </c>
      <c r="BF77" s="76">
        <f t="shared" ref="BF77" ca="1" si="308">SUM(BF78:BF81)</f>
        <v>0</v>
      </c>
      <c r="BG77" s="76">
        <f t="shared" ref="BG77" ca="1" si="309">SUM(BG78:BG81)</f>
        <v>0</v>
      </c>
      <c r="BH77" s="76">
        <f t="shared" ref="BH77" ca="1" si="310">SUM(BH78:BH81)</f>
        <v>0</v>
      </c>
      <c r="BI77" s="76">
        <f t="shared" ref="BI77" ca="1" si="311">SUM(BI78:BI81)</f>
        <v>0</v>
      </c>
      <c r="BJ77" s="76">
        <f t="shared" ref="BJ77" ca="1" si="312">SUM(BJ78:BJ81)</f>
        <v>0</v>
      </c>
      <c r="BK77" s="76">
        <f t="shared" ref="BK77" ca="1" si="313">SUM(BK78:BK81)</f>
        <v>0</v>
      </c>
    </row>
    <row r="78" spans="1:63" x14ac:dyDescent="0.2">
      <c r="A78" s="147"/>
      <c r="B78" s="77" t="str">
        <f>Lists!$A$28</f>
        <v>Fixed (Monthly)</v>
      </c>
      <c r="C78" s="9"/>
      <c r="D78" s="76">
        <f t="shared" ref="D78:AI78" ca="1" si="314">SUMIFS(INDIRECT("BusinessModelAssumptions[Cost]"),INDIRECT("BusinessModelAssumptions[Stage]"),PostRelease,INDIRECT("BusinessModelAssumptions[Category]"),$B77,INDIRECT("BusinessModelAssumptions[Post-Cost Type]"),$B78)</f>
        <v>0</v>
      </c>
      <c r="E78" s="76">
        <f t="shared" ca="1" si="314"/>
        <v>0</v>
      </c>
      <c r="F78" s="76">
        <f t="shared" ca="1" si="314"/>
        <v>0</v>
      </c>
      <c r="G78" s="76">
        <f t="shared" ca="1" si="314"/>
        <v>0</v>
      </c>
      <c r="H78" s="76">
        <f t="shared" ca="1" si="314"/>
        <v>0</v>
      </c>
      <c r="I78" s="76">
        <f t="shared" ca="1" si="314"/>
        <v>0</v>
      </c>
      <c r="J78" s="76">
        <f t="shared" ca="1" si="314"/>
        <v>0</v>
      </c>
      <c r="K78" s="76">
        <f t="shared" ca="1" si="314"/>
        <v>0</v>
      </c>
      <c r="L78" s="76">
        <f t="shared" ca="1" si="314"/>
        <v>0</v>
      </c>
      <c r="M78" s="76">
        <f t="shared" ca="1" si="314"/>
        <v>0</v>
      </c>
      <c r="N78" s="76">
        <f t="shared" ca="1" si="314"/>
        <v>0</v>
      </c>
      <c r="O78" s="76">
        <f t="shared" ca="1" si="314"/>
        <v>0</v>
      </c>
      <c r="P78" s="76">
        <f t="shared" ca="1" si="314"/>
        <v>0</v>
      </c>
      <c r="Q78" s="76">
        <f t="shared" ca="1" si="314"/>
        <v>0</v>
      </c>
      <c r="R78" s="76">
        <f t="shared" ca="1" si="314"/>
        <v>0</v>
      </c>
      <c r="S78" s="76">
        <f t="shared" ca="1" si="314"/>
        <v>0</v>
      </c>
      <c r="T78" s="76">
        <f t="shared" ca="1" si="314"/>
        <v>0</v>
      </c>
      <c r="U78" s="76">
        <f t="shared" ca="1" si="314"/>
        <v>0</v>
      </c>
      <c r="V78" s="76">
        <f t="shared" ca="1" si="314"/>
        <v>0</v>
      </c>
      <c r="W78" s="76">
        <f t="shared" ca="1" si="314"/>
        <v>0</v>
      </c>
      <c r="X78" s="76">
        <f t="shared" ca="1" si="314"/>
        <v>0</v>
      </c>
      <c r="Y78" s="76">
        <f t="shared" ca="1" si="314"/>
        <v>0</v>
      </c>
      <c r="Z78" s="76">
        <f t="shared" ca="1" si="314"/>
        <v>0</v>
      </c>
      <c r="AA78" s="76">
        <f t="shared" ca="1" si="314"/>
        <v>0</v>
      </c>
      <c r="AB78" s="76">
        <f t="shared" ca="1" si="314"/>
        <v>0</v>
      </c>
      <c r="AC78" s="76">
        <f t="shared" ca="1" si="314"/>
        <v>0</v>
      </c>
      <c r="AD78" s="76">
        <f t="shared" ca="1" si="314"/>
        <v>0</v>
      </c>
      <c r="AE78" s="76">
        <f t="shared" ca="1" si="314"/>
        <v>0</v>
      </c>
      <c r="AF78" s="76">
        <f t="shared" ca="1" si="314"/>
        <v>0</v>
      </c>
      <c r="AG78" s="76">
        <f t="shared" ca="1" si="314"/>
        <v>0</v>
      </c>
      <c r="AH78" s="76">
        <f t="shared" ca="1" si="314"/>
        <v>0</v>
      </c>
      <c r="AI78" s="76">
        <f t="shared" ca="1" si="314"/>
        <v>0</v>
      </c>
      <c r="AJ78" s="76">
        <f t="shared" ref="AJ78:BK78" ca="1" si="315">SUMIFS(INDIRECT("BusinessModelAssumptions[Cost]"),INDIRECT("BusinessModelAssumptions[Stage]"),PostRelease,INDIRECT("BusinessModelAssumptions[Category]"),$B77,INDIRECT("BusinessModelAssumptions[Post-Cost Type]"),$B78)</f>
        <v>0</v>
      </c>
      <c r="AK78" s="76">
        <f t="shared" ca="1" si="315"/>
        <v>0</v>
      </c>
      <c r="AL78" s="76">
        <f t="shared" ca="1" si="315"/>
        <v>0</v>
      </c>
      <c r="AM78" s="76">
        <f t="shared" ca="1" si="315"/>
        <v>0</v>
      </c>
      <c r="AN78" s="76">
        <f t="shared" ca="1" si="315"/>
        <v>0</v>
      </c>
      <c r="AO78" s="76">
        <f t="shared" ca="1" si="315"/>
        <v>0</v>
      </c>
      <c r="AP78" s="76">
        <f t="shared" ca="1" si="315"/>
        <v>0</v>
      </c>
      <c r="AQ78" s="76">
        <f t="shared" ca="1" si="315"/>
        <v>0</v>
      </c>
      <c r="AR78" s="76">
        <f t="shared" ca="1" si="315"/>
        <v>0</v>
      </c>
      <c r="AS78" s="76">
        <f t="shared" ca="1" si="315"/>
        <v>0</v>
      </c>
      <c r="AT78" s="76">
        <f t="shared" ca="1" si="315"/>
        <v>0</v>
      </c>
      <c r="AU78" s="76">
        <f t="shared" ca="1" si="315"/>
        <v>0</v>
      </c>
      <c r="AV78" s="76">
        <f t="shared" ca="1" si="315"/>
        <v>0</v>
      </c>
      <c r="AW78" s="76">
        <f t="shared" ca="1" si="315"/>
        <v>0</v>
      </c>
      <c r="AX78" s="76">
        <f t="shared" ca="1" si="315"/>
        <v>0</v>
      </c>
      <c r="AY78" s="76">
        <f t="shared" ca="1" si="315"/>
        <v>0</v>
      </c>
      <c r="AZ78" s="76">
        <f t="shared" ca="1" si="315"/>
        <v>0</v>
      </c>
      <c r="BA78" s="76">
        <f t="shared" ca="1" si="315"/>
        <v>0</v>
      </c>
      <c r="BB78" s="76">
        <f t="shared" ca="1" si="315"/>
        <v>0</v>
      </c>
      <c r="BC78" s="76">
        <f t="shared" ca="1" si="315"/>
        <v>0</v>
      </c>
      <c r="BD78" s="76">
        <f t="shared" ca="1" si="315"/>
        <v>0</v>
      </c>
      <c r="BE78" s="76">
        <f t="shared" ca="1" si="315"/>
        <v>0</v>
      </c>
      <c r="BF78" s="76">
        <f t="shared" ca="1" si="315"/>
        <v>0</v>
      </c>
      <c r="BG78" s="76">
        <f t="shared" ca="1" si="315"/>
        <v>0</v>
      </c>
      <c r="BH78" s="76">
        <f t="shared" ca="1" si="315"/>
        <v>0</v>
      </c>
      <c r="BI78" s="76">
        <f t="shared" ca="1" si="315"/>
        <v>0</v>
      </c>
      <c r="BJ78" s="76">
        <f t="shared" ca="1" si="315"/>
        <v>0</v>
      </c>
      <c r="BK78" s="76">
        <f t="shared" ca="1" si="315"/>
        <v>0</v>
      </c>
    </row>
    <row r="79" spans="1:63" x14ac:dyDescent="0.2">
      <c r="A79" s="147"/>
      <c r="B79" s="77" t="str">
        <f>Lists!$A$29</f>
        <v>Per Unit Sold</v>
      </c>
      <c r="C79" s="9"/>
      <c r="D79" s="76">
        <f t="shared" ref="D79:AI79" ca="1" si="316">SUMIFS(INDIRECT("BusinessModelAssumptions[Cost]"),INDIRECT("BusinessModelAssumptions[Stage]"),PostRelease,INDIRECT("BusinessModelAssumptions[Category]"),$B77,INDIRECT("BusinessModelAssumptions[Post-Cost Type]"),$B79)*TotalUnitsSold</f>
        <v>0</v>
      </c>
      <c r="E79" s="76">
        <f t="shared" ca="1" si="316"/>
        <v>0</v>
      </c>
      <c r="F79" s="76">
        <f t="shared" ca="1" si="316"/>
        <v>0</v>
      </c>
      <c r="G79" s="76">
        <f t="shared" ca="1" si="316"/>
        <v>0</v>
      </c>
      <c r="H79" s="76">
        <f t="shared" ca="1" si="316"/>
        <v>0</v>
      </c>
      <c r="I79" s="76">
        <f t="shared" ca="1" si="316"/>
        <v>0</v>
      </c>
      <c r="J79" s="76">
        <f t="shared" ca="1" si="316"/>
        <v>0</v>
      </c>
      <c r="K79" s="76">
        <f t="shared" ca="1" si="316"/>
        <v>0</v>
      </c>
      <c r="L79" s="76">
        <f t="shared" ca="1" si="316"/>
        <v>0</v>
      </c>
      <c r="M79" s="76">
        <f t="shared" ca="1" si="316"/>
        <v>0</v>
      </c>
      <c r="N79" s="76">
        <f t="shared" ca="1" si="316"/>
        <v>0</v>
      </c>
      <c r="O79" s="76">
        <f t="shared" ca="1" si="316"/>
        <v>0</v>
      </c>
      <c r="P79" s="76">
        <f t="shared" ca="1" si="316"/>
        <v>0</v>
      </c>
      <c r="Q79" s="76">
        <f t="shared" ca="1" si="316"/>
        <v>0</v>
      </c>
      <c r="R79" s="76">
        <f t="shared" ca="1" si="316"/>
        <v>0</v>
      </c>
      <c r="S79" s="76">
        <f t="shared" ca="1" si="316"/>
        <v>0</v>
      </c>
      <c r="T79" s="76">
        <f t="shared" ca="1" si="316"/>
        <v>0</v>
      </c>
      <c r="U79" s="76">
        <f t="shared" ca="1" si="316"/>
        <v>0</v>
      </c>
      <c r="V79" s="76">
        <f t="shared" ca="1" si="316"/>
        <v>0</v>
      </c>
      <c r="W79" s="76">
        <f t="shared" ca="1" si="316"/>
        <v>0</v>
      </c>
      <c r="X79" s="76">
        <f t="shared" ca="1" si="316"/>
        <v>0</v>
      </c>
      <c r="Y79" s="76">
        <f t="shared" ca="1" si="316"/>
        <v>0</v>
      </c>
      <c r="Z79" s="76">
        <f t="shared" ca="1" si="316"/>
        <v>0</v>
      </c>
      <c r="AA79" s="76">
        <f t="shared" ca="1" si="316"/>
        <v>0</v>
      </c>
      <c r="AB79" s="76">
        <f t="shared" ca="1" si="316"/>
        <v>0</v>
      </c>
      <c r="AC79" s="76">
        <f t="shared" ca="1" si="316"/>
        <v>0</v>
      </c>
      <c r="AD79" s="76">
        <f t="shared" ca="1" si="316"/>
        <v>0</v>
      </c>
      <c r="AE79" s="76">
        <f t="shared" ca="1" si="316"/>
        <v>0</v>
      </c>
      <c r="AF79" s="76">
        <f t="shared" ca="1" si="316"/>
        <v>0</v>
      </c>
      <c r="AG79" s="76">
        <f t="shared" ca="1" si="316"/>
        <v>0</v>
      </c>
      <c r="AH79" s="76">
        <f t="shared" ca="1" si="316"/>
        <v>0</v>
      </c>
      <c r="AI79" s="76">
        <f t="shared" ca="1" si="316"/>
        <v>0</v>
      </c>
      <c r="AJ79" s="76">
        <f t="shared" ref="AJ79:BK79" ca="1" si="317">SUMIFS(INDIRECT("BusinessModelAssumptions[Cost]"),INDIRECT("BusinessModelAssumptions[Stage]"),PostRelease,INDIRECT("BusinessModelAssumptions[Category]"),$B77,INDIRECT("BusinessModelAssumptions[Post-Cost Type]"),$B79)*TotalUnitsSold</f>
        <v>0</v>
      </c>
      <c r="AK79" s="76">
        <f t="shared" ca="1" si="317"/>
        <v>0</v>
      </c>
      <c r="AL79" s="76">
        <f t="shared" ca="1" si="317"/>
        <v>0</v>
      </c>
      <c r="AM79" s="76">
        <f t="shared" ca="1" si="317"/>
        <v>0</v>
      </c>
      <c r="AN79" s="76">
        <f t="shared" ca="1" si="317"/>
        <v>0</v>
      </c>
      <c r="AO79" s="76">
        <f t="shared" ca="1" si="317"/>
        <v>0</v>
      </c>
      <c r="AP79" s="76">
        <f t="shared" ca="1" si="317"/>
        <v>0</v>
      </c>
      <c r="AQ79" s="76">
        <f t="shared" ca="1" si="317"/>
        <v>0</v>
      </c>
      <c r="AR79" s="76">
        <f t="shared" ca="1" si="317"/>
        <v>0</v>
      </c>
      <c r="AS79" s="76">
        <f t="shared" ca="1" si="317"/>
        <v>0</v>
      </c>
      <c r="AT79" s="76">
        <f t="shared" ca="1" si="317"/>
        <v>0</v>
      </c>
      <c r="AU79" s="76">
        <f t="shared" ca="1" si="317"/>
        <v>0</v>
      </c>
      <c r="AV79" s="76">
        <f t="shared" ca="1" si="317"/>
        <v>0</v>
      </c>
      <c r="AW79" s="76">
        <f t="shared" ca="1" si="317"/>
        <v>0</v>
      </c>
      <c r="AX79" s="76">
        <f t="shared" ca="1" si="317"/>
        <v>0</v>
      </c>
      <c r="AY79" s="76">
        <f t="shared" ca="1" si="317"/>
        <v>0</v>
      </c>
      <c r="AZ79" s="76">
        <f t="shared" ca="1" si="317"/>
        <v>0</v>
      </c>
      <c r="BA79" s="76">
        <f t="shared" ca="1" si="317"/>
        <v>0</v>
      </c>
      <c r="BB79" s="76">
        <f t="shared" ca="1" si="317"/>
        <v>0</v>
      </c>
      <c r="BC79" s="76">
        <f t="shared" ca="1" si="317"/>
        <v>0</v>
      </c>
      <c r="BD79" s="76">
        <f t="shared" ca="1" si="317"/>
        <v>0</v>
      </c>
      <c r="BE79" s="76">
        <f t="shared" ca="1" si="317"/>
        <v>0</v>
      </c>
      <c r="BF79" s="76">
        <f t="shared" ca="1" si="317"/>
        <v>0</v>
      </c>
      <c r="BG79" s="76">
        <f t="shared" ca="1" si="317"/>
        <v>0</v>
      </c>
      <c r="BH79" s="76">
        <f t="shared" ca="1" si="317"/>
        <v>0</v>
      </c>
      <c r="BI79" s="76">
        <f t="shared" ca="1" si="317"/>
        <v>0</v>
      </c>
      <c r="BJ79" s="76">
        <f t="shared" ca="1" si="317"/>
        <v>0</v>
      </c>
      <c r="BK79" s="76">
        <f t="shared" ca="1" si="317"/>
        <v>0</v>
      </c>
    </row>
    <row r="80" spans="1:63" x14ac:dyDescent="0.2">
      <c r="A80" s="147"/>
      <c r="B80" s="77" t="str">
        <f>Lists!$A$30</f>
        <v>% of Revenue</v>
      </c>
      <c r="C80" s="9"/>
      <c r="D80" s="76">
        <f t="shared" ref="D80:AI80" ca="1" si="318">SUMIFS(INDIRECT("BusinessModelAssumptions[Cost]"),INDIRECT("BusinessModelAssumptions[Stage]"),PostRelease,INDIRECT("BusinessModelAssumptions[Category]"),$B77,INDIRECT("BusinessModelAssumptions[Post-Cost Type]"),$B80)*TotalRevenue *-1</f>
        <v>0</v>
      </c>
      <c r="E80" s="76">
        <f t="shared" ca="1" si="318"/>
        <v>0</v>
      </c>
      <c r="F80" s="76">
        <f t="shared" ca="1" si="318"/>
        <v>0</v>
      </c>
      <c r="G80" s="76">
        <f t="shared" ca="1" si="318"/>
        <v>0</v>
      </c>
      <c r="H80" s="76">
        <f t="shared" ca="1" si="318"/>
        <v>0</v>
      </c>
      <c r="I80" s="76">
        <f t="shared" ca="1" si="318"/>
        <v>0</v>
      </c>
      <c r="J80" s="76">
        <f t="shared" ca="1" si="318"/>
        <v>0</v>
      </c>
      <c r="K80" s="76">
        <f t="shared" ca="1" si="318"/>
        <v>0</v>
      </c>
      <c r="L80" s="76">
        <f t="shared" ca="1" si="318"/>
        <v>0</v>
      </c>
      <c r="M80" s="76">
        <f t="shared" ca="1" si="318"/>
        <v>0</v>
      </c>
      <c r="N80" s="76">
        <f t="shared" ca="1" si="318"/>
        <v>0</v>
      </c>
      <c r="O80" s="76">
        <f t="shared" ca="1" si="318"/>
        <v>0</v>
      </c>
      <c r="P80" s="76">
        <f t="shared" ca="1" si="318"/>
        <v>0</v>
      </c>
      <c r="Q80" s="76">
        <f t="shared" ca="1" si="318"/>
        <v>0</v>
      </c>
      <c r="R80" s="76">
        <f t="shared" ca="1" si="318"/>
        <v>0</v>
      </c>
      <c r="S80" s="76">
        <f t="shared" ca="1" si="318"/>
        <v>0</v>
      </c>
      <c r="T80" s="76">
        <f t="shared" ca="1" si="318"/>
        <v>0</v>
      </c>
      <c r="U80" s="76">
        <f t="shared" ca="1" si="318"/>
        <v>0</v>
      </c>
      <c r="V80" s="76">
        <f t="shared" ca="1" si="318"/>
        <v>0</v>
      </c>
      <c r="W80" s="76">
        <f t="shared" ca="1" si="318"/>
        <v>0</v>
      </c>
      <c r="X80" s="76">
        <f t="shared" ca="1" si="318"/>
        <v>0</v>
      </c>
      <c r="Y80" s="76">
        <f t="shared" ca="1" si="318"/>
        <v>0</v>
      </c>
      <c r="Z80" s="76">
        <f t="shared" ca="1" si="318"/>
        <v>0</v>
      </c>
      <c r="AA80" s="76">
        <f t="shared" ca="1" si="318"/>
        <v>0</v>
      </c>
      <c r="AB80" s="76">
        <f t="shared" ca="1" si="318"/>
        <v>0</v>
      </c>
      <c r="AC80" s="76">
        <f t="shared" ca="1" si="318"/>
        <v>0</v>
      </c>
      <c r="AD80" s="76">
        <f t="shared" ca="1" si="318"/>
        <v>0</v>
      </c>
      <c r="AE80" s="76">
        <f t="shared" ca="1" si="318"/>
        <v>0</v>
      </c>
      <c r="AF80" s="76">
        <f t="shared" ca="1" si="318"/>
        <v>0</v>
      </c>
      <c r="AG80" s="76">
        <f t="shared" ca="1" si="318"/>
        <v>0</v>
      </c>
      <c r="AH80" s="76">
        <f t="shared" ca="1" si="318"/>
        <v>0</v>
      </c>
      <c r="AI80" s="76">
        <f t="shared" ca="1" si="318"/>
        <v>0</v>
      </c>
      <c r="AJ80" s="76">
        <f t="shared" ref="AJ80:BK80" ca="1" si="319">SUMIFS(INDIRECT("BusinessModelAssumptions[Cost]"),INDIRECT("BusinessModelAssumptions[Stage]"),PostRelease,INDIRECT("BusinessModelAssumptions[Category]"),$B77,INDIRECT("BusinessModelAssumptions[Post-Cost Type]"),$B80)*TotalRevenue *-1</f>
        <v>0</v>
      </c>
      <c r="AK80" s="76">
        <f t="shared" ca="1" si="319"/>
        <v>0</v>
      </c>
      <c r="AL80" s="76">
        <f t="shared" ca="1" si="319"/>
        <v>0</v>
      </c>
      <c r="AM80" s="76">
        <f t="shared" ca="1" si="319"/>
        <v>0</v>
      </c>
      <c r="AN80" s="76">
        <f t="shared" ca="1" si="319"/>
        <v>0</v>
      </c>
      <c r="AO80" s="76">
        <f t="shared" ca="1" si="319"/>
        <v>0</v>
      </c>
      <c r="AP80" s="76">
        <f t="shared" ca="1" si="319"/>
        <v>0</v>
      </c>
      <c r="AQ80" s="76">
        <f t="shared" ca="1" si="319"/>
        <v>0</v>
      </c>
      <c r="AR80" s="76">
        <f t="shared" ca="1" si="319"/>
        <v>0</v>
      </c>
      <c r="AS80" s="76">
        <f t="shared" ca="1" si="319"/>
        <v>0</v>
      </c>
      <c r="AT80" s="76">
        <f t="shared" ca="1" si="319"/>
        <v>0</v>
      </c>
      <c r="AU80" s="76">
        <f t="shared" ca="1" si="319"/>
        <v>0</v>
      </c>
      <c r="AV80" s="76">
        <f t="shared" ca="1" si="319"/>
        <v>0</v>
      </c>
      <c r="AW80" s="76">
        <f t="shared" ca="1" si="319"/>
        <v>0</v>
      </c>
      <c r="AX80" s="76">
        <f t="shared" ca="1" si="319"/>
        <v>0</v>
      </c>
      <c r="AY80" s="76">
        <f t="shared" ca="1" si="319"/>
        <v>0</v>
      </c>
      <c r="AZ80" s="76">
        <f t="shared" ca="1" si="319"/>
        <v>0</v>
      </c>
      <c r="BA80" s="76">
        <f t="shared" ca="1" si="319"/>
        <v>0</v>
      </c>
      <c r="BB80" s="76">
        <f t="shared" ca="1" si="319"/>
        <v>0</v>
      </c>
      <c r="BC80" s="76">
        <f t="shared" ca="1" si="319"/>
        <v>0</v>
      </c>
      <c r="BD80" s="76">
        <f t="shared" ca="1" si="319"/>
        <v>0</v>
      </c>
      <c r="BE80" s="76">
        <f t="shared" ca="1" si="319"/>
        <v>0</v>
      </c>
      <c r="BF80" s="76">
        <f t="shared" ca="1" si="319"/>
        <v>0</v>
      </c>
      <c r="BG80" s="76">
        <f t="shared" ca="1" si="319"/>
        <v>0</v>
      </c>
      <c r="BH80" s="76">
        <f t="shared" ca="1" si="319"/>
        <v>0</v>
      </c>
      <c r="BI80" s="76">
        <f t="shared" ca="1" si="319"/>
        <v>0</v>
      </c>
      <c r="BJ80" s="76">
        <f t="shared" ca="1" si="319"/>
        <v>0</v>
      </c>
      <c r="BK80" s="76">
        <f t="shared" ca="1" si="319"/>
        <v>0</v>
      </c>
    </row>
    <row r="81" spans="1:63" x14ac:dyDescent="0.2">
      <c r="A81" s="147"/>
      <c r="B81" s="77" t="s">
        <v>111</v>
      </c>
      <c r="C81" s="9"/>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c r="BK81" s="76"/>
    </row>
    <row r="82" spans="1:63" x14ac:dyDescent="0.2">
      <c r="A82" s="147"/>
      <c r="B82" s="75" t="str">
        <f>Lists!A13</f>
        <v>Legal</v>
      </c>
      <c r="C82" s="9"/>
      <c r="D82" s="76">
        <f ca="1">SUM(D83:D86)</f>
        <v>0</v>
      </c>
      <c r="E82" s="76">
        <f t="shared" ref="E82:AM82" ca="1" si="320">SUM(E83:E86)</f>
        <v>0</v>
      </c>
      <c r="F82" s="76">
        <f t="shared" ca="1" si="320"/>
        <v>0</v>
      </c>
      <c r="G82" s="76">
        <f t="shared" ca="1" si="320"/>
        <v>0</v>
      </c>
      <c r="H82" s="76">
        <f t="shared" ca="1" si="320"/>
        <v>0</v>
      </c>
      <c r="I82" s="76">
        <f t="shared" ca="1" si="320"/>
        <v>0</v>
      </c>
      <c r="J82" s="76">
        <f t="shared" ca="1" si="320"/>
        <v>0</v>
      </c>
      <c r="K82" s="76">
        <f t="shared" ca="1" si="320"/>
        <v>0</v>
      </c>
      <c r="L82" s="76">
        <f t="shared" ca="1" si="320"/>
        <v>0</v>
      </c>
      <c r="M82" s="76">
        <f t="shared" ca="1" si="320"/>
        <v>0</v>
      </c>
      <c r="N82" s="76">
        <f t="shared" ca="1" si="320"/>
        <v>0</v>
      </c>
      <c r="O82" s="76">
        <f t="shared" ca="1" si="320"/>
        <v>0</v>
      </c>
      <c r="P82" s="76">
        <f t="shared" ca="1" si="320"/>
        <v>0</v>
      </c>
      <c r="Q82" s="76">
        <f t="shared" ca="1" si="320"/>
        <v>0</v>
      </c>
      <c r="R82" s="76">
        <f t="shared" ca="1" si="320"/>
        <v>0</v>
      </c>
      <c r="S82" s="76">
        <f t="shared" ca="1" si="320"/>
        <v>0</v>
      </c>
      <c r="T82" s="76">
        <f t="shared" ca="1" si="320"/>
        <v>0</v>
      </c>
      <c r="U82" s="76">
        <f t="shared" ca="1" si="320"/>
        <v>0</v>
      </c>
      <c r="V82" s="76">
        <f t="shared" ca="1" si="320"/>
        <v>0</v>
      </c>
      <c r="W82" s="76">
        <f t="shared" ca="1" si="320"/>
        <v>0</v>
      </c>
      <c r="X82" s="76">
        <f t="shared" ca="1" si="320"/>
        <v>0</v>
      </c>
      <c r="Y82" s="76">
        <f t="shared" ca="1" si="320"/>
        <v>0</v>
      </c>
      <c r="Z82" s="76">
        <f t="shared" ca="1" si="320"/>
        <v>0</v>
      </c>
      <c r="AA82" s="76">
        <f t="shared" ca="1" si="320"/>
        <v>0</v>
      </c>
      <c r="AB82" s="76">
        <f t="shared" ca="1" si="320"/>
        <v>0</v>
      </c>
      <c r="AC82" s="76">
        <f t="shared" ca="1" si="320"/>
        <v>0</v>
      </c>
      <c r="AD82" s="76">
        <f t="shared" ca="1" si="320"/>
        <v>0</v>
      </c>
      <c r="AE82" s="76">
        <f t="shared" ca="1" si="320"/>
        <v>0</v>
      </c>
      <c r="AF82" s="76">
        <f t="shared" ca="1" si="320"/>
        <v>0</v>
      </c>
      <c r="AG82" s="76">
        <f t="shared" ca="1" si="320"/>
        <v>0</v>
      </c>
      <c r="AH82" s="76">
        <f t="shared" ca="1" si="320"/>
        <v>0</v>
      </c>
      <c r="AI82" s="76">
        <f t="shared" ca="1" si="320"/>
        <v>0</v>
      </c>
      <c r="AJ82" s="76">
        <f t="shared" ca="1" si="320"/>
        <v>0</v>
      </c>
      <c r="AK82" s="76">
        <f t="shared" ca="1" si="320"/>
        <v>0</v>
      </c>
      <c r="AL82" s="76">
        <f t="shared" ca="1" si="320"/>
        <v>0</v>
      </c>
      <c r="AM82" s="76">
        <f t="shared" ca="1" si="320"/>
        <v>0</v>
      </c>
      <c r="AN82" s="76">
        <f t="shared" ref="AN82" ca="1" si="321">SUM(AN83:AN86)</f>
        <v>0</v>
      </c>
      <c r="AO82" s="76">
        <f t="shared" ref="AO82" ca="1" si="322">SUM(AO83:AO86)</f>
        <v>0</v>
      </c>
      <c r="AP82" s="76">
        <f t="shared" ref="AP82" ca="1" si="323">SUM(AP83:AP86)</f>
        <v>0</v>
      </c>
      <c r="AQ82" s="76">
        <f t="shared" ref="AQ82" ca="1" si="324">SUM(AQ83:AQ86)</f>
        <v>0</v>
      </c>
      <c r="AR82" s="76">
        <f t="shared" ref="AR82" ca="1" si="325">SUM(AR83:AR86)</f>
        <v>0</v>
      </c>
      <c r="AS82" s="76">
        <f t="shared" ref="AS82" ca="1" si="326">SUM(AS83:AS86)</f>
        <v>0</v>
      </c>
      <c r="AT82" s="76">
        <f t="shared" ref="AT82" ca="1" si="327">SUM(AT83:AT86)</f>
        <v>0</v>
      </c>
      <c r="AU82" s="76">
        <f t="shared" ref="AU82" ca="1" si="328">SUM(AU83:AU86)</f>
        <v>0</v>
      </c>
      <c r="AV82" s="76">
        <f t="shared" ref="AV82" ca="1" si="329">SUM(AV83:AV86)</f>
        <v>0</v>
      </c>
      <c r="AW82" s="76">
        <f t="shared" ref="AW82" ca="1" si="330">SUM(AW83:AW86)</f>
        <v>0</v>
      </c>
      <c r="AX82" s="76">
        <f t="shared" ref="AX82" ca="1" si="331">SUM(AX83:AX86)</f>
        <v>0</v>
      </c>
      <c r="AY82" s="76">
        <f t="shared" ref="AY82" ca="1" si="332">SUM(AY83:AY86)</f>
        <v>0</v>
      </c>
      <c r="AZ82" s="76">
        <f t="shared" ref="AZ82" ca="1" si="333">SUM(AZ83:AZ86)</f>
        <v>0</v>
      </c>
      <c r="BA82" s="76">
        <f t="shared" ref="BA82" ca="1" si="334">SUM(BA83:BA86)</f>
        <v>0</v>
      </c>
      <c r="BB82" s="76">
        <f t="shared" ref="BB82" ca="1" si="335">SUM(BB83:BB86)</f>
        <v>0</v>
      </c>
      <c r="BC82" s="76">
        <f t="shared" ref="BC82" ca="1" si="336">SUM(BC83:BC86)</f>
        <v>0</v>
      </c>
      <c r="BD82" s="76">
        <f t="shared" ref="BD82" ca="1" si="337">SUM(BD83:BD86)</f>
        <v>0</v>
      </c>
      <c r="BE82" s="76">
        <f t="shared" ref="BE82" ca="1" si="338">SUM(BE83:BE86)</f>
        <v>0</v>
      </c>
      <c r="BF82" s="76">
        <f t="shared" ref="BF82" ca="1" si="339">SUM(BF83:BF86)</f>
        <v>0</v>
      </c>
      <c r="BG82" s="76">
        <f t="shared" ref="BG82" ca="1" si="340">SUM(BG83:BG86)</f>
        <v>0</v>
      </c>
      <c r="BH82" s="76">
        <f t="shared" ref="BH82" ca="1" si="341">SUM(BH83:BH86)</f>
        <v>0</v>
      </c>
      <c r="BI82" s="76">
        <f t="shared" ref="BI82" ca="1" si="342">SUM(BI83:BI86)</f>
        <v>0</v>
      </c>
      <c r="BJ82" s="76">
        <f t="shared" ref="BJ82" ca="1" si="343">SUM(BJ83:BJ86)</f>
        <v>0</v>
      </c>
      <c r="BK82" s="76">
        <f t="shared" ref="BK82" ca="1" si="344">SUM(BK83:BK86)</f>
        <v>0</v>
      </c>
    </row>
    <row r="83" spans="1:63" x14ac:dyDescent="0.2">
      <c r="A83" s="147"/>
      <c r="B83" s="77" t="str">
        <f>Lists!$A$28</f>
        <v>Fixed (Monthly)</v>
      </c>
      <c r="C83" s="9"/>
      <c r="D83" s="76">
        <f t="shared" ref="D83:AI83" ca="1" si="345">SUMIFS(INDIRECT("BusinessModelAssumptions[Cost]"),INDIRECT("BusinessModelAssumptions[Stage]"),PostRelease,INDIRECT("BusinessModelAssumptions[Category]"),$B82,INDIRECT("BusinessModelAssumptions[Post-Cost Type]"),$B83)</f>
        <v>0</v>
      </c>
      <c r="E83" s="76">
        <f t="shared" ca="1" si="345"/>
        <v>0</v>
      </c>
      <c r="F83" s="76">
        <f t="shared" ca="1" si="345"/>
        <v>0</v>
      </c>
      <c r="G83" s="76">
        <f t="shared" ca="1" si="345"/>
        <v>0</v>
      </c>
      <c r="H83" s="76">
        <f t="shared" ca="1" si="345"/>
        <v>0</v>
      </c>
      <c r="I83" s="76">
        <f t="shared" ca="1" si="345"/>
        <v>0</v>
      </c>
      <c r="J83" s="76">
        <f t="shared" ca="1" si="345"/>
        <v>0</v>
      </c>
      <c r="K83" s="76">
        <f t="shared" ca="1" si="345"/>
        <v>0</v>
      </c>
      <c r="L83" s="76">
        <f t="shared" ca="1" si="345"/>
        <v>0</v>
      </c>
      <c r="M83" s="76">
        <f t="shared" ca="1" si="345"/>
        <v>0</v>
      </c>
      <c r="N83" s="76">
        <f t="shared" ca="1" si="345"/>
        <v>0</v>
      </c>
      <c r="O83" s="76">
        <f t="shared" ca="1" si="345"/>
        <v>0</v>
      </c>
      <c r="P83" s="76">
        <f t="shared" ca="1" si="345"/>
        <v>0</v>
      </c>
      <c r="Q83" s="76">
        <f t="shared" ca="1" si="345"/>
        <v>0</v>
      </c>
      <c r="R83" s="76">
        <f t="shared" ca="1" si="345"/>
        <v>0</v>
      </c>
      <c r="S83" s="76">
        <f t="shared" ca="1" si="345"/>
        <v>0</v>
      </c>
      <c r="T83" s="76">
        <f t="shared" ca="1" si="345"/>
        <v>0</v>
      </c>
      <c r="U83" s="76">
        <f t="shared" ca="1" si="345"/>
        <v>0</v>
      </c>
      <c r="V83" s="76">
        <f t="shared" ca="1" si="345"/>
        <v>0</v>
      </c>
      <c r="W83" s="76">
        <f t="shared" ca="1" si="345"/>
        <v>0</v>
      </c>
      <c r="X83" s="76">
        <f t="shared" ca="1" si="345"/>
        <v>0</v>
      </c>
      <c r="Y83" s="76">
        <f t="shared" ca="1" si="345"/>
        <v>0</v>
      </c>
      <c r="Z83" s="76">
        <f t="shared" ca="1" si="345"/>
        <v>0</v>
      </c>
      <c r="AA83" s="76">
        <f t="shared" ca="1" si="345"/>
        <v>0</v>
      </c>
      <c r="AB83" s="76">
        <f t="shared" ca="1" si="345"/>
        <v>0</v>
      </c>
      <c r="AC83" s="76">
        <f t="shared" ca="1" si="345"/>
        <v>0</v>
      </c>
      <c r="AD83" s="76">
        <f t="shared" ca="1" si="345"/>
        <v>0</v>
      </c>
      <c r="AE83" s="76">
        <f t="shared" ca="1" si="345"/>
        <v>0</v>
      </c>
      <c r="AF83" s="76">
        <f t="shared" ca="1" si="345"/>
        <v>0</v>
      </c>
      <c r="AG83" s="76">
        <f t="shared" ca="1" si="345"/>
        <v>0</v>
      </c>
      <c r="AH83" s="76">
        <f t="shared" ca="1" si="345"/>
        <v>0</v>
      </c>
      <c r="AI83" s="76">
        <f t="shared" ca="1" si="345"/>
        <v>0</v>
      </c>
      <c r="AJ83" s="76">
        <f t="shared" ref="AJ83:BK83" ca="1" si="346">SUMIFS(INDIRECT("BusinessModelAssumptions[Cost]"),INDIRECT("BusinessModelAssumptions[Stage]"),PostRelease,INDIRECT("BusinessModelAssumptions[Category]"),$B82,INDIRECT("BusinessModelAssumptions[Post-Cost Type]"),$B83)</f>
        <v>0</v>
      </c>
      <c r="AK83" s="76">
        <f t="shared" ca="1" si="346"/>
        <v>0</v>
      </c>
      <c r="AL83" s="76">
        <f t="shared" ca="1" si="346"/>
        <v>0</v>
      </c>
      <c r="AM83" s="76">
        <f t="shared" ca="1" si="346"/>
        <v>0</v>
      </c>
      <c r="AN83" s="76">
        <f t="shared" ca="1" si="346"/>
        <v>0</v>
      </c>
      <c r="AO83" s="76">
        <f t="shared" ca="1" si="346"/>
        <v>0</v>
      </c>
      <c r="AP83" s="76">
        <f t="shared" ca="1" si="346"/>
        <v>0</v>
      </c>
      <c r="AQ83" s="76">
        <f t="shared" ca="1" si="346"/>
        <v>0</v>
      </c>
      <c r="AR83" s="76">
        <f t="shared" ca="1" si="346"/>
        <v>0</v>
      </c>
      <c r="AS83" s="76">
        <f t="shared" ca="1" si="346"/>
        <v>0</v>
      </c>
      <c r="AT83" s="76">
        <f t="shared" ca="1" si="346"/>
        <v>0</v>
      </c>
      <c r="AU83" s="76">
        <f t="shared" ca="1" si="346"/>
        <v>0</v>
      </c>
      <c r="AV83" s="76">
        <f t="shared" ca="1" si="346"/>
        <v>0</v>
      </c>
      <c r="AW83" s="76">
        <f t="shared" ca="1" si="346"/>
        <v>0</v>
      </c>
      <c r="AX83" s="76">
        <f t="shared" ca="1" si="346"/>
        <v>0</v>
      </c>
      <c r="AY83" s="76">
        <f t="shared" ca="1" si="346"/>
        <v>0</v>
      </c>
      <c r="AZ83" s="76">
        <f t="shared" ca="1" si="346"/>
        <v>0</v>
      </c>
      <c r="BA83" s="76">
        <f t="shared" ca="1" si="346"/>
        <v>0</v>
      </c>
      <c r="BB83" s="76">
        <f t="shared" ca="1" si="346"/>
        <v>0</v>
      </c>
      <c r="BC83" s="76">
        <f t="shared" ca="1" si="346"/>
        <v>0</v>
      </c>
      <c r="BD83" s="76">
        <f t="shared" ca="1" si="346"/>
        <v>0</v>
      </c>
      <c r="BE83" s="76">
        <f t="shared" ca="1" si="346"/>
        <v>0</v>
      </c>
      <c r="BF83" s="76">
        <f t="shared" ca="1" si="346"/>
        <v>0</v>
      </c>
      <c r="BG83" s="76">
        <f t="shared" ca="1" si="346"/>
        <v>0</v>
      </c>
      <c r="BH83" s="76">
        <f t="shared" ca="1" si="346"/>
        <v>0</v>
      </c>
      <c r="BI83" s="76">
        <f t="shared" ca="1" si="346"/>
        <v>0</v>
      </c>
      <c r="BJ83" s="76">
        <f t="shared" ca="1" si="346"/>
        <v>0</v>
      </c>
      <c r="BK83" s="76">
        <f t="shared" ca="1" si="346"/>
        <v>0</v>
      </c>
    </row>
    <row r="84" spans="1:63" x14ac:dyDescent="0.2">
      <c r="A84" s="147"/>
      <c r="B84" s="77" t="str">
        <f>Lists!$A$29</f>
        <v>Per Unit Sold</v>
      </c>
      <c r="C84" s="9"/>
      <c r="D84" s="76">
        <f t="shared" ref="D84:AI84" ca="1" si="347">SUMIFS(INDIRECT("BusinessModelAssumptions[Cost]"),INDIRECT("BusinessModelAssumptions[Stage]"),PostRelease,INDIRECT("BusinessModelAssumptions[Category]"),$B82,INDIRECT("BusinessModelAssumptions[Post-Cost Type]"),$B84)*TotalUnitsSold</f>
        <v>0</v>
      </c>
      <c r="E84" s="76">
        <f t="shared" ca="1" si="347"/>
        <v>0</v>
      </c>
      <c r="F84" s="76">
        <f t="shared" ca="1" si="347"/>
        <v>0</v>
      </c>
      <c r="G84" s="76">
        <f t="shared" ca="1" si="347"/>
        <v>0</v>
      </c>
      <c r="H84" s="76">
        <f t="shared" ca="1" si="347"/>
        <v>0</v>
      </c>
      <c r="I84" s="76">
        <f t="shared" ca="1" si="347"/>
        <v>0</v>
      </c>
      <c r="J84" s="76">
        <f t="shared" ca="1" si="347"/>
        <v>0</v>
      </c>
      <c r="K84" s="76">
        <f t="shared" ca="1" si="347"/>
        <v>0</v>
      </c>
      <c r="L84" s="76">
        <f t="shared" ca="1" si="347"/>
        <v>0</v>
      </c>
      <c r="M84" s="76">
        <f t="shared" ca="1" si="347"/>
        <v>0</v>
      </c>
      <c r="N84" s="76">
        <f t="shared" ca="1" si="347"/>
        <v>0</v>
      </c>
      <c r="O84" s="76">
        <f t="shared" ca="1" si="347"/>
        <v>0</v>
      </c>
      <c r="P84" s="76">
        <f t="shared" ca="1" si="347"/>
        <v>0</v>
      </c>
      <c r="Q84" s="76">
        <f t="shared" ca="1" si="347"/>
        <v>0</v>
      </c>
      <c r="R84" s="76">
        <f t="shared" ca="1" si="347"/>
        <v>0</v>
      </c>
      <c r="S84" s="76">
        <f t="shared" ca="1" si="347"/>
        <v>0</v>
      </c>
      <c r="T84" s="76">
        <f t="shared" ca="1" si="347"/>
        <v>0</v>
      </c>
      <c r="U84" s="76">
        <f t="shared" ca="1" si="347"/>
        <v>0</v>
      </c>
      <c r="V84" s="76">
        <f t="shared" ca="1" si="347"/>
        <v>0</v>
      </c>
      <c r="W84" s="76">
        <f t="shared" ca="1" si="347"/>
        <v>0</v>
      </c>
      <c r="X84" s="76">
        <f t="shared" ca="1" si="347"/>
        <v>0</v>
      </c>
      <c r="Y84" s="76">
        <f t="shared" ca="1" si="347"/>
        <v>0</v>
      </c>
      <c r="Z84" s="76">
        <f t="shared" ca="1" si="347"/>
        <v>0</v>
      </c>
      <c r="AA84" s="76">
        <f t="shared" ca="1" si="347"/>
        <v>0</v>
      </c>
      <c r="AB84" s="76">
        <f t="shared" ca="1" si="347"/>
        <v>0</v>
      </c>
      <c r="AC84" s="76">
        <f t="shared" ca="1" si="347"/>
        <v>0</v>
      </c>
      <c r="AD84" s="76">
        <f t="shared" ca="1" si="347"/>
        <v>0</v>
      </c>
      <c r="AE84" s="76">
        <f t="shared" ca="1" si="347"/>
        <v>0</v>
      </c>
      <c r="AF84" s="76">
        <f t="shared" ca="1" si="347"/>
        <v>0</v>
      </c>
      <c r="AG84" s="76">
        <f t="shared" ca="1" si="347"/>
        <v>0</v>
      </c>
      <c r="AH84" s="76">
        <f t="shared" ca="1" si="347"/>
        <v>0</v>
      </c>
      <c r="AI84" s="76">
        <f t="shared" ca="1" si="347"/>
        <v>0</v>
      </c>
      <c r="AJ84" s="76">
        <f t="shared" ref="AJ84:BK84" ca="1" si="348">SUMIFS(INDIRECT("BusinessModelAssumptions[Cost]"),INDIRECT("BusinessModelAssumptions[Stage]"),PostRelease,INDIRECT("BusinessModelAssumptions[Category]"),$B82,INDIRECT("BusinessModelAssumptions[Post-Cost Type]"),$B84)*TotalUnitsSold</f>
        <v>0</v>
      </c>
      <c r="AK84" s="76">
        <f t="shared" ca="1" si="348"/>
        <v>0</v>
      </c>
      <c r="AL84" s="76">
        <f t="shared" ca="1" si="348"/>
        <v>0</v>
      </c>
      <c r="AM84" s="76">
        <f t="shared" ca="1" si="348"/>
        <v>0</v>
      </c>
      <c r="AN84" s="76">
        <f t="shared" ca="1" si="348"/>
        <v>0</v>
      </c>
      <c r="AO84" s="76">
        <f t="shared" ca="1" si="348"/>
        <v>0</v>
      </c>
      <c r="AP84" s="76">
        <f t="shared" ca="1" si="348"/>
        <v>0</v>
      </c>
      <c r="AQ84" s="76">
        <f t="shared" ca="1" si="348"/>
        <v>0</v>
      </c>
      <c r="AR84" s="76">
        <f t="shared" ca="1" si="348"/>
        <v>0</v>
      </c>
      <c r="AS84" s="76">
        <f t="shared" ca="1" si="348"/>
        <v>0</v>
      </c>
      <c r="AT84" s="76">
        <f t="shared" ca="1" si="348"/>
        <v>0</v>
      </c>
      <c r="AU84" s="76">
        <f t="shared" ca="1" si="348"/>
        <v>0</v>
      </c>
      <c r="AV84" s="76">
        <f t="shared" ca="1" si="348"/>
        <v>0</v>
      </c>
      <c r="AW84" s="76">
        <f t="shared" ca="1" si="348"/>
        <v>0</v>
      </c>
      <c r="AX84" s="76">
        <f t="shared" ca="1" si="348"/>
        <v>0</v>
      </c>
      <c r="AY84" s="76">
        <f t="shared" ca="1" si="348"/>
        <v>0</v>
      </c>
      <c r="AZ84" s="76">
        <f t="shared" ca="1" si="348"/>
        <v>0</v>
      </c>
      <c r="BA84" s="76">
        <f t="shared" ca="1" si="348"/>
        <v>0</v>
      </c>
      <c r="BB84" s="76">
        <f t="shared" ca="1" si="348"/>
        <v>0</v>
      </c>
      <c r="BC84" s="76">
        <f t="shared" ca="1" si="348"/>
        <v>0</v>
      </c>
      <c r="BD84" s="76">
        <f t="shared" ca="1" si="348"/>
        <v>0</v>
      </c>
      <c r="BE84" s="76">
        <f t="shared" ca="1" si="348"/>
        <v>0</v>
      </c>
      <c r="BF84" s="76">
        <f t="shared" ca="1" si="348"/>
        <v>0</v>
      </c>
      <c r="BG84" s="76">
        <f t="shared" ca="1" si="348"/>
        <v>0</v>
      </c>
      <c r="BH84" s="76">
        <f t="shared" ca="1" si="348"/>
        <v>0</v>
      </c>
      <c r="BI84" s="76">
        <f t="shared" ca="1" si="348"/>
        <v>0</v>
      </c>
      <c r="BJ84" s="76">
        <f t="shared" ca="1" si="348"/>
        <v>0</v>
      </c>
      <c r="BK84" s="76">
        <f t="shared" ca="1" si="348"/>
        <v>0</v>
      </c>
    </row>
    <row r="85" spans="1:63" x14ac:dyDescent="0.2">
      <c r="A85" s="147"/>
      <c r="B85" s="77" t="str">
        <f>Lists!$A$30</f>
        <v>% of Revenue</v>
      </c>
      <c r="C85" s="9"/>
      <c r="D85" s="76">
        <f t="shared" ref="D85:AI85" ca="1" si="349">SUMIFS(INDIRECT("BusinessModelAssumptions[Cost]"),INDIRECT("BusinessModelAssumptions[Stage]"),PostRelease,INDIRECT("BusinessModelAssumptions[Category]"),$B82,INDIRECT("BusinessModelAssumptions[Post-Cost Type]"),$B85)*TotalRevenue *-1</f>
        <v>0</v>
      </c>
      <c r="E85" s="76">
        <f t="shared" ca="1" si="349"/>
        <v>0</v>
      </c>
      <c r="F85" s="76">
        <f t="shared" ca="1" si="349"/>
        <v>0</v>
      </c>
      <c r="G85" s="76">
        <f t="shared" ca="1" si="349"/>
        <v>0</v>
      </c>
      <c r="H85" s="76">
        <f t="shared" ca="1" si="349"/>
        <v>0</v>
      </c>
      <c r="I85" s="76">
        <f t="shared" ca="1" si="349"/>
        <v>0</v>
      </c>
      <c r="J85" s="76">
        <f t="shared" ca="1" si="349"/>
        <v>0</v>
      </c>
      <c r="K85" s="76">
        <f t="shared" ca="1" si="349"/>
        <v>0</v>
      </c>
      <c r="L85" s="76">
        <f t="shared" ca="1" si="349"/>
        <v>0</v>
      </c>
      <c r="M85" s="76">
        <f t="shared" ca="1" si="349"/>
        <v>0</v>
      </c>
      <c r="N85" s="76">
        <f t="shared" ca="1" si="349"/>
        <v>0</v>
      </c>
      <c r="O85" s="76">
        <f t="shared" ca="1" si="349"/>
        <v>0</v>
      </c>
      <c r="P85" s="76">
        <f t="shared" ca="1" si="349"/>
        <v>0</v>
      </c>
      <c r="Q85" s="76">
        <f t="shared" ca="1" si="349"/>
        <v>0</v>
      </c>
      <c r="R85" s="76">
        <f t="shared" ca="1" si="349"/>
        <v>0</v>
      </c>
      <c r="S85" s="76">
        <f t="shared" ca="1" si="349"/>
        <v>0</v>
      </c>
      <c r="T85" s="76">
        <f t="shared" ca="1" si="349"/>
        <v>0</v>
      </c>
      <c r="U85" s="76">
        <f t="shared" ca="1" si="349"/>
        <v>0</v>
      </c>
      <c r="V85" s="76">
        <f t="shared" ca="1" si="349"/>
        <v>0</v>
      </c>
      <c r="W85" s="76">
        <f t="shared" ca="1" si="349"/>
        <v>0</v>
      </c>
      <c r="X85" s="76">
        <f t="shared" ca="1" si="349"/>
        <v>0</v>
      </c>
      <c r="Y85" s="76">
        <f t="shared" ca="1" si="349"/>
        <v>0</v>
      </c>
      <c r="Z85" s="76">
        <f t="shared" ca="1" si="349"/>
        <v>0</v>
      </c>
      <c r="AA85" s="76">
        <f t="shared" ca="1" si="349"/>
        <v>0</v>
      </c>
      <c r="AB85" s="76">
        <f t="shared" ca="1" si="349"/>
        <v>0</v>
      </c>
      <c r="AC85" s="76">
        <f t="shared" ca="1" si="349"/>
        <v>0</v>
      </c>
      <c r="AD85" s="76">
        <f t="shared" ca="1" si="349"/>
        <v>0</v>
      </c>
      <c r="AE85" s="76">
        <f t="shared" ca="1" si="349"/>
        <v>0</v>
      </c>
      <c r="AF85" s="76">
        <f t="shared" ca="1" si="349"/>
        <v>0</v>
      </c>
      <c r="AG85" s="76">
        <f t="shared" ca="1" si="349"/>
        <v>0</v>
      </c>
      <c r="AH85" s="76">
        <f t="shared" ca="1" si="349"/>
        <v>0</v>
      </c>
      <c r="AI85" s="76">
        <f t="shared" ca="1" si="349"/>
        <v>0</v>
      </c>
      <c r="AJ85" s="76">
        <f t="shared" ref="AJ85:BK85" ca="1" si="350">SUMIFS(INDIRECT("BusinessModelAssumptions[Cost]"),INDIRECT("BusinessModelAssumptions[Stage]"),PostRelease,INDIRECT("BusinessModelAssumptions[Category]"),$B82,INDIRECT("BusinessModelAssumptions[Post-Cost Type]"),$B85)*TotalRevenue *-1</f>
        <v>0</v>
      </c>
      <c r="AK85" s="76">
        <f t="shared" ca="1" si="350"/>
        <v>0</v>
      </c>
      <c r="AL85" s="76">
        <f t="shared" ca="1" si="350"/>
        <v>0</v>
      </c>
      <c r="AM85" s="76">
        <f t="shared" ca="1" si="350"/>
        <v>0</v>
      </c>
      <c r="AN85" s="76">
        <f t="shared" ca="1" si="350"/>
        <v>0</v>
      </c>
      <c r="AO85" s="76">
        <f t="shared" ca="1" si="350"/>
        <v>0</v>
      </c>
      <c r="AP85" s="76">
        <f t="shared" ca="1" si="350"/>
        <v>0</v>
      </c>
      <c r="AQ85" s="76">
        <f t="shared" ca="1" si="350"/>
        <v>0</v>
      </c>
      <c r="AR85" s="76">
        <f t="shared" ca="1" si="350"/>
        <v>0</v>
      </c>
      <c r="AS85" s="76">
        <f t="shared" ca="1" si="350"/>
        <v>0</v>
      </c>
      <c r="AT85" s="76">
        <f t="shared" ca="1" si="350"/>
        <v>0</v>
      </c>
      <c r="AU85" s="76">
        <f t="shared" ca="1" si="350"/>
        <v>0</v>
      </c>
      <c r="AV85" s="76">
        <f t="shared" ca="1" si="350"/>
        <v>0</v>
      </c>
      <c r="AW85" s="76">
        <f t="shared" ca="1" si="350"/>
        <v>0</v>
      </c>
      <c r="AX85" s="76">
        <f t="shared" ca="1" si="350"/>
        <v>0</v>
      </c>
      <c r="AY85" s="76">
        <f t="shared" ca="1" si="350"/>
        <v>0</v>
      </c>
      <c r="AZ85" s="76">
        <f t="shared" ca="1" si="350"/>
        <v>0</v>
      </c>
      <c r="BA85" s="76">
        <f t="shared" ca="1" si="350"/>
        <v>0</v>
      </c>
      <c r="BB85" s="76">
        <f t="shared" ca="1" si="350"/>
        <v>0</v>
      </c>
      <c r="BC85" s="76">
        <f t="shared" ca="1" si="350"/>
        <v>0</v>
      </c>
      <c r="BD85" s="76">
        <f t="shared" ca="1" si="350"/>
        <v>0</v>
      </c>
      <c r="BE85" s="76">
        <f t="shared" ca="1" si="350"/>
        <v>0</v>
      </c>
      <c r="BF85" s="76">
        <f t="shared" ca="1" si="350"/>
        <v>0</v>
      </c>
      <c r="BG85" s="76">
        <f t="shared" ca="1" si="350"/>
        <v>0</v>
      </c>
      <c r="BH85" s="76">
        <f t="shared" ca="1" si="350"/>
        <v>0</v>
      </c>
      <c r="BI85" s="76">
        <f t="shared" ca="1" si="350"/>
        <v>0</v>
      </c>
      <c r="BJ85" s="76">
        <f t="shared" ca="1" si="350"/>
        <v>0</v>
      </c>
      <c r="BK85" s="76">
        <f t="shared" ca="1" si="350"/>
        <v>0</v>
      </c>
    </row>
    <row r="86" spans="1:63" x14ac:dyDescent="0.2">
      <c r="A86" s="147"/>
      <c r="B86" s="77" t="s">
        <v>111</v>
      </c>
      <c r="C86" s="9"/>
      <c r="D86" s="76"/>
      <c r="E86" s="76"/>
      <c r="F86" s="76"/>
      <c r="G86" s="76"/>
      <c r="H86" s="76"/>
      <c r="I86" s="76"/>
      <c r="J86" s="76"/>
      <c r="K86" s="76"/>
      <c r="L86" s="76"/>
      <c r="M86" s="76"/>
      <c r="N86" s="76"/>
      <c r="O86" s="76"/>
      <c r="P86" s="76"/>
      <c r="Q86" s="76"/>
      <c r="R86" s="76"/>
      <c r="S86" s="76"/>
      <c r="T86" s="76"/>
      <c r="U86" s="76"/>
      <c r="V86" s="76"/>
      <c r="W86" s="76"/>
      <c r="X86" s="76"/>
      <c r="Y86" s="76"/>
      <c r="Z86" s="76"/>
      <c r="AA86" s="76"/>
      <c r="AB86" s="76"/>
      <c r="AC86" s="76"/>
      <c r="AD86" s="76"/>
      <c r="AE86" s="76"/>
      <c r="AF86" s="76"/>
      <c r="AG86" s="76"/>
      <c r="AH86" s="76"/>
      <c r="AI86" s="76"/>
      <c r="AJ86" s="76"/>
      <c r="AK86" s="76"/>
      <c r="AL86" s="76"/>
      <c r="AM86" s="76"/>
      <c r="AN86" s="76"/>
      <c r="AO86" s="76"/>
      <c r="AP86" s="76"/>
      <c r="AQ86" s="76"/>
      <c r="AR86" s="76"/>
      <c r="AS86" s="76"/>
      <c r="AT86" s="76"/>
      <c r="AU86" s="76"/>
      <c r="AV86" s="76"/>
      <c r="AW86" s="76"/>
      <c r="AX86" s="76"/>
      <c r="AY86" s="76"/>
      <c r="AZ86" s="76"/>
      <c r="BA86" s="76"/>
      <c r="BB86" s="76"/>
      <c r="BC86" s="76"/>
      <c r="BD86" s="76"/>
      <c r="BE86" s="76"/>
      <c r="BF86" s="76"/>
      <c r="BG86" s="76"/>
      <c r="BH86" s="76"/>
      <c r="BI86" s="76"/>
      <c r="BJ86" s="76"/>
      <c r="BK86" s="76"/>
    </row>
    <row r="87" spans="1:63" x14ac:dyDescent="0.2">
      <c r="A87" s="147"/>
      <c r="B87" s="75" t="str">
        <f>Lists!A14</f>
        <v>Manufacturing</v>
      </c>
      <c r="C87" s="9"/>
      <c r="D87" s="76">
        <f ca="1">SUM(D88:D91)</f>
        <v>0</v>
      </c>
      <c r="E87" s="76">
        <f t="shared" ref="E87:AM87" ca="1" si="351">SUM(E88:E91)</f>
        <v>0</v>
      </c>
      <c r="F87" s="76">
        <f t="shared" ca="1" si="351"/>
        <v>0</v>
      </c>
      <c r="G87" s="76">
        <f t="shared" ca="1" si="351"/>
        <v>0</v>
      </c>
      <c r="H87" s="76">
        <f t="shared" ca="1" si="351"/>
        <v>0</v>
      </c>
      <c r="I87" s="76">
        <f t="shared" ca="1" si="351"/>
        <v>0</v>
      </c>
      <c r="J87" s="76">
        <f t="shared" ca="1" si="351"/>
        <v>0</v>
      </c>
      <c r="K87" s="76">
        <f t="shared" ca="1" si="351"/>
        <v>0</v>
      </c>
      <c r="L87" s="76">
        <f t="shared" ca="1" si="351"/>
        <v>0</v>
      </c>
      <c r="M87" s="76">
        <f t="shared" ca="1" si="351"/>
        <v>0</v>
      </c>
      <c r="N87" s="76">
        <f t="shared" ca="1" si="351"/>
        <v>0</v>
      </c>
      <c r="O87" s="76">
        <f t="shared" ca="1" si="351"/>
        <v>0</v>
      </c>
      <c r="P87" s="76">
        <f t="shared" ca="1" si="351"/>
        <v>0</v>
      </c>
      <c r="Q87" s="76">
        <f t="shared" ca="1" si="351"/>
        <v>0</v>
      </c>
      <c r="R87" s="76">
        <f t="shared" ca="1" si="351"/>
        <v>0</v>
      </c>
      <c r="S87" s="76">
        <f t="shared" ca="1" si="351"/>
        <v>0</v>
      </c>
      <c r="T87" s="76">
        <f t="shared" ca="1" si="351"/>
        <v>0</v>
      </c>
      <c r="U87" s="76">
        <f t="shared" ca="1" si="351"/>
        <v>0</v>
      </c>
      <c r="V87" s="76">
        <f t="shared" ca="1" si="351"/>
        <v>0</v>
      </c>
      <c r="W87" s="76">
        <f t="shared" ca="1" si="351"/>
        <v>0</v>
      </c>
      <c r="X87" s="76">
        <f t="shared" ca="1" si="351"/>
        <v>0</v>
      </c>
      <c r="Y87" s="76">
        <f t="shared" ca="1" si="351"/>
        <v>0</v>
      </c>
      <c r="Z87" s="76">
        <f t="shared" ca="1" si="351"/>
        <v>0</v>
      </c>
      <c r="AA87" s="76">
        <f t="shared" ca="1" si="351"/>
        <v>0</v>
      </c>
      <c r="AB87" s="76">
        <f t="shared" ca="1" si="351"/>
        <v>0</v>
      </c>
      <c r="AC87" s="76">
        <f t="shared" ca="1" si="351"/>
        <v>0</v>
      </c>
      <c r="AD87" s="76">
        <f t="shared" ca="1" si="351"/>
        <v>0</v>
      </c>
      <c r="AE87" s="76">
        <f t="shared" ca="1" si="351"/>
        <v>0</v>
      </c>
      <c r="AF87" s="76">
        <f t="shared" ca="1" si="351"/>
        <v>0</v>
      </c>
      <c r="AG87" s="76">
        <f t="shared" ca="1" si="351"/>
        <v>0</v>
      </c>
      <c r="AH87" s="76">
        <f t="shared" ca="1" si="351"/>
        <v>0</v>
      </c>
      <c r="AI87" s="76">
        <f t="shared" ca="1" si="351"/>
        <v>0</v>
      </c>
      <c r="AJ87" s="76">
        <f t="shared" ca="1" si="351"/>
        <v>0</v>
      </c>
      <c r="AK87" s="76">
        <f t="shared" ca="1" si="351"/>
        <v>0</v>
      </c>
      <c r="AL87" s="76">
        <f t="shared" ca="1" si="351"/>
        <v>0</v>
      </c>
      <c r="AM87" s="76">
        <f t="shared" ca="1" si="351"/>
        <v>0</v>
      </c>
      <c r="AN87" s="76">
        <f t="shared" ref="AN87" ca="1" si="352">SUM(AN88:AN91)</f>
        <v>0</v>
      </c>
      <c r="AO87" s="76">
        <f t="shared" ref="AO87" ca="1" si="353">SUM(AO88:AO91)</f>
        <v>0</v>
      </c>
      <c r="AP87" s="76">
        <f t="shared" ref="AP87" ca="1" si="354">SUM(AP88:AP91)</f>
        <v>0</v>
      </c>
      <c r="AQ87" s="76">
        <f t="shared" ref="AQ87" ca="1" si="355">SUM(AQ88:AQ91)</f>
        <v>0</v>
      </c>
      <c r="AR87" s="76">
        <f t="shared" ref="AR87" ca="1" si="356">SUM(AR88:AR91)</f>
        <v>0</v>
      </c>
      <c r="AS87" s="76">
        <f t="shared" ref="AS87" ca="1" si="357">SUM(AS88:AS91)</f>
        <v>0</v>
      </c>
      <c r="AT87" s="76">
        <f t="shared" ref="AT87" ca="1" si="358">SUM(AT88:AT91)</f>
        <v>0</v>
      </c>
      <c r="AU87" s="76">
        <f t="shared" ref="AU87" ca="1" si="359">SUM(AU88:AU91)</f>
        <v>0</v>
      </c>
      <c r="AV87" s="76">
        <f t="shared" ref="AV87" ca="1" si="360">SUM(AV88:AV91)</f>
        <v>0</v>
      </c>
      <c r="AW87" s="76">
        <f t="shared" ref="AW87" ca="1" si="361">SUM(AW88:AW91)</f>
        <v>0</v>
      </c>
      <c r="AX87" s="76">
        <f t="shared" ref="AX87" ca="1" si="362">SUM(AX88:AX91)</f>
        <v>0</v>
      </c>
      <c r="AY87" s="76">
        <f t="shared" ref="AY87" ca="1" si="363">SUM(AY88:AY91)</f>
        <v>0</v>
      </c>
      <c r="AZ87" s="76">
        <f t="shared" ref="AZ87" ca="1" si="364">SUM(AZ88:AZ91)</f>
        <v>0</v>
      </c>
      <c r="BA87" s="76">
        <f t="shared" ref="BA87" ca="1" si="365">SUM(BA88:BA91)</f>
        <v>0</v>
      </c>
      <c r="BB87" s="76">
        <f t="shared" ref="BB87" ca="1" si="366">SUM(BB88:BB91)</f>
        <v>0</v>
      </c>
      <c r="BC87" s="76">
        <f t="shared" ref="BC87" ca="1" si="367">SUM(BC88:BC91)</f>
        <v>0</v>
      </c>
      <c r="BD87" s="76">
        <f t="shared" ref="BD87" ca="1" si="368">SUM(BD88:BD91)</f>
        <v>0</v>
      </c>
      <c r="BE87" s="76">
        <f t="shared" ref="BE87" ca="1" si="369">SUM(BE88:BE91)</f>
        <v>0</v>
      </c>
      <c r="BF87" s="76">
        <f t="shared" ref="BF87" ca="1" si="370">SUM(BF88:BF91)</f>
        <v>0</v>
      </c>
      <c r="BG87" s="76">
        <f t="shared" ref="BG87" ca="1" si="371">SUM(BG88:BG91)</f>
        <v>0</v>
      </c>
      <c r="BH87" s="76">
        <f t="shared" ref="BH87" ca="1" si="372">SUM(BH88:BH91)</f>
        <v>0</v>
      </c>
      <c r="BI87" s="76">
        <f t="shared" ref="BI87" ca="1" si="373">SUM(BI88:BI91)</f>
        <v>0</v>
      </c>
      <c r="BJ87" s="76">
        <f t="shared" ref="BJ87" ca="1" si="374">SUM(BJ88:BJ91)</f>
        <v>0</v>
      </c>
      <c r="BK87" s="76">
        <f t="shared" ref="BK87" ca="1" si="375">SUM(BK88:BK91)</f>
        <v>0</v>
      </c>
    </row>
    <row r="88" spans="1:63" x14ac:dyDescent="0.2">
      <c r="A88" s="147"/>
      <c r="B88" s="77" t="str">
        <f>Lists!$A$28</f>
        <v>Fixed (Monthly)</v>
      </c>
      <c r="C88" s="9"/>
      <c r="D88" s="76">
        <f t="shared" ref="D88:AI88" ca="1" si="376">SUMIFS(INDIRECT("BusinessModelAssumptions[Cost]"),INDIRECT("BusinessModelAssumptions[Stage]"),PostRelease,INDIRECT("BusinessModelAssumptions[Category]"),$B87,INDIRECT("BusinessModelAssumptions[Post-Cost Type]"),$B88)</f>
        <v>0</v>
      </c>
      <c r="E88" s="76">
        <f t="shared" ca="1" si="376"/>
        <v>0</v>
      </c>
      <c r="F88" s="76">
        <f t="shared" ca="1" si="376"/>
        <v>0</v>
      </c>
      <c r="G88" s="76">
        <f t="shared" ca="1" si="376"/>
        <v>0</v>
      </c>
      <c r="H88" s="76">
        <f t="shared" ca="1" si="376"/>
        <v>0</v>
      </c>
      <c r="I88" s="76">
        <f t="shared" ca="1" si="376"/>
        <v>0</v>
      </c>
      <c r="J88" s="76">
        <f t="shared" ca="1" si="376"/>
        <v>0</v>
      </c>
      <c r="K88" s="76">
        <f t="shared" ca="1" si="376"/>
        <v>0</v>
      </c>
      <c r="L88" s="76">
        <f t="shared" ca="1" si="376"/>
        <v>0</v>
      </c>
      <c r="M88" s="76">
        <f t="shared" ca="1" si="376"/>
        <v>0</v>
      </c>
      <c r="N88" s="76">
        <f t="shared" ca="1" si="376"/>
        <v>0</v>
      </c>
      <c r="O88" s="76">
        <f t="shared" ca="1" si="376"/>
        <v>0</v>
      </c>
      <c r="P88" s="76">
        <f t="shared" ca="1" si="376"/>
        <v>0</v>
      </c>
      <c r="Q88" s="76">
        <f t="shared" ca="1" si="376"/>
        <v>0</v>
      </c>
      <c r="R88" s="76">
        <f t="shared" ca="1" si="376"/>
        <v>0</v>
      </c>
      <c r="S88" s="76">
        <f t="shared" ca="1" si="376"/>
        <v>0</v>
      </c>
      <c r="T88" s="76">
        <f t="shared" ca="1" si="376"/>
        <v>0</v>
      </c>
      <c r="U88" s="76">
        <f t="shared" ca="1" si="376"/>
        <v>0</v>
      </c>
      <c r="V88" s="76">
        <f t="shared" ca="1" si="376"/>
        <v>0</v>
      </c>
      <c r="W88" s="76">
        <f t="shared" ca="1" si="376"/>
        <v>0</v>
      </c>
      <c r="X88" s="76">
        <f t="shared" ca="1" si="376"/>
        <v>0</v>
      </c>
      <c r="Y88" s="76">
        <f t="shared" ca="1" si="376"/>
        <v>0</v>
      </c>
      <c r="Z88" s="76">
        <f t="shared" ca="1" si="376"/>
        <v>0</v>
      </c>
      <c r="AA88" s="76">
        <f t="shared" ca="1" si="376"/>
        <v>0</v>
      </c>
      <c r="AB88" s="76">
        <f t="shared" ca="1" si="376"/>
        <v>0</v>
      </c>
      <c r="AC88" s="76">
        <f t="shared" ca="1" si="376"/>
        <v>0</v>
      </c>
      <c r="AD88" s="76">
        <f t="shared" ca="1" si="376"/>
        <v>0</v>
      </c>
      <c r="AE88" s="76">
        <f t="shared" ca="1" si="376"/>
        <v>0</v>
      </c>
      <c r="AF88" s="76">
        <f t="shared" ca="1" si="376"/>
        <v>0</v>
      </c>
      <c r="AG88" s="76">
        <f t="shared" ca="1" si="376"/>
        <v>0</v>
      </c>
      <c r="AH88" s="76">
        <f t="shared" ca="1" si="376"/>
        <v>0</v>
      </c>
      <c r="AI88" s="76">
        <f t="shared" ca="1" si="376"/>
        <v>0</v>
      </c>
      <c r="AJ88" s="76">
        <f t="shared" ref="AJ88:BK88" ca="1" si="377">SUMIFS(INDIRECT("BusinessModelAssumptions[Cost]"),INDIRECT("BusinessModelAssumptions[Stage]"),PostRelease,INDIRECT("BusinessModelAssumptions[Category]"),$B87,INDIRECT("BusinessModelAssumptions[Post-Cost Type]"),$B88)</f>
        <v>0</v>
      </c>
      <c r="AK88" s="76">
        <f t="shared" ca="1" si="377"/>
        <v>0</v>
      </c>
      <c r="AL88" s="76">
        <f t="shared" ca="1" si="377"/>
        <v>0</v>
      </c>
      <c r="AM88" s="76">
        <f t="shared" ca="1" si="377"/>
        <v>0</v>
      </c>
      <c r="AN88" s="76">
        <f t="shared" ca="1" si="377"/>
        <v>0</v>
      </c>
      <c r="AO88" s="76">
        <f t="shared" ca="1" si="377"/>
        <v>0</v>
      </c>
      <c r="AP88" s="76">
        <f t="shared" ca="1" si="377"/>
        <v>0</v>
      </c>
      <c r="AQ88" s="76">
        <f t="shared" ca="1" si="377"/>
        <v>0</v>
      </c>
      <c r="AR88" s="76">
        <f t="shared" ca="1" si="377"/>
        <v>0</v>
      </c>
      <c r="AS88" s="76">
        <f t="shared" ca="1" si="377"/>
        <v>0</v>
      </c>
      <c r="AT88" s="76">
        <f t="shared" ca="1" si="377"/>
        <v>0</v>
      </c>
      <c r="AU88" s="76">
        <f t="shared" ca="1" si="377"/>
        <v>0</v>
      </c>
      <c r="AV88" s="76">
        <f t="shared" ca="1" si="377"/>
        <v>0</v>
      </c>
      <c r="AW88" s="76">
        <f t="shared" ca="1" si="377"/>
        <v>0</v>
      </c>
      <c r="AX88" s="76">
        <f t="shared" ca="1" si="377"/>
        <v>0</v>
      </c>
      <c r="AY88" s="76">
        <f t="shared" ca="1" si="377"/>
        <v>0</v>
      </c>
      <c r="AZ88" s="76">
        <f t="shared" ca="1" si="377"/>
        <v>0</v>
      </c>
      <c r="BA88" s="76">
        <f t="shared" ca="1" si="377"/>
        <v>0</v>
      </c>
      <c r="BB88" s="76">
        <f t="shared" ca="1" si="377"/>
        <v>0</v>
      </c>
      <c r="BC88" s="76">
        <f t="shared" ca="1" si="377"/>
        <v>0</v>
      </c>
      <c r="BD88" s="76">
        <f t="shared" ca="1" si="377"/>
        <v>0</v>
      </c>
      <c r="BE88" s="76">
        <f t="shared" ca="1" si="377"/>
        <v>0</v>
      </c>
      <c r="BF88" s="76">
        <f t="shared" ca="1" si="377"/>
        <v>0</v>
      </c>
      <c r="BG88" s="76">
        <f t="shared" ca="1" si="377"/>
        <v>0</v>
      </c>
      <c r="BH88" s="76">
        <f t="shared" ca="1" si="377"/>
        <v>0</v>
      </c>
      <c r="BI88" s="76">
        <f t="shared" ca="1" si="377"/>
        <v>0</v>
      </c>
      <c r="BJ88" s="76">
        <f t="shared" ca="1" si="377"/>
        <v>0</v>
      </c>
      <c r="BK88" s="76">
        <f t="shared" ca="1" si="377"/>
        <v>0</v>
      </c>
    </row>
    <row r="89" spans="1:63" x14ac:dyDescent="0.2">
      <c r="A89" s="147"/>
      <c r="B89" s="77" t="str">
        <f>Lists!$A$29</f>
        <v>Per Unit Sold</v>
      </c>
      <c r="C89" s="9"/>
      <c r="D89" s="76">
        <f t="shared" ref="D89:AI89" ca="1" si="378">SUMIFS(INDIRECT("BusinessModelAssumptions[Cost]"),INDIRECT("BusinessModelAssumptions[Stage]"),PostRelease,INDIRECT("BusinessModelAssumptions[Category]"),$B87,INDIRECT("BusinessModelAssumptions[Post-Cost Type]"),$B89)*TotalUnitsSold</f>
        <v>0</v>
      </c>
      <c r="E89" s="76">
        <f t="shared" ca="1" si="378"/>
        <v>0</v>
      </c>
      <c r="F89" s="76">
        <f t="shared" ca="1" si="378"/>
        <v>0</v>
      </c>
      <c r="G89" s="76">
        <f t="shared" ca="1" si="378"/>
        <v>0</v>
      </c>
      <c r="H89" s="76">
        <f t="shared" ca="1" si="378"/>
        <v>0</v>
      </c>
      <c r="I89" s="76">
        <f t="shared" ca="1" si="378"/>
        <v>0</v>
      </c>
      <c r="J89" s="76">
        <f t="shared" ca="1" si="378"/>
        <v>0</v>
      </c>
      <c r="K89" s="76">
        <f t="shared" ca="1" si="378"/>
        <v>0</v>
      </c>
      <c r="L89" s="76">
        <f t="shared" ca="1" si="378"/>
        <v>0</v>
      </c>
      <c r="M89" s="76">
        <f t="shared" ca="1" si="378"/>
        <v>0</v>
      </c>
      <c r="N89" s="76">
        <f t="shared" ca="1" si="378"/>
        <v>0</v>
      </c>
      <c r="O89" s="76">
        <f t="shared" ca="1" si="378"/>
        <v>0</v>
      </c>
      <c r="P89" s="76">
        <f t="shared" ca="1" si="378"/>
        <v>0</v>
      </c>
      <c r="Q89" s="76">
        <f t="shared" ca="1" si="378"/>
        <v>0</v>
      </c>
      <c r="R89" s="76">
        <f t="shared" ca="1" si="378"/>
        <v>0</v>
      </c>
      <c r="S89" s="76">
        <f t="shared" ca="1" si="378"/>
        <v>0</v>
      </c>
      <c r="T89" s="76">
        <f t="shared" ca="1" si="378"/>
        <v>0</v>
      </c>
      <c r="U89" s="76">
        <f t="shared" ca="1" si="378"/>
        <v>0</v>
      </c>
      <c r="V89" s="76">
        <f t="shared" ca="1" si="378"/>
        <v>0</v>
      </c>
      <c r="W89" s="76">
        <f t="shared" ca="1" si="378"/>
        <v>0</v>
      </c>
      <c r="X89" s="76">
        <f t="shared" ca="1" si="378"/>
        <v>0</v>
      </c>
      <c r="Y89" s="76">
        <f t="shared" ca="1" si="378"/>
        <v>0</v>
      </c>
      <c r="Z89" s="76">
        <f t="shared" ca="1" si="378"/>
        <v>0</v>
      </c>
      <c r="AA89" s="76">
        <f t="shared" ca="1" si="378"/>
        <v>0</v>
      </c>
      <c r="AB89" s="76">
        <f t="shared" ca="1" si="378"/>
        <v>0</v>
      </c>
      <c r="AC89" s="76">
        <f t="shared" ca="1" si="378"/>
        <v>0</v>
      </c>
      <c r="AD89" s="76">
        <f t="shared" ca="1" si="378"/>
        <v>0</v>
      </c>
      <c r="AE89" s="76">
        <f t="shared" ca="1" si="378"/>
        <v>0</v>
      </c>
      <c r="AF89" s="76">
        <f t="shared" ca="1" si="378"/>
        <v>0</v>
      </c>
      <c r="AG89" s="76">
        <f t="shared" ca="1" si="378"/>
        <v>0</v>
      </c>
      <c r="AH89" s="76">
        <f t="shared" ca="1" si="378"/>
        <v>0</v>
      </c>
      <c r="AI89" s="76">
        <f t="shared" ca="1" si="378"/>
        <v>0</v>
      </c>
      <c r="AJ89" s="76">
        <f t="shared" ref="AJ89:BK89" ca="1" si="379">SUMIFS(INDIRECT("BusinessModelAssumptions[Cost]"),INDIRECT("BusinessModelAssumptions[Stage]"),PostRelease,INDIRECT("BusinessModelAssumptions[Category]"),$B87,INDIRECT("BusinessModelAssumptions[Post-Cost Type]"),$B89)*TotalUnitsSold</f>
        <v>0</v>
      </c>
      <c r="AK89" s="76">
        <f t="shared" ca="1" si="379"/>
        <v>0</v>
      </c>
      <c r="AL89" s="76">
        <f t="shared" ca="1" si="379"/>
        <v>0</v>
      </c>
      <c r="AM89" s="76">
        <f t="shared" ca="1" si="379"/>
        <v>0</v>
      </c>
      <c r="AN89" s="76">
        <f t="shared" ca="1" si="379"/>
        <v>0</v>
      </c>
      <c r="AO89" s="76">
        <f t="shared" ca="1" si="379"/>
        <v>0</v>
      </c>
      <c r="AP89" s="76">
        <f t="shared" ca="1" si="379"/>
        <v>0</v>
      </c>
      <c r="AQ89" s="76">
        <f t="shared" ca="1" si="379"/>
        <v>0</v>
      </c>
      <c r="AR89" s="76">
        <f t="shared" ca="1" si="379"/>
        <v>0</v>
      </c>
      <c r="AS89" s="76">
        <f t="shared" ca="1" si="379"/>
        <v>0</v>
      </c>
      <c r="AT89" s="76">
        <f t="shared" ca="1" si="379"/>
        <v>0</v>
      </c>
      <c r="AU89" s="76">
        <f t="shared" ca="1" si="379"/>
        <v>0</v>
      </c>
      <c r="AV89" s="76">
        <f t="shared" ca="1" si="379"/>
        <v>0</v>
      </c>
      <c r="AW89" s="76">
        <f t="shared" ca="1" si="379"/>
        <v>0</v>
      </c>
      <c r="AX89" s="76">
        <f t="shared" ca="1" si="379"/>
        <v>0</v>
      </c>
      <c r="AY89" s="76">
        <f t="shared" ca="1" si="379"/>
        <v>0</v>
      </c>
      <c r="AZ89" s="76">
        <f t="shared" ca="1" si="379"/>
        <v>0</v>
      </c>
      <c r="BA89" s="76">
        <f t="shared" ca="1" si="379"/>
        <v>0</v>
      </c>
      <c r="BB89" s="76">
        <f t="shared" ca="1" si="379"/>
        <v>0</v>
      </c>
      <c r="BC89" s="76">
        <f t="shared" ca="1" si="379"/>
        <v>0</v>
      </c>
      <c r="BD89" s="76">
        <f t="shared" ca="1" si="379"/>
        <v>0</v>
      </c>
      <c r="BE89" s="76">
        <f t="shared" ca="1" si="379"/>
        <v>0</v>
      </c>
      <c r="BF89" s="76">
        <f t="shared" ca="1" si="379"/>
        <v>0</v>
      </c>
      <c r="BG89" s="76">
        <f t="shared" ca="1" si="379"/>
        <v>0</v>
      </c>
      <c r="BH89" s="76">
        <f t="shared" ca="1" si="379"/>
        <v>0</v>
      </c>
      <c r="BI89" s="76">
        <f t="shared" ca="1" si="379"/>
        <v>0</v>
      </c>
      <c r="BJ89" s="76">
        <f t="shared" ca="1" si="379"/>
        <v>0</v>
      </c>
      <c r="BK89" s="76">
        <f t="shared" ca="1" si="379"/>
        <v>0</v>
      </c>
    </row>
    <row r="90" spans="1:63" x14ac:dyDescent="0.2">
      <c r="A90" s="147"/>
      <c r="B90" s="77" t="str">
        <f>Lists!$A$30</f>
        <v>% of Revenue</v>
      </c>
      <c r="C90" s="9"/>
      <c r="D90" s="76">
        <f t="shared" ref="D90:AI90" ca="1" si="380">SUMIFS(INDIRECT("BusinessModelAssumptions[Cost]"),INDIRECT("BusinessModelAssumptions[Stage]"),PostRelease,INDIRECT("BusinessModelAssumptions[Category]"),$B87,INDIRECT("BusinessModelAssumptions[Post-Cost Type]"),$B90)*TotalRevenue *-1</f>
        <v>0</v>
      </c>
      <c r="E90" s="76">
        <f t="shared" ca="1" si="380"/>
        <v>0</v>
      </c>
      <c r="F90" s="76">
        <f t="shared" ca="1" si="380"/>
        <v>0</v>
      </c>
      <c r="G90" s="76">
        <f t="shared" ca="1" si="380"/>
        <v>0</v>
      </c>
      <c r="H90" s="76">
        <f t="shared" ca="1" si="380"/>
        <v>0</v>
      </c>
      <c r="I90" s="76">
        <f t="shared" ca="1" si="380"/>
        <v>0</v>
      </c>
      <c r="J90" s="76">
        <f t="shared" ca="1" si="380"/>
        <v>0</v>
      </c>
      <c r="K90" s="76">
        <f t="shared" ca="1" si="380"/>
        <v>0</v>
      </c>
      <c r="L90" s="76">
        <f t="shared" ca="1" si="380"/>
        <v>0</v>
      </c>
      <c r="M90" s="76">
        <f t="shared" ca="1" si="380"/>
        <v>0</v>
      </c>
      <c r="N90" s="76">
        <f t="shared" ca="1" si="380"/>
        <v>0</v>
      </c>
      <c r="O90" s="76">
        <f t="shared" ca="1" si="380"/>
        <v>0</v>
      </c>
      <c r="P90" s="76">
        <f t="shared" ca="1" si="380"/>
        <v>0</v>
      </c>
      <c r="Q90" s="76">
        <f t="shared" ca="1" si="380"/>
        <v>0</v>
      </c>
      <c r="R90" s="76">
        <f t="shared" ca="1" si="380"/>
        <v>0</v>
      </c>
      <c r="S90" s="76">
        <f t="shared" ca="1" si="380"/>
        <v>0</v>
      </c>
      <c r="T90" s="76">
        <f t="shared" ca="1" si="380"/>
        <v>0</v>
      </c>
      <c r="U90" s="76">
        <f t="shared" ca="1" si="380"/>
        <v>0</v>
      </c>
      <c r="V90" s="76">
        <f t="shared" ca="1" si="380"/>
        <v>0</v>
      </c>
      <c r="W90" s="76">
        <f t="shared" ca="1" si="380"/>
        <v>0</v>
      </c>
      <c r="X90" s="76">
        <f t="shared" ca="1" si="380"/>
        <v>0</v>
      </c>
      <c r="Y90" s="76">
        <f t="shared" ca="1" si="380"/>
        <v>0</v>
      </c>
      <c r="Z90" s="76">
        <f t="shared" ca="1" si="380"/>
        <v>0</v>
      </c>
      <c r="AA90" s="76">
        <f t="shared" ca="1" si="380"/>
        <v>0</v>
      </c>
      <c r="AB90" s="76">
        <f t="shared" ca="1" si="380"/>
        <v>0</v>
      </c>
      <c r="AC90" s="76">
        <f t="shared" ca="1" si="380"/>
        <v>0</v>
      </c>
      <c r="AD90" s="76">
        <f t="shared" ca="1" si="380"/>
        <v>0</v>
      </c>
      <c r="AE90" s="76">
        <f t="shared" ca="1" si="380"/>
        <v>0</v>
      </c>
      <c r="AF90" s="76">
        <f t="shared" ca="1" si="380"/>
        <v>0</v>
      </c>
      <c r="AG90" s="76">
        <f t="shared" ca="1" si="380"/>
        <v>0</v>
      </c>
      <c r="AH90" s="76">
        <f t="shared" ca="1" si="380"/>
        <v>0</v>
      </c>
      <c r="AI90" s="76">
        <f t="shared" ca="1" si="380"/>
        <v>0</v>
      </c>
      <c r="AJ90" s="76">
        <f t="shared" ref="AJ90:BK90" ca="1" si="381">SUMIFS(INDIRECT("BusinessModelAssumptions[Cost]"),INDIRECT("BusinessModelAssumptions[Stage]"),PostRelease,INDIRECT("BusinessModelAssumptions[Category]"),$B87,INDIRECT("BusinessModelAssumptions[Post-Cost Type]"),$B90)*TotalRevenue *-1</f>
        <v>0</v>
      </c>
      <c r="AK90" s="76">
        <f t="shared" ca="1" si="381"/>
        <v>0</v>
      </c>
      <c r="AL90" s="76">
        <f t="shared" ca="1" si="381"/>
        <v>0</v>
      </c>
      <c r="AM90" s="76">
        <f t="shared" ca="1" si="381"/>
        <v>0</v>
      </c>
      <c r="AN90" s="76">
        <f t="shared" ca="1" si="381"/>
        <v>0</v>
      </c>
      <c r="AO90" s="76">
        <f t="shared" ca="1" si="381"/>
        <v>0</v>
      </c>
      <c r="AP90" s="76">
        <f t="shared" ca="1" si="381"/>
        <v>0</v>
      </c>
      <c r="AQ90" s="76">
        <f t="shared" ca="1" si="381"/>
        <v>0</v>
      </c>
      <c r="AR90" s="76">
        <f t="shared" ca="1" si="381"/>
        <v>0</v>
      </c>
      <c r="AS90" s="76">
        <f t="shared" ca="1" si="381"/>
        <v>0</v>
      </c>
      <c r="AT90" s="76">
        <f t="shared" ca="1" si="381"/>
        <v>0</v>
      </c>
      <c r="AU90" s="76">
        <f t="shared" ca="1" si="381"/>
        <v>0</v>
      </c>
      <c r="AV90" s="76">
        <f t="shared" ca="1" si="381"/>
        <v>0</v>
      </c>
      <c r="AW90" s="76">
        <f t="shared" ca="1" si="381"/>
        <v>0</v>
      </c>
      <c r="AX90" s="76">
        <f t="shared" ca="1" si="381"/>
        <v>0</v>
      </c>
      <c r="AY90" s="76">
        <f t="shared" ca="1" si="381"/>
        <v>0</v>
      </c>
      <c r="AZ90" s="76">
        <f t="shared" ca="1" si="381"/>
        <v>0</v>
      </c>
      <c r="BA90" s="76">
        <f t="shared" ca="1" si="381"/>
        <v>0</v>
      </c>
      <c r="BB90" s="76">
        <f t="shared" ca="1" si="381"/>
        <v>0</v>
      </c>
      <c r="BC90" s="76">
        <f t="shared" ca="1" si="381"/>
        <v>0</v>
      </c>
      <c r="BD90" s="76">
        <f t="shared" ca="1" si="381"/>
        <v>0</v>
      </c>
      <c r="BE90" s="76">
        <f t="shared" ca="1" si="381"/>
        <v>0</v>
      </c>
      <c r="BF90" s="76">
        <f t="shared" ca="1" si="381"/>
        <v>0</v>
      </c>
      <c r="BG90" s="76">
        <f t="shared" ca="1" si="381"/>
        <v>0</v>
      </c>
      <c r="BH90" s="76">
        <f t="shared" ca="1" si="381"/>
        <v>0</v>
      </c>
      <c r="BI90" s="76">
        <f t="shared" ca="1" si="381"/>
        <v>0</v>
      </c>
      <c r="BJ90" s="76">
        <f t="shared" ca="1" si="381"/>
        <v>0</v>
      </c>
      <c r="BK90" s="76">
        <f t="shared" ca="1" si="381"/>
        <v>0</v>
      </c>
    </row>
    <row r="91" spans="1:63" x14ac:dyDescent="0.2">
      <c r="A91" s="147"/>
      <c r="B91" s="77" t="s">
        <v>111</v>
      </c>
      <c r="C91" s="9"/>
      <c r="D91" s="76"/>
      <c r="E91" s="76"/>
      <c r="F91" s="76"/>
      <c r="G91" s="76"/>
      <c r="H91" s="76"/>
      <c r="I91" s="76"/>
      <c r="J91" s="76"/>
      <c r="K91" s="76"/>
      <c r="L91" s="76"/>
      <c r="M91" s="76"/>
      <c r="N91" s="76"/>
      <c r="O91" s="76"/>
      <c r="P91" s="76"/>
      <c r="Q91" s="76"/>
      <c r="R91" s="76"/>
      <c r="S91" s="76"/>
      <c r="T91" s="76"/>
      <c r="U91" s="76"/>
      <c r="V91" s="76"/>
      <c r="W91" s="76"/>
      <c r="X91" s="76"/>
      <c r="Y91" s="76"/>
      <c r="Z91" s="76"/>
      <c r="AA91" s="76"/>
      <c r="AB91" s="76"/>
      <c r="AC91" s="76"/>
      <c r="AD91" s="76"/>
      <c r="AE91" s="76"/>
      <c r="AF91" s="76"/>
      <c r="AG91" s="76"/>
      <c r="AH91" s="76"/>
      <c r="AI91" s="76"/>
      <c r="AJ91" s="76"/>
      <c r="AK91" s="76"/>
      <c r="AL91" s="76"/>
      <c r="AM91" s="76"/>
      <c r="AN91" s="76"/>
      <c r="AO91" s="76"/>
      <c r="AP91" s="76"/>
      <c r="AQ91" s="76"/>
      <c r="AR91" s="76"/>
      <c r="AS91" s="76"/>
      <c r="AT91" s="76"/>
      <c r="AU91" s="76"/>
      <c r="AV91" s="76"/>
      <c r="AW91" s="76"/>
      <c r="AX91" s="76"/>
      <c r="AY91" s="76"/>
      <c r="AZ91" s="76"/>
      <c r="BA91" s="76"/>
      <c r="BB91" s="76"/>
      <c r="BC91" s="76"/>
      <c r="BD91" s="76"/>
      <c r="BE91" s="76"/>
      <c r="BF91" s="76"/>
      <c r="BG91" s="76"/>
      <c r="BH91" s="76"/>
      <c r="BI91" s="76"/>
      <c r="BJ91" s="76"/>
      <c r="BK91" s="76"/>
    </row>
    <row r="92" spans="1:63" x14ac:dyDescent="0.2">
      <c r="A92" s="147"/>
      <c r="B92" s="75" t="str">
        <f>Lists!A15</f>
        <v>Customer Service</v>
      </c>
      <c r="C92" s="9"/>
      <c r="D92" s="76">
        <f ca="1">SUM(D93:D96)</f>
        <v>0</v>
      </c>
      <c r="E92" s="76">
        <f t="shared" ref="E92:AM92" ca="1" si="382">SUM(E93:E96)</f>
        <v>0</v>
      </c>
      <c r="F92" s="76">
        <f t="shared" ca="1" si="382"/>
        <v>0</v>
      </c>
      <c r="G92" s="76">
        <f t="shared" ca="1" si="382"/>
        <v>0</v>
      </c>
      <c r="H92" s="76">
        <f t="shared" ca="1" si="382"/>
        <v>0</v>
      </c>
      <c r="I92" s="76">
        <f t="shared" ca="1" si="382"/>
        <v>0</v>
      </c>
      <c r="J92" s="76">
        <f t="shared" ca="1" si="382"/>
        <v>0</v>
      </c>
      <c r="K92" s="76">
        <f t="shared" ca="1" si="382"/>
        <v>0</v>
      </c>
      <c r="L92" s="76">
        <f t="shared" ca="1" si="382"/>
        <v>0</v>
      </c>
      <c r="M92" s="76">
        <f t="shared" ca="1" si="382"/>
        <v>0</v>
      </c>
      <c r="N92" s="76">
        <f t="shared" ca="1" si="382"/>
        <v>0</v>
      </c>
      <c r="O92" s="76">
        <f t="shared" ca="1" si="382"/>
        <v>0</v>
      </c>
      <c r="P92" s="76">
        <f t="shared" ca="1" si="382"/>
        <v>0</v>
      </c>
      <c r="Q92" s="76">
        <f t="shared" ca="1" si="382"/>
        <v>0</v>
      </c>
      <c r="R92" s="76">
        <f t="shared" ca="1" si="382"/>
        <v>0</v>
      </c>
      <c r="S92" s="76">
        <f t="shared" ca="1" si="382"/>
        <v>0</v>
      </c>
      <c r="T92" s="76">
        <f t="shared" ca="1" si="382"/>
        <v>0</v>
      </c>
      <c r="U92" s="76">
        <f t="shared" ca="1" si="382"/>
        <v>0</v>
      </c>
      <c r="V92" s="76">
        <f t="shared" ca="1" si="382"/>
        <v>0</v>
      </c>
      <c r="W92" s="76">
        <f t="shared" ca="1" si="382"/>
        <v>0</v>
      </c>
      <c r="X92" s="76">
        <f t="shared" ca="1" si="382"/>
        <v>0</v>
      </c>
      <c r="Y92" s="76">
        <f t="shared" ca="1" si="382"/>
        <v>0</v>
      </c>
      <c r="Z92" s="76">
        <f t="shared" ca="1" si="382"/>
        <v>0</v>
      </c>
      <c r="AA92" s="76">
        <f t="shared" ca="1" si="382"/>
        <v>0</v>
      </c>
      <c r="AB92" s="76">
        <f t="shared" ca="1" si="382"/>
        <v>0</v>
      </c>
      <c r="AC92" s="76">
        <f t="shared" ca="1" si="382"/>
        <v>0</v>
      </c>
      <c r="AD92" s="76">
        <f t="shared" ca="1" si="382"/>
        <v>0</v>
      </c>
      <c r="AE92" s="76">
        <f t="shared" ca="1" si="382"/>
        <v>0</v>
      </c>
      <c r="AF92" s="76">
        <f t="shared" ca="1" si="382"/>
        <v>0</v>
      </c>
      <c r="AG92" s="76">
        <f t="shared" ca="1" si="382"/>
        <v>0</v>
      </c>
      <c r="AH92" s="76">
        <f t="shared" ca="1" si="382"/>
        <v>0</v>
      </c>
      <c r="AI92" s="76">
        <f t="shared" ca="1" si="382"/>
        <v>0</v>
      </c>
      <c r="AJ92" s="76">
        <f t="shared" ca="1" si="382"/>
        <v>0</v>
      </c>
      <c r="AK92" s="76">
        <f t="shared" ca="1" si="382"/>
        <v>0</v>
      </c>
      <c r="AL92" s="76">
        <f t="shared" ca="1" si="382"/>
        <v>0</v>
      </c>
      <c r="AM92" s="76">
        <f t="shared" ca="1" si="382"/>
        <v>0</v>
      </c>
      <c r="AN92" s="76">
        <f t="shared" ref="AN92" ca="1" si="383">SUM(AN93:AN96)</f>
        <v>0</v>
      </c>
      <c r="AO92" s="76">
        <f t="shared" ref="AO92" ca="1" si="384">SUM(AO93:AO96)</f>
        <v>0</v>
      </c>
      <c r="AP92" s="76">
        <f t="shared" ref="AP92" ca="1" si="385">SUM(AP93:AP96)</f>
        <v>0</v>
      </c>
      <c r="AQ92" s="76">
        <f t="shared" ref="AQ92" ca="1" si="386">SUM(AQ93:AQ96)</f>
        <v>0</v>
      </c>
      <c r="AR92" s="76">
        <f t="shared" ref="AR92" ca="1" si="387">SUM(AR93:AR96)</f>
        <v>0</v>
      </c>
      <c r="AS92" s="76">
        <f t="shared" ref="AS92" ca="1" si="388">SUM(AS93:AS96)</f>
        <v>0</v>
      </c>
      <c r="AT92" s="76">
        <f t="shared" ref="AT92" ca="1" si="389">SUM(AT93:AT96)</f>
        <v>0</v>
      </c>
      <c r="AU92" s="76">
        <f t="shared" ref="AU92" ca="1" si="390">SUM(AU93:AU96)</f>
        <v>0</v>
      </c>
      <c r="AV92" s="76">
        <f t="shared" ref="AV92" ca="1" si="391">SUM(AV93:AV96)</f>
        <v>0</v>
      </c>
      <c r="AW92" s="76">
        <f t="shared" ref="AW92" ca="1" si="392">SUM(AW93:AW96)</f>
        <v>0</v>
      </c>
      <c r="AX92" s="76">
        <f t="shared" ref="AX92" ca="1" si="393">SUM(AX93:AX96)</f>
        <v>0</v>
      </c>
      <c r="AY92" s="76">
        <f t="shared" ref="AY92" ca="1" si="394">SUM(AY93:AY96)</f>
        <v>0</v>
      </c>
      <c r="AZ92" s="76">
        <f t="shared" ref="AZ92" ca="1" si="395">SUM(AZ93:AZ96)</f>
        <v>0</v>
      </c>
      <c r="BA92" s="76">
        <f t="shared" ref="BA92" ca="1" si="396">SUM(BA93:BA96)</f>
        <v>0</v>
      </c>
      <c r="BB92" s="76">
        <f t="shared" ref="BB92" ca="1" si="397">SUM(BB93:BB96)</f>
        <v>0</v>
      </c>
      <c r="BC92" s="76">
        <f t="shared" ref="BC92" ca="1" si="398">SUM(BC93:BC96)</f>
        <v>0</v>
      </c>
      <c r="BD92" s="76">
        <f t="shared" ref="BD92" ca="1" si="399">SUM(BD93:BD96)</f>
        <v>0</v>
      </c>
      <c r="BE92" s="76">
        <f t="shared" ref="BE92" ca="1" si="400">SUM(BE93:BE96)</f>
        <v>0</v>
      </c>
      <c r="BF92" s="76">
        <f t="shared" ref="BF92" ca="1" si="401">SUM(BF93:BF96)</f>
        <v>0</v>
      </c>
      <c r="BG92" s="76">
        <f t="shared" ref="BG92" ca="1" si="402">SUM(BG93:BG96)</f>
        <v>0</v>
      </c>
      <c r="BH92" s="76">
        <f t="shared" ref="BH92" ca="1" si="403">SUM(BH93:BH96)</f>
        <v>0</v>
      </c>
      <c r="BI92" s="76">
        <f t="shared" ref="BI92" ca="1" si="404">SUM(BI93:BI96)</f>
        <v>0</v>
      </c>
      <c r="BJ92" s="76">
        <f t="shared" ref="BJ92" ca="1" si="405">SUM(BJ93:BJ96)</f>
        <v>0</v>
      </c>
      <c r="BK92" s="76">
        <f t="shared" ref="BK92" ca="1" si="406">SUM(BK93:BK96)</f>
        <v>0</v>
      </c>
    </row>
    <row r="93" spans="1:63" x14ac:dyDescent="0.2">
      <c r="A93" s="147"/>
      <c r="B93" s="77" t="str">
        <f>Lists!$A$28</f>
        <v>Fixed (Monthly)</v>
      </c>
      <c r="C93" s="9"/>
      <c r="D93" s="76">
        <f t="shared" ref="D93:AI93" ca="1" si="407">SUMIFS(INDIRECT("BusinessModelAssumptions[Cost]"),INDIRECT("BusinessModelAssumptions[Stage]"),PostRelease,INDIRECT("BusinessModelAssumptions[Category]"),$B92,INDIRECT("BusinessModelAssumptions[Post-Cost Type]"),$B93)</f>
        <v>0</v>
      </c>
      <c r="E93" s="76">
        <f t="shared" ca="1" si="407"/>
        <v>0</v>
      </c>
      <c r="F93" s="76">
        <f t="shared" ca="1" si="407"/>
        <v>0</v>
      </c>
      <c r="G93" s="76">
        <f t="shared" ca="1" si="407"/>
        <v>0</v>
      </c>
      <c r="H93" s="76">
        <f t="shared" ca="1" si="407"/>
        <v>0</v>
      </c>
      <c r="I93" s="76">
        <f t="shared" ca="1" si="407"/>
        <v>0</v>
      </c>
      <c r="J93" s="76">
        <f t="shared" ca="1" si="407"/>
        <v>0</v>
      </c>
      <c r="K93" s="76">
        <f t="shared" ca="1" si="407"/>
        <v>0</v>
      </c>
      <c r="L93" s="76">
        <f t="shared" ca="1" si="407"/>
        <v>0</v>
      </c>
      <c r="M93" s="76">
        <f t="shared" ca="1" si="407"/>
        <v>0</v>
      </c>
      <c r="N93" s="76">
        <f t="shared" ca="1" si="407"/>
        <v>0</v>
      </c>
      <c r="O93" s="76">
        <f t="shared" ca="1" si="407"/>
        <v>0</v>
      </c>
      <c r="P93" s="76">
        <f t="shared" ca="1" si="407"/>
        <v>0</v>
      </c>
      <c r="Q93" s="76">
        <f t="shared" ca="1" si="407"/>
        <v>0</v>
      </c>
      <c r="R93" s="76">
        <f t="shared" ca="1" si="407"/>
        <v>0</v>
      </c>
      <c r="S93" s="76">
        <f t="shared" ca="1" si="407"/>
        <v>0</v>
      </c>
      <c r="T93" s="76">
        <f t="shared" ca="1" si="407"/>
        <v>0</v>
      </c>
      <c r="U93" s="76">
        <f t="shared" ca="1" si="407"/>
        <v>0</v>
      </c>
      <c r="V93" s="76">
        <f t="shared" ca="1" si="407"/>
        <v>0</v>
      </c>
      <c r="W93" s="76">
        <f t="shared" ca="1" si="407"/>
        <v>0</v>
      </c>
      <c r="X93" s="76">
        <f t="shared" ca="1" si="407"/>
        <v>0</v>
      </c>
      <c r="Y93" s="76">
        <f t="shared" ca="1" si="407"/>
        <v>0</v>
      </c>
      <c r="Z93" s="76">
        <f t="shared" ca="1" si="407"/>
        <v>0</v>
      </c>
      <c r="AA93" s="76">
        <f t="shared" ca="1" si="407"/>
        <v>0</v>
      </c>
      <c r="AB93" s="76">
        <f t="shared" ca="1" si="407"/>
        <v>0</v>
      </c>
      <c r="AC93" s="76">
        <f t="shared" ca="1" si="407"/>
        <v>0</v>
      </c>
      <c r="AD93" s="76">
        <f t="shared" ca="1" si="407"/>
        <v>0</v>
      </c>
      <c r="AE93" s="76">
        <f t="shared" ca="1" si="407"/>
        <v>0</v>
      </c>
      <c r="AF93" s="76">
        <f t="shared" ca="1" si="407"/>
        <v>0</v>
      </c>
      <c r="AG93" s="76">
        <f t="shared" ca="1" si="407"/>
        <v>0</v>
      </c>
      <c r="AH93" s="76">
        <f t="shared" ca="1" si="407"/>
        <v>0</v>
      </c>
      <c r="AI93" s="76">
        <f t="shared" ca="1" si="407"/>
        <v>0</v>
      </c>
      <c r="AJ93" s="76">
        <f t="shared" ref="AJ93:BK93" ca="1" si="408">SUMIFS(INDIRECT("BusinessModelAssumptions[Cost]"),INDIRECT("BusinessModelAssumptions[Stage]"),PostRelease,INDIRECT("BusinessModelAssumptions[Category]"),$B92,INDIRECT("BusinessModelAssumptions[Post-Cost Type]"),$B93)</f>
        <v>0</v>
      </c>
      <c r="AK93" s="76">
        <f t="shared" ca="1" si="408"/>
        <v>0</v>
      </c>
      <c r="AL93" s="76">
        <f t="shared" ca="1" si="408"/>
        <v>0</v>
      </c>
      <c r="AM93" s="76">
        <f t="shared" ca="1" si="408"/>
        <v>0</v>
      </c>
      <c r="AN93" s="76">
        <f t="shared" ca="1" si="408"/>
        <v>0</v>
      </c>
      <c r="AO93" s="76">
        <f t="shared" ca="1" si="408"/>
        <v>0</v>
      </c>
      <c r="AP93" s="76">
        <f t="shared" ca="1" si="408"/>
        <v>0</v>
      </c>
      <c r="AQ93" s="76">
        <f t="shared" ca="1" si="408"/>
        <v>0</v>
      </c>
      <c r="AR93" s="76">
        <f t="shared" ca="1" si="408"/>
        <v>0</v>
      </c>
      <c r="AS93" s="76">
        <f t="shared" ca="1" si="408"/>
        <v>0</v>
      </c>
      <c r="AT93" s="76">
        <f t="shared" ca="1" si="408"/>
        <v>0</v>
      </c>
      <c r="AU93" s="76">
        <f t="shared" ca="1" si="408"/>
        <v>0</v>
      </c>
      <c r="AV93" s="76">
        <f t="shared" ca="1" si="408"/>
        <v>0</v>
      </c>
      <c r="AW93" s="76">
        <f t="shared" ca="1" si="408"/>
        <v>0</v>
      </c>
      <c r="AX93" s="76">
        <f t="shared" ca="1" si="408"/>
        <v>0</v>
      </c>
      <c r="AY93" s="76">
        <f t="shared" ca="1" si="408"/>
        <v>0</v>
      </c>
      <c r="AZ93" s="76">
        <f t="shared" ca="1" si="408"/>
        <v>0</v>
      </c>
      <c r="BA93" s="76">
        <f t="shared" ca="1" si="408"/>
        <v>0</v>
      </c>
      <c r="BB93" s="76">
        <f t="shared" ca="1" si="408"/>
        <v>0</v>
      </c>
      <c r="BC93" s="76">
        <f t="shared" ca="1" si="408"/>
        <v>0</v>
      </c>
      <c r="BD93" s="76">
        <f t="shared" ca="1" si="408"/>
        <v>0</v>
      </c>
      <c r="BE93" s="76">
        <f t="shared" ca="1" si="408"/>
        <v>0</v>
      </c>
      <c r="BF93" s="76">
        <f t="shared" ca="1" si="408"/>
        <v>0</v>
      </c>
      <c r="BG93" s="76">
        <f t="shared" ca="1" si="408"/>
        <v>0</v>
      </c>
      <c r="BH93" s="76">
        <f t="shared" ca="1" si="408"/>
        <v>0</v>
      </c>
      <c r="BI93" s="76">
        <f t="shared" ca="1" si="408"/>
        <v>0</v>
      </c>
      <c r="BJ93" s="76">
        <f t="shared" ca="1" si="408"/>
        <v>0</v>
      </c>
      <c r="BK93" s="76">
        <f t="shared" ca="1" si="408"/>
        <v>0</v>
      </c>
    </row>
    <row r="94" spans="1:63" x14ac:dyDescent="0.2">
      <c r="A94" s="147"/>
      <c r="B94" s="77" t="str">
        <f>Lists!$A$29</f>
        <v>Per Unit Sold</v>
      </c>
      <c r="C94" s="9"/>
      <c r="D94" s="76">
        <f t="shared" ref="D94:AI94" ca="1" si="409">SUMIFS(INDIRECT("BusinessModelAssumptions[Cost]"),INDIRECT("BusinessModelAssumptions[Stage]"),PostRelease,INDIRECT("BusinessModelAssumptions[Category]"),$B92,INDIRECT("BusinessModelAssumptions[Post-Cost Type]"),$B94)*TotalUnitsSold</f>
        <v>0</v>
      </c>
      <c r="E94" s="76">
        <f t="shared" ca="1" si="409"/>
        <v>0</v>
      </c>
      <c r="F94" s="76">
        <f t="shared" ca="1" si="409"/>
        <v>0</v>
      </c>
      <c r="G94" s="76">
        <f t="shared" ca="1" si="409"/>
        <v>0</v>
      </c>
      <c r="H94" s="76">
        <f t="shared" ca="1" si="409"/>
        <v>0</v>
      </c>
      <c r="I94" s="76">
        <f t="shared" ca="1" si="409"/>
        <v>0</v>
      </c>
      <c r="J94" s="76">
        <f t="shared" ca="1" si="409"/>
        <v>0</v>
      </c>
      <c r="K94" s="76">
        <f t="shared" ca="1" si="409"/>
        <v>0</v>
      </c>
      <c r="L94" s="76">
        <f t="shared" ca="1" si="409"/>
        <v>0</v>
      </c>
      <c r="M94" s="76">
        <f t="shared" ca="1" si="409"/>
        <v>0</v>
      </c>
      <c r="N94" s="76">
        <f t="shared" ca="1" si="409"/>
        <v>0</v>
      </c>
      <c r="O94" s="76">
        <f t="shared" ca="1" si="409"/>
        <v>0</v>
      </c>
      <c r="P94" s="76">
        <f t="shared" ca="1" si="409"/>
        <v>0</v>
      </c>
      <c r="Q94" s="76">
        <f t="shared" ca="1" si="409"/>
        <v>0</v>
      </c>
      <c r="R94" s="76">
        <f t="shared" ca="1" si="409"/>
        <v>0</v>
      </c>
      <c r="S94" s="76">
        <f t="shared" ca="1" si="409"/>
        <v>0</v>
      </c>
      <c r="T94" s="76">
        <f t="shared" ca="1" si="409"/>
        <v>0</v>
      </c>
      <c r="U94" s="76">
        <f t="shared" ca="1" si="409"/>
        <v>0</v>
      </c>
      <c r="V94" s="76">
        <f t="shared" ca="1" si="409"/>
        <v>0</v>
      </c>
      <c r="W94" s="76">
        <f t="shared" ca="1" si="409"/>
        <v>0</v>
      </c>
      <c r="X94" s="76">
        <f t="shared" ca="1" si="409"/>
        <v>0</v>
      </c>
      <c r="Y94" s="76">
        <f t="shared" ca="1" si="409"/>
        <v>0</v>
      </c>
      <c r="Z94" s="76">
        <f t="shared" ca="1" si="409"/>
        <v>0</v>
      </c>
      <c r="AA94" s="76">
        <f t="shared" ca="1" si="409"/>
        <v>0</v>
      </c>
      <c r="AB94" s="76">
        <f t="shared" ca="1" si="409"/>
        <v>0</v>
      </c>
      <c r="AC94" s="76">
        <f t="shared" ca="1" si="409"/>
        <v>0</v>
      </c>
      <c r="AD94" s="76">
        <f t="shared" ca="1" si="409"/>
        <v>0</v>
      </c>
      <c r="AE94" s="76">
        <f t="shared" ca="1" si="409"/>
        <v>0</v>
      </c>
      <c r="AF94" s="76">
        <f t="shared" ca="1" si="409"/>
        <v>0</v>
      </c>
      <c r="AG94" s="76">
        <f t="shared" ca="1" si="409"/>
        <v>0</v>
      </c>
      <c r="AH94" s="76">
        <f t="shared" ca="1" si="409"/>
        <v>0</v>
      </c>
      <c r="AI94" s="76">
        <f t="shared" ca="1" si="409"/>
        <v>0</v>
      </c>
      <c r="AJ94" s="76">
        <f t="shared" ref="AJ94:BK94" ca="1" si="410">SUMIFS(INDIRECT("BusinessModelAssumptions[Cost]"),INDIRECT("BusinessModelAssumptions[Stage]"),PostRelease,INDIRECT("BusinessModelAssumptions[Category]"),$B92,INDIRECT("BusinessModelAssumptions[Post-Cost Type]"),$B94)*TotalUnitsSold</f>
        <v>0</v>
      </c>
      <c r="AK94" s="76">
        <f t="shared" ca="1" si="410"/>
        <v>0</v>
      </c>
      <c r="AL94" s="76">
        <f t="shared" ca="1" si="410"/>
        <v>0</v>
      </c>
      <c r="AM94" s="76">
        <f t="shared" ca="1" si="410"/>
        <v>0</v>
      </c>
      <c r="AN94" s="76">
        <f t="shared" ca="1" si="410"/>
        <v>0</v>
      </c>
      <c r="AO94" s="76">
        <f t="shared" ca="1" si="410"/>
        <v>0</v>
      </c>
      <c r="AP94" s="76">
        <f t="shared" ca="1" si="410"/>
        <v>0</v>
      </c>
      <c r="AQ94" s="76">
        <f t="shared" ca="1" si="410"/>
        <v>0</v>
      </c>
      <c r="AR94" s="76">
        <f t="shared" ca="1" si="410"/>
        <v>0</v>
      </c>
      <c r="AS94" s="76">
        <f t="shared" ca="1" si="410"/>
        <v>0</v>
      </c>
      <c r="AT94" s="76">
        <f t="shared" ca="1" si="410"/>
        <v>0</v>
      </c>
      <c r="AU94" s="76">
        <f t="shared" ca="1" si="410"/>
        <v>0</v>
      </c>
      <c r="AV94" s="76">
        <f t="shared" ca="1" si="410"/>
        <v>0</v>
      </c>
      <c r="AW94" s="76">
        <f t="shared" ca="1" si="410"/>
        <v>0</v>
      </c>
      <c r="AX94" s="76">
        <f t="shared" ca="1" si="410"/>
        <v>0</v>
      </c>
      <c r="AY94" s="76">
        <f t="shared" ca="1" si="410"/>
        <v>0</v>
      </c>
      <c r="AZ94" s="76">
        <f t="shared" ca="1" si="410"/>
        <v>0</v>
      </c>
      <c r="BA94" s="76">
        <f t="shared" ca="1" si="410"/>
        <v>0</v>
      </c>
      <c r="BB94" s="76">
        <f t="shared" ca="1" si="410"/>
        <v>0</v>
      </c>
      <c r="BC94" s="76">
        <f t="shared" ca="1" si="410"/>
        <v>0</v>
      </c>
      <c r="BD94" s="76">
        <f t="shared" ca="1" si="410"/>
        <v>0</v>
      </c>
      <c r="BE94" s="76">
        <f t="shared" ca="1" si="410"/>
        <v>0</v>
      </c>
      <c r="BF94" s="76">
        <f t="shared" ca="1" si="410"/>
        <v>0</v>
      </c>
      <c r="BG94" s="76">
        <f t="shared" ca="1" si="410"/>
        <v>0</v>
      </c>
      <c r="BH94" s="76">
        <f t="shared" ca="1" si="410"/>
        <v>0</v>
      </c>
      <c r="BI94" s="76">
        <f t="shared" ca="1" si="410"/>
        <v>0</v>
      </c>
      <c r="BJ94" s="76">
        <f t="shared" ca="1" si="410"/>
        <v>0</v>
      </c>
      <c r="BK94" s="76">
        <f t="shared" ca="1" si="410"/>
        <v>0</v>
      </c>
    </row>
    <row r="95" spans="1:63" x14ac:dyDescent="0.2">
      <c r="A95" s="147"/>
      <c r="B95" s="77" t="str">
        <f>Lists!$A$30</f>
        <v>% of Revenue</v>
      </c>
      <c r="C95" s="9"/>
      <c r="D95" s="76">
        <f t="shared" ref="D95:AI95" ca="1" si="411">SUMIFS(INDIRECT("BusinessModelAssumptions[Cost]"),INDIRECT("BusinessModelAssumptions[Stage]"),PostRelease,INDIRECT("BusinessModelAssumptions[Category]"),$B92,INDIRECT("BusinessModelAssumptions[Post-Cost Type]"),$B95)*TotalRevenue *-1</f>
        <v>0</v>
      </c>
      <c r="E95" s="76">
        <f t="shared" ca="1" si="411"/>
        <v>0</v>
      </c>
      <c r="F95" s="76">
        <f t="shared" ca="1" si="411"/>
        <v>0</v>
      </c>
      <c r="G95" s="76">
        <f t="shared" ca="1" si="411"/>
        <v>0</v>
      </c>
      <c r="H95" s="76">
        <f t="shared" ca="1" si="411"/>
        <v>0</v>
      </c>
      <c r="I95" s="76">
        <f t="shared" ca="1" si="411"/>
        <v>0</v>
      </c>
      <c r="J95" s="76">
        <f t="shared" ca="1" si="411"/>
        <v>0</v>
      </c>
      <c r="K95" s="76">
        <f t="shared" ca="1" si="411"/>
        <v>0</v>
      </c>
      <c r="L95" s="76">
        <f t="shared" ca="1" si="411"/>
        <v>0</v>
      </c>
      <c r="M95" s="76">
        <f t="shared" ca="1" si="411"/>
        <v>0</v>
      </c>
      <c r="N95" s="76">
        <f t="shared" ca="1" si="411"/>
        <v>0</v>
      </c>
      <c r="O95" s="76">
        <f t="shared" ca="1" si="411"/>
        <v>0</v>
      </c>
      <c r="P95" s="76">
        <f t="shared" ca="1" si="411"/>
        <v>0</v>
      </c>
      <c r="Q95" s="76">
        <f t="shared" ca="1" si="411"/>
        <v>0</v>
      </c>
      <c r="R95" s="76">
        <f t="shared" ca="1" si="411"/>
        <v>0</v>
      </c>
      <c r="S95" s="76">
        <f t="shared" ca="1" si="411"/>
        <v>0</v>
      </c>
      <c r="T95" s="76">
        <f t="shared" ca="1" si="411"/>
        <v>0</v>
      </c>
      <c r="U95" s="76">
        <f t="shared" ca="1" si="411"/>
        <v>0</v>
      </c>
      <c r="V95" s="76">
        <f t="shared" ca="1" si="411"/>
        <v>0</v>
      </c>
      <c r="W95" s="76">
        <f t="shared" ca="1" si="411"/>
        <v>0</v>
      </c>
      <c r="X95" s="76">
        <f t="shared" ca="1" si="411"/>
        <v>0</v>
      </c>
      <c r="Y95" s="76">
        <f t="shared" ca="1" si="411"/>
        <v>0</v>
      </c>
      <c r="Z95" s="76">
        <f t="shared" ca="1" si="411"/>
        <v>0</v>
      </c>
      <c r="AA95" s="76">
        <f t="shared" ca="1" si="411"/>
        <v>0</v>
      </c>
      <c r="AB95" s="76">
        <f t="shared" ca="1" si="411"/>
        <v>0</v>
      </c>
      <c r="AC95" s="76">
        <f t="shared" ca="1" si="411"/>
        <v>0</v>
      </c>
      <c r="AD95" s="76">
        <f t="shared" ca="1" si="411"/>
        <v>0</v>
      </c>
      <c r="AE95" s="76">
        <f t="shared" ca="1" si="411"/>
        <v>0</v>
      </c>
      <c r="AF95" s="76">
        <f t="shared" ca="1" si="411"/>
        <v>0</v>
      </c>
      <c r="AG95" s="76">
        <f t="shared" ca="1" si="411"/>
        <v>0</v>
      </c>
      <c r="AH95" s="76">
        <f t="shared" ca="1" si="411"/>
        <v>0</v>
      </c>
      <c r="AI95" s="76">
        <f t="shared" ca="1" si="411"/>
        <v>0</v>
      </c>
      <c r="AJ95" s="76">
        <f t="shared" ref="AJ95:BK95" ca="1" si="412">SUMIFS(INDIRECT("BusinessModelAssumptions[Cost]"),INDIRECT("BusinessModelAssumptions[Stage]"),PostRelease,INDIRECT("BusinessModelAssumptions[Category]"),$B92,INDIRECT("BusinessModelAssumptions[Post-Cost Type]"),$B95)*TotalRevenue *-1</f>
        <v>0</v>
      </c>
      <c r="AK95" s="76">
        <f t="shared" ca="1" si="412"/>
        <v>0</v>
      </c>
      <c r="AL95" s="76">
        <f t="shared" ca="1" si="412"/>
        <v>0</v>
      </c>
      <c r="AM95" s="76">
        <f t="shared" ca="1" si="412"/>
        <v>0</v>
      </c>
      <c r="AN95" s="76">
        <f t="shared" ca="1" si="412"/>
        <v>0</v>
      </c>
      <c r="AO95" s="76">
        <f t="shared" ca="1" si="412"/>
        <v>0</v>
      </c>
      <c r="AP95" s="76">
        <f t="shared" ca="1" si="412"/>
        <v>0</v>
      </c>
      <c r="AQ95" s="76">
        <f t="shared" ca="1" si="412"/>
        <v>0</v>
      </c>
      <c r="AR95" s="76">
        <f t="shared" ca="1" si="412"/>
        <v>0</v>
      </c>
      <c r="AS95" s="76">
        <f t="shared" ca="1" si="412"/>
        <v>0</v>
      </c>
      <c r="AT95" s="76">
        <f t="shared" ca="1" si="412"/>
        <v>0</v>
      </c>
      <c r="AU95" s="76">
        <f t="shared" ca="1" si="412"/>
        <v>0</v>
      </c>
      <c r="AV95" s="76">
        <f t="shared" ca="1" si="412"/>
        <v>0</v>
      </c>
      <c r="AW95" s="76">
        <f t="shared" ca="1" si="412"/>
        <v>0</v>
      </c>
      <c r="AX95" s="76">
        <f t="shared" ca="1" si="412"/>
        <v>0</v>
      </c>
      <c r="AY95" s="76">
        <f t="shared" ca="1" si="412"/>
        <v>0</v>
      </c>
      <c r="AZ95" s="76">
        <f t="shared" ca="1" si="412"/>
        <v>0</v>
      </c>
      <c r="BA95" s="76">
        <f t="shared" ca="1" si="412"/>
        <v>0</v>
      </c>
      <c r="BB95" s="76">
        <f t="shared" ca="1" si="412"/>
        <v>0</v>
      </c>
      <c r="BC95" s="76">
        <f t="shared" ca="1" si="412"/>
        <v>0</v>
      </c>
      <c r="BD95" s="76">
        <f t="shared" ca="1" si="412"/>
        <v>0</v>
      </c>
      <c r="BE95" s="76">
        <f t="shared" ca="1" si="412"/>
        <v>0</v>
      </c>
      <c r="BF95" s="76">
        <f t="shared" ca="1" si="412"/>
        <v>0</v>
      </c>
      <c r="BG95" s="76">
        <f t="shared" ca="1" si="412"/>
        <v>0</v>
      </c>
      <c r="BH95" s="76">
        <f t="shared" ca="1" si="412"/>
        <v>0</v>
      </c>
      <c r="BI95" s="76">
        <f t="shared" ca="1" si="412"/>
        <v>0</v>
      </c>
      <c r="BJ95" s="76">
        <f t="shared" ca="1" si="412"/>
        <v>0</v>
      </c>
      <c r="BK95" s="76">
        <f t="shared" ca="1" si="412"/>
        <v>0</v>
      </c>
    </row>
    <row r="96" spans="1:63" x14ac:dyDescent="0.2">
      <c r="A96" s="147"/>
      <c r="B96" s="77" t="s">
        <v>111</v>
      </c>
      <c r="C96" s="9"/>
      <c r="D96" s="76"/>
      <c r="E96" s="76"/>
      <c r="F96" s="76"/>
      <c r="G96" s="76"/>
      <c r="H96" s="76"/>
      <c r="I96" s="76"/>
      <c r="J96" s="76"/>
      <c r="K96" s="76"/>
      <c r="L96" s="76"/>
      <c r="M96" s="76"/>
      <c r="N96" s="76"/>
      <c r="O96" s="76"/>
      <c r="P96" s="76"/>
      <c r="Q96" s="76"/>
      <c r="R96" s="76"/>
      <c r="S96" s="76"/>
      <c r="T96" s="76"/>
      <c r="U96" s="76"/>
      <c r="V96" s="76"/>
      <c r="W96" s="76"/>
      <c r="X96" s="76"/>
      <c r="Y96" s="76"/>
      <c r="Z96" s="76"/>
      <c r="AA96" s="76"/>
      <c r="AB96" s="76"/>
      <c r="AC96" s="76"/>
      <c r="AD96" s="76"/>
      <c r="AE96" s="76"/>
      <c r="AF96" s="76"/>
      <c r="AG96" s="76"/>
      <c r="AH96" s="76"/>
      <c r="AI96" s="76"/>
      <c r="AJ96" s="76"/>
      <c r="AK96" s="76"/>
      <c r="AL96" s="76"/>
      <c r="AM96" s="76"/>
      <c r="AN96" s="76"/>
      <c r="AO96" s="76"/>
      <c r="AP96" s="76"/>
      <c r="AQ96" s="76"/>
      <c r="AR96" s="76"/>
      <c r="AS96" s="76"/>
      <c r="AT96" s="76"/>
      <c r="AU96" s="76"/>
      <c r="AV96" s="76"/>
      <c r="AW96" s="76"/>
      <c r="AX96" s="76"/>
      <c r="AY96" s="76"/>
      <c r="AZ96" s="76"/>
      <c r="BA96" s="76"/>
      <c r="BB96" s="76"/>
      <c r="BC96" s="76"/>
      <c r="BD96" s="76"/>
      <c r="BE96" s="76"/>
      <c r="BF96" s="76"/>
      <c r="BG96" s="76"/>
      <c r="BH96" s="76"/>
      <c r="BI96" s="76"/>
      <c r="BJ96" s="76"/>
      <c r="BK96" s="76"/>
    </row>
    <row r="97" spans="1:63" x14ac:dyDescent="0.2">
      <c r="A97" s="147"/>
      <c r="B97" s="75" t="str">
        <f>Lists!A16</f>
        <v>Overhead</v>
      </c>
      <c r="C97" s="9"/>
      <c r="D97" s="76">
        <f ca="1">SUM(D98:D101)</f>
        <v>-10000</v>
      </c>
      <c r="E97" s="76">
        <f t="shared" ref="E97:AM97" ca="1" si="413">SUM(E98:E101)</f>
        <v>-10000</v>
      </c>
      <c r="F97" s="76">
        <f t="shared" ca="1" si="413"/>
        <v>-10000</v>
      </c>
      <c r="G97" s="76">
        <f t="shared" ca="1" si="413"/>
        <v>-10000</v>
      </c>
      <c r="H97" s="76">
        <f t="shared" ca="1" si="413"/>
        <v>-10000</v>
      </c>
      <c r="I97" s="76">
        <f t="shared" ca="1" si="413"/>
        <v>-10000</v>
      </c>
      <c r="J97" s="76">
        <f t="shared" ca="1" si="413"/>
        <v>-10000</v>
      </c>
      <c r="K97" s="76">
        <f t="shared" ca="1" si="413"/>
        <v>-10000</v>
      </c>
      <c r="L97" s="76">
        <f t="shared" ca="1" si="413"/>
        <v>-10000</v>
      </c>
      <c r="M97" s="76">
        <f t="shared" ca="1" si="413"/>
        <v>-10000</v>
      </c>
      <c r="N97" s="76">
        <f t="shared" ca="1" si="413"/>
        <v>-10000</v>
      </c>
      <c r="O97" s="76">
        <f t="shared" ca="1" si="413"/>
        <v>-10000</v>
      </c>
      <c r="P97" s="76">
        <f t="shared" ca="1" si="413"/>
        <v>-10000</v>
      </c>
      <c r="Q97" s="76">
        <f t="shared" ca="1" si="413"/>
        <v>-10000</v>
      </c>
      <c r="R97" s="76">
        <f t="shared" ca="1" si="413"/>
        <v>-10000</v>
      </c>
      <c r="S97" s="76">
        <f t="shared" ca="1" si="413"/>
        <v>-10000</v>
      </c>
      <c r="T97" s="76">
        <f t="shared" ca="1" si="413"/>
        <v>-10000</v>
      </c>
      <c r="U97" s="76">
        <f t="shared" ca="1" si="413"/>
        <v>-10000</v>
      </c>
      <c r="V97" s="76">
        <f t="shared" ca="1" si="413"/>
        <v>-10000</v>
      </c>
      <c r="W97" s="76">
        <f t="shared" ca="1" si="413"/>
        <v>-10000</v>
      </c>
      <c r="X97" s="76">
        <f t="shared" ca="1" si="413"/>
        <v>-10000</v>
      </c>
      <c r="Y97" s="76">
        <f t="shared" ca="1" si="413"/>
        <v>-10000</v>
      </c>
      <c r="Z97" s="76">
        <f t="shared" ca="1" si="413"/>
        <v>-10000</v>
      </c>
      <c r="AA97" s="76">
        <f t="shared" ca="1" si="413"/>
        <v>-10000</v>
      </c>
      <c r="AB97" s="76">
        <f t="shared" ca="1" si="413"/>
        <v>-10000</v>
      </c>
      <c r="AC97" s="76">
        <f t="shared" ca="1" si="413"/>
        <v>-10000</v>
      </c>
      <c r="AD97" s="76">
        <f t="shared" ca="1" si="413"/>
        <v>-10000</v>
      </c>
      <c r="AE97" s="76">
        <f t="shared" ca="1" si="413"/>
        <v>-10000</v>
      </c>
      <c r="AF97" s="76">
        <f t="shared" ca="1" si="413"/>
        <v>-10000</v>
      </c>
      <c r="AG97" s="76">
        <f t="shared" ca="1" si="413"/>
        <v>-10000</v>
      </c>
      <c r="AH97" s="76">
        <f t="shared" ca="1" si="413"/>
        <v>-10000</v>
      </c>
      <c r="AI97" s="76">
        <f t="shared" ca="1" si="413"/>
        <v>-10000</v>
      </c>
      <c r="AJ97" s="76">
        <f t="shared" ca="1" si="413"/>
        <v>-10000</v>
      </c>
      <c r="AK97" s="76">
        <f t="shared" ca="1" si="413"/>
        <v>-10000</v>
      </c>
      <c r="AL97" s="76">
        <f t="shared" ca="1" si="413"/>
        <v>-10000</v>
      </c>
      <c r="AM97" s="76">
        <f t="shared" ca="1" si="413"/>
        <v>-10000</v>
      </c>
      <c r="AN97" s="76">
        <f t="shared" ref="AN97" ca="1" si="414">SUM(AN98:AN101)</f>
        <v>-10000</v>
      </c>
      <c r="AO97" s="76">
        <f t="shared" ref="AO97" ca="1" si="415">SUM(AO98:AO101)</f>
        <v>-10000</v>
      </c>
      <c r="AP97" s="76">
        <f t="shared" ref="AP97" ca="1" si="416">SUM(AP98:AP101)</f>
        <v>-10000</v>
      </c>
      <c r="AQ97" s="76">
        <f t="shared" ref="AQ97" ca="1" si="417">SUM(AQ98:AQ101)</f>
        <v>-10000</v>
      </c>
      <c r="AR97" s="76">
        <f t="shared" ref="AR97" ca="1" si="418">SUM(AR98:AR101)</f>
        <v>-10000</v>
      </c>
      <c r="AS97" s="76">
        <f t="shared" ref="AS97" ca="1" si="419">SUM(AS98:AS101)</f>
        <v>-10000</v>
      </c>
      <c r="AT97" s="76">
        <f t="shared" ref="AT97" ca="1" si="420">SUM(AT98:AT101)</f>
        <v>-10000</v>
      </c>
      <c r="AU97" s="76">
        <f t="shared" ref="AU97" ca="1" si="421">SUM(AU98:AU101)</f>
        <v>-10000</v>
      </c>
      <c r="AV97" s="76">
        <f t="shared" ref="AV97" ca="1" si="422">SUM(AV98:AV101)</f>
        <v>-10000</v>
      </c>
      <c r="AW97" s="76">
        <f t="shared" ref="AW97" ca="1" si="423">SUM(AW98:AW101)</f>
        <v>-10000</v>
      </c>
      <c r="AX97" s="76">
        <f t="shared" ref="AX97" ca="1" si="424">SUM(AX98:AX101)</f>
        <v>-10000</v>
      </c>
      <c r="AY97" s="76">
        <f t="shared" ref="AY97" ca="1" si="425">SUM(AY98:AY101)</f>
        <v>-10000</v>
      </c>
      <c r="AZ97" s="76">
        <f t="shared" ref="AZ97" ca="1" si="426">SUM(AZ98:AZ101)</f>
        <v>-10000</v>
      </c>
      <c r="BA97" s="76">
        <f t="shared" ref="BA97" ca="1" si="427">SUM(BA98:BA101)</f>
        <v>-10000</v>
      </c>
      <c r="BB97" s="76">
        <f t="shared" ref="BB97" ca="1" si="428">SUM(BB98:BB101)</f>
        <v>-10000</v>
      </c>
      <c r="BC97" s="76">
        <f t="shared" ref="BC97" ca="1" si="429">SUM(BC98:BC101)</f>
        <v>-10000</v>
      </c>
      <c r="BD97" s="76">
        <f t="shared" ref="BD97" ca="1" si="430">SUM(BD98:BD101)</f>
        <v>-10000</v>
      </c>
      <c r="BE97" s="76">
        <f t="shared" ref="BE97" ca="1" si="431">SUM(BE98:BE101)</f>
        <v>-10000</v>
      </c>
      <c r="BF97" s="76">
        <f t="shared" ref="BF97" ca="1" si="432">SUM(BF98:BF101)</f>
        <v>-10000</v>
      </c>
      <c r="BG97" s="76">
        <f t="shared" ref="BG97" ca="1" si="433">SUM(BG98:BG101)</f>
        <v>-10000</v>
      </c>
      <c r="BH97" s="76">
        <f t="shared" ref="BH97" ca="1" si="434">SUM(BH98:BH101)</f>
        <v>-10000</v>
      </c>
      <c r="BI97" s="76">
        <f t="shared" ref="BI97" ca="1" si="435">SUM(BI98:BI101)</f>
        <v>-10000</v>
      </c>
      <c r="BJ97" s="76">
        <f t="shared" ref="BJ97" ca="1" si="436">SUM(BJ98:BJ101)</f>
        <v>-10000</v>
      </c>
      <c r="BK97" s="76">
        <f t="shared" ref="BK97" ca="1" si="437">SUM(BK98:BK101)</f>
        <v>-10000</v>
      </c>
    </row>
    <row r="98" spans="1:63" x14ac:dyDescent="0.2">
      <c r="A98" s="147"/>
      <c r="B98" s="77" t="str">
        <f>Lists!$A$28</f>
        <v>Fixed (Monthly)</v>
      </c>
      <c r="C98" s="9"/>
      <c r="D98" s="76">
        <f t="shared" ref="D98:AI98" ca="1" si="438">SUMIFS(INDIRECT("BusinessModelAssumptions[Cost]"),INDIRECT("BusinessModelAssumptions[Stage]"),PostRelease,INDIRECT("BusinessModelAssumptions[Category]"),$B97,INDIRECT("BusinessModelAssumptions[Post-Cost Type]"),$B98)</f>
        <v>-10000</v>
      </c>
      <c r="E98" s="76">
        <f t="shared" ca="1" si="438"/>
        <v>-10000</v>
      </c>
      <c r="F98" s="76">
        <f t="shared" ca="1" si="438"/>
        <v>-10000</v>
      </c>
      <c r="G98" s="76">
        <f t="shared" ca="1" si="438"/>
        <v>-10000</v>
      </c>
      <c r="H98" s="76">
        <f t="shared" ca="1" si="438"/>
        <v>-10000</v>
      </c>
      <c r="I98" s="76">
        <f t="shared" ca="1" si="438"/>
        <v>-10000</v>
      </c>
      <c r="J98" s="76">
        <f t="shared" ca="1" si="438"/>
        <v>-10000</v>
      </c>
      <c r="K98" s="76">
        <f t="shared" ca="1" si="438"/>
        <v>-10000</v>
      </c>
      <c r="L98" s="76">
        <f t="shared" ca="1" si="438"/>
        <v>-10000</v>
      </c>
      <c r="M98" s="76">
        <f t="shared" ca="1" si="438"/>
        <v>-10000</v>
      </c>
      <c r="N98" s="76">
        <f t="shared" ca="1" si="438"/>
        <v>-10000</v>
      </c>
      <c r="O98" s="76">
        <f t="shared" ca="1" si="438"/>
        <v>-10000</v>
      </c>
      <c r="P98" s="76">
        <f t="shared" ca="1" si="438"/>
        <v>-10000</v>
      </c>
      <c r="Q98" s="76">
        <f t="shared" ca="1" si="438"/>
        <v>-10000</v>
      </c>
      <c r="R98" s="76">
        <f t="shared" ca="1" si="438"/>
        <v>-10000</v>
      </c>
      <c r="S98" s="76">
        <f t="shared" ca="1" si="438"/>
        <v>-10000</v>
      </c>
      <c r="T98" s="76">
        <f t="shared" ca="1" si="438"/>
        <v>-10000</v>
      </c>
      <c r="U98" s="76">
        <f t="shared" ca="1" si="438"/>
        <v>-10000</v>
      </c>
      <c r="V98" s="76">
        <f t="shared" ca="1" si="438"/>
        <v>-10000</v>
      </c>
      <c r="W98" s="76">
        <f t="shared" ca="1" si="438"/>
        <v>-10000</v>
      </c>
      <c r="X98" s="76">
        <f t="shared" ca="1" si="438"/>
        <v>-10000</v>
      </c>
      <c r="Y98" s="76">
        <f t="shared" ca="1" si="438"/>
        <v>-10000</v>
      </c>
      <c r="Z98" s="76">
        <f t="shared" ca="1" si="438"/>
        <v>-10000</v>
      </c>
      <c r="AA98" s="76">
        <f t="shared" ca="1" si="438"/>
        <v>-10000</v>
      </c>
      <c r="AB98" s="76">
        <f t="shared" ca="1" si="438"/>
        <v>-10000</v>
      </c>
      <c r="AC98" s="76">
        <f t="shared" ca="1" si="438"/>
        <v>-10000</v>
      </c>
      <c r="AD98" s="76">
        <f t="shared" ca="1" si="438"/>
        <v>-10000</v>
      </c>
      <c r="AE98" s="76">
        <f t="shared" ca="1" si="438"/>
        <v>-10000</v>
      </c>
      <c r="AF98" s="76">
        <f t="shared" ca="1" si="438"/>
        <v>-10000</v>
      </c>
      <c r="AG98" s="76">
        <f t="shared" ca="1" si="438"/>
        <v>-10000</v>
      </c>
      <c r="AH98" s="76">
        <f t="shared" ca="1" si="438"/>
        <v>-10000</v>
      </c>
      <c r="AI98" s="76">
        <f t="shared" ca="1" si="438"/>
        <v>-10000</v>
      </c>
      <c r="AJ98" s="76">
        <f t="shared" ref="AJ98:BK98" ca="1" si="439">SUMIFS(INDIRECT("BusinessModelAssumptions[Cost]"),INDIRECT("BusinessModelAssumptions[Stage]"),PostRelease,INDIRECT("BusinessModelAssumptions[Category]"),$B97,INDIRECT("BusinessModelAssumptions[Post-Cost Type]"),$B98)</f>
        <v>-10000</v>
      </c>
      <c r="AK98" s="76">
        <f t="shared" ca="1" si="439"/>
        <v>-10000</v>
      </c>
      <c r="AL98" s="76">
        <f t="shared" ca="1" si="439"/>
        <v>-10000</v>
      </c>
      <c r="AM98" s="76">
        <f t="shared" ca="1" si="439"/>
        <v>-10000</v>
      </c>
      <c r="AN98" s="76">
        <f t="shared" ca="1" si="439"/>
        <v>-10000</v>
      </c>
      <c r="AO98" s="76">
        <f t="shared" ca="1" si="439"/>
        <v>-10000</v>
      </c>
      <c r="AP98" s="76">
        <f t="shared" ca="1" si="439"/>
        <v>-10000</v>
      </c>
      <c r="AQ98" s="76">
        <f t="shared" ca="1" si="439"/>
        <v>-10000</v>
      </c>
      <c r="AR98" s="76">
        <f t="shared" ca="1" si="439"/>
        <v>-10000</v>
      </c>
      <c r="AS98" s="76">
        <f t="shared" ca="1" si="439"/>
        <v>-10000</v>
      </c>
      <c r="AT98" s="76">
        <f t="shared" ca="1" si="439"/>
        <v>-10000</v>
      </c>
      <c r="AU98" s="76">
        <f t="shared" ca="1" si="439"/>
        <v>-10000</v>
      </c>
      <c r="AV98" s="76">
        <f t="shared" ca="1" si="439"/>
        <v>-10000</v>
      </c>
      <c r="AW98" s="76">
        <f t="shared" ca="1" si="439"/>
        <v>-10000</v>
      </c>
      <c r="AX98" s="76">
        <f t="shared" ca="1" si="439"/>
        <v>-10000</v>
      </c>
      <c r="AY98" s="76">
        <f t="shared" ca="1" si="439"/>
        <v>-10000</v>
      </c>
      <c r="AZ98" s="76">
        <f t="shared" ca="1" si="439"/>
        <v>-10000</v>
      </c>
      <c r="BA98" s="76">
        <f t="shared" ca="1" si="439"/>
        <v>-10000</v>
      </c>
      <c r="BB98" s="76">
        <f t="shared" ca="1" si="439"/>
        <v>-10000</v>
      </c>
      <c r="BC98" s="76">
        <f t="shared" ca="1" si="439"/>
        <v>-10000</v>
      </c>
      <c r="BD98" s="76">
        <f t="shared" ca="1" si="439"/>
        <v>-10000</v>
      </c>
      <c r="BE98" s="76">
        <f t="shared" ca="1" si="439"/>
        <v>-10000</v>
      </c>
      <c r="BF98" s="76">
        <f t="shared" ca="1" si="439"/>
        <v>-10000</v>
      </c>
      <c r="BG98" s="76">
        <f t="shared" ca="1" si="439"/>
        <v>-10000</v>
      </c>
      <c r="BH98" s="76">
        <f t="shared" ca="1" si="439"/>
        <v>-10000</v>
      </c>
      <c r="BI98" s="76">
        <f t="shared" ca="1" si="439"/>
        <v>-10000</v>
      </c>
      <c r="BJ98" s="76">
        <f t="shared" ca="1" si="439"/>
        <v>-10000</v>
      </c>
      <c r="BK98" s="76">
        <f t="shared" ca="1" si="439"/>
        <v>-10000</v>
      </c>
    </row>
    <row r="99" spans="1:63" x14ac:dyDescent="0.2">
      <c r="A99" s="147"/>
      <c r="B99" s="77" t="str">
        <f>Lists!$A$29</f>
        <v>Per Unit Sold</v>
      </c>
      <c r="C99" s="9"/>
      <c r="D99" s="76">
        <f t="shared" ref="D99:AI99" ca="1" si="440">SUMIFS(INDIRECT("BusinessModelAssumptions[Cost]"),INDIRECT("BusinessModelAssumptions[Stage]"),PostRelease,INDIRECT("BusinessModelAssumptions[Category]"),$B97,INDIRECT("BusinessModelAssumptions[Post-Cost Type]"),$B99)*TotalUnitsSold</f>
        <v>0</v>
      </c>
      <c r="E99" s="76">
        <f t="shared" ca="1" si="440"/>
        <v>0</v>
      </c>
      <c r="F99" s="76">
        <f t="shared" ca="1" si="440"/>
        <v>0</v>
      </c>
      <c r="G99" s="76">
        <f t="shared" ca="1" si="440"/>
        <v>0</v>
      </c>
      <c r="H99" s="76">
        <f t="shared" ca="1" si="440"/>
        <v>0</v>
      </c>
      <c r="I99" s="76">
        <f t="shared" ca="1" si="440"/>
        <v>0</v>
      </c>
      <c r="J99" s="76">
        <f t="shared" ca="1" si="440"/>
        <v>0</v>
      </c>
      <c r="K99" s="76">
        <f t="shared" ca="1" si="440"/>
        <v>0</v>
      </c>
      <c r="L99" s="76">
        <f t="shared" ca="1" si="440"/>
        <v>0</v>
      </c>
      <c r="M99" s="76">
        <f t="shared" ca="1" si="440"/>
        <v>0</v>
      </c>
      <c r="N99" s="76">
        <f t="shared" ca="1" si="440"/>
        <v>0</v>
      </c>
      <c r="O99" s="76">
        <f t="shared" ca="1" si="440"/>
        <v>0</v>
      </c>
      <c r="P99" s="76">
        <f t="shared" ca="1" si="440"/>
        <v>0</v>
      </c>
      <c r="Q99" s="76">
        <f t="shared" ca="1" si="440"/>
        <v>0</v>
      </c>
      <c r="R99" s="76">
        <f t="shared" ca="1" si="440"/>
        <v>0</v>
      </c>
      <c r="S99" s="76">
        <f t="shared" ca="1" si="440"/>
        <v>0</v>
      </c>
      <c r="T99" s="76">
        <f t="shared" ca="1" si="440"/>
        <v>0</v>
      </c>
      <c r="U99" s="76">
        <f t="shared" ca="1" si="440"/>
        <v>0</v>
      </c>
      <c r="V99" s="76">
        <f t="shared" ca="1" si="440"/>
        <v>0</v>
      </c>
      <c r="W99" s="76">
        <f t="shared" ca="1" si="440"/>
        <v>0</v>
      </c>
      <c r="X99" s="76">
        <f t="shared" ca="1" si="440"/>
        <v>0</v>
      </c>
      <c r="Y99" s="76">
        <f t="shared" ca="1" si="440"/>
        <v>0</v>
      </c>
      <c r="Z99" s="76">
        <f t="shared" ca="1" si="440"/>
        <v>0</v>
      </c>
      <c r="AA99" s="76">
        <f t="shared" ca="1" si="440"/>
        <v>0</v>
      </c>
      <c r="AB99" s="76">
        <f t="shared" ca="1" si="440"/>
        <v>0</v>
      </c>
      <c r="AC99" s="76">
        <f t="shared" ca="1" si="440"/>
        <v>0</v>
      </c>
      <c r="AD99" s="76">
        <f t="shared" ca="1" si="440"/>
        <v>0</v>
      </c>
      <c r="AE99" s="76">
        <f t="shared" ca="1" si="440"/>
        <v>0</v>
      </c>
      <c r="AF99" s="76">
        <f t="shared" ca="1" si="440"/>
        <v>0</v>
      </c>
      <c r="AG99" s="76">
        <f t="shared" ca="1" si="440"/>
        <v>0</v>
      </c>
      <c r="AH99" s="76">
        <f t="shared" ca="1" si="440"/>
        <v>0</v>
      </c>
      <c r="AI99" s="76">
        <f t="shared" ca="1" si="440"/>
        <v>0</v>
      </c>
      <c r="AJ99" s="76">
        <f t="shared" ref="AJ99:BK99" ca="1" si="441">SUMIFS(INDIRECT("BusinessModelAssumptions[Cost]"),INDIRECT("BusinessModelAssumptions[Stage]"),PostRelease,INDIRECT("BusinessModelAssumptions[Category]"),$B97,INDIRECT("BusinessModelAssumptions[Post-Cost Type]"),$B99)*TotalUnitsSold</f>
        <v>0</v>
      </c>
      <c r="AK99" s="76">
        <f t="shared" ca="1" si="441"/>
        <v>0</v>
      </c>
      <c r="AL99" s="76">
        <f t="shared" ca="1" si="441"/>
        <v>0</v>
      </c>
      <c r="AM99" s="76">
        <f t="shared" ca="1" si="441"/>
        <v>0</v>
      </c>
      <c r="AN99" s="76">
        <f t="shared" ca="1" si="441"/>
        <v>0</v>
      </c>
      <c r="AO99" s="76">
        <f t="shared" ca="1" si="441"/>
        <v>0</v>
      </c>
      <c r="AP99" s="76">
        <f t="shared" ca="1" si="441"/>
        <v>0</v>
      </c>
      <c r="AQ99" s="76">
        <f t="shared" ca="1" si="441"/>
        <v>0</v>
      </c>
      <c r="AR99" s="76">
        <f t="shared" ca="1" si="441"/>
        <v>0</v>
      </c>
      <c r="AS99" s="76">
        <f t="shared" ca="1" si="441"/>
        <v>0</v>
      </c>
      <c r="AT99" s="76">
        <f t="shared" ca="1" si="441"/>
        <v>0</v>
      </c>
      <c r="AU99" s="76">
        <f t="shared" ca="1" si="441"/>
        <v>0</v>
      </c>
      <c r="AV99" s="76">
        <f t="shared" ca="1" si="441"/>
        <v>0</v>
      </c>
      <c r="AW99" s="76">
        <f t="shared" ca="1" si="441"/>
        <v>0</v>
      </c>
      <c r="AX99" s="76">
        <f t="shared" ca="1" si="441"/>
        <v>0</v>
      </c>
      <c r="AY99" s="76">
        <f t="shared" ca="1" si="441"/>
        <v>0</v>
      </c>
      <c r="AZ99" s="76">
        <f t="shared" ca="1" si="441"/>
        <v>0</v>
      </c>
      <c r="BA99" s="76">
        <f t="shared" ca="1" si="441"/>
        <v>0</v>
      </c>
      <c r="BB99" s="76">
        <f t="shared" ca="1" si="441"/>
        <v>0</v>
      </c>
      <c r="BC99" s="76">
        <f t="shared" ca="1" si="441"/>
        <v>0</v>
      </c>
      <c r="BD99" s="76">
        <f t="shared" ca="1" si="441"/>
        <v>0</v>
      </c>
      <c r="BE99" s="76">
        <f t="shared" ca="1" si="441"/>
        <v>0</v>
      </c>
      <c r="BF99" s="76">
        <f t="shared" ca="1" si="441"/>
        <v>0</v>
      </c>
      <c r="BG99" s="76">
        <f t="shared" ca="1" si="441"/>
        <v>0</v>
      </c>
      <c r="BH99" s="76">
        <f t="shared" ca="1" si="441"/>
        <v>0</v>
      </c>
      <c r="BI99" s="76">
        <f t="shared" ca="1" si="441"/>
        <v>0</v>
      </c>
      <c r="BJ99" s="76">
        <f t="shared" ca="1" si="441"/>
        <v>0</v>
      </c>
      <c r="BK99" s="76">
        <f t="shared" ca="1" si="441"/>
        <v>0</v>
      </c>
    </row>
    <row r="100" spans="1:63" x14ac:dyDescent="0.2">
      <c r="A100" s="147"/>
      <c r="B100" s="77" t="str">
        <f>Lists!$A$30</f>
        <v>% of Revenue</v>
      </c>
      <c r="C100" s="9"/>
      <c r="D100" s="76">
        <f t="shared" ref="D100:AI100" ca="1" si="442">SUMIFS(INDIRECT("BusinessModelAssumptions[Cost]"),INDIRECT("BusinessModelAssumptions[Stage]"),PostRelease,INDIRECT("BusinessModelAssumptions[Category]"),$B97,INDIRECT("BusinessModelAssumptions[Post-Cost Type]"),$B100)*TotalRevenue *-1</f>
        <v>0</v>
      </c>
      <c r="E100" s="76">
        <f t="shared" ca="1" si="442"/>
        <v>0</v>
      </c>
      <c r="F100" s="76">
        <f t="shared" ca="1" si="442"/>
        <v>0</v>
      </c>
      <c r="G100" s="76">
        <f t="shared" ca="1" si="442"/>
        <v>0</v>
      </c>
      <c r="H100" s="76">
        <f t="shared" ca="1" si="442"/>
        <v>0</v>
      </c>
      <c r="I100" s="76">
        <f t="shared" ca="1" si="442"/>
        <v>0</v>
      </c>
      <c r="J100" s="76">
        <f t="shared" ca="1" si="442"/>
        <v>0</v>
      </c>
      <c r="K100" s="76">
        <f t="shared" ca="1" si="442"/>
        <v>0</v>
      </c>
      <c r="L100" s="76">
        <f t="shared" ca="1" si="442"/>
        <v>0</v>
      </c>
      <c r="M100" s="76">
        <f t="shared" ca="1" si="442"/>
        <v>0</v>
      </c>
      <c r="N100" s="76">
        <f t="shared" ca="1" si="442"/>
        <v>0</v>
      </c>
      <c r="O100" s="76">
        <f t="shared" ca="1" si="442"/>
        <v>0</v>
      </c>
      <c r="P100" s="76">
        <f t="shared" ca="1" si="442"/>
        <v>0</v>
      </c>
      <c r="Q100" s="76">
        <f t="shared" ca="1" si="442"/>
        <v>0</v>
      </c>
      <c r="R100" s="76">
        <f t="shared" ca="1" si="442"/>
        <v>0</v>
      </c>
      <c r="S100" s="76">
        <f t="shared" ca="1" si="442"/>
        <v>0</v>
      </c>
      <c r="T100" s="76">
        <f t="shared" ca="1" si="442"/>
        <v>0</v>
      </c>
      <c r="U100" s="76">
        <f t="shared" ca="1" si="442"/>
        <v>0</v>
      </c>
      <c r="V100" s="76">
        <f t="shared" ca="1" si="442"/>
        <v>0</v>
      </c>
      <c r="W100" s="76">
        <f t="shared" ca="1" si="442"/>
        <v>0</v>
      </c>
      <c r="X100" s="76">
        <f t="shared" ca="1" si="442"/>
        <v>0</v>
      </c>
      <c r="Y100" s="76">
        <f t="shared" ca="1" si="442"/>
        <v>0</v>
      </c>
      <c r="Z100" s="76">
        <f t="shared" ca="1" si="442"/>
        <v>0</v>
      </c>
      <c r="AA100" s="76">
        <f t="shared" ca="1" si="442"/>
        <v>0</v>
      </c>
      <c r="AB100" s="76">
        <f t="shared" ca="1" si="442"/>
        <v>0</v>
      </c>
      <c r="AC100" s="76">
        <f t="shared" ca="1" si="442"/>
        <v>0</v>
      </c>
      <c r="AD100" s="76">
        <f t="shared" ca="1" si="442"/>
        <v>0</v>
      </c>
      <c r="AE100" s="76">
        <f t="shared" ca="1" si="442"/>
        <v>0</v>
      </c>
      <c r="AF100" s="76">
        <f t="shared" ca="1" si="442"/>
        <v>0</v>
      </c>
      <c r="AG100" s="76">
        <f t="shared" ca="1" si="442"/>
        <v>0</v>
      </c>
      <c r="AH100" s="76">
        <f t="shared" ca="1" si="442"/>
        <v>0</v>
      </c>
      <c r="AI100" s="76">
        <f t="shared" ca="1" si="442"/>
        <v>0</v>
      </c>
      <c r="AJ100" s="76">
        <f t="shared" ref="AJ100:BK100" ca="1" si="443">SUMIFS(INDIRECT("BusinessModelAssumptions[Cost]"),INDIRECT("BusinessModelAssumptions[Stage]"),PostRelease,INDIRECT("BusinessModelAssumptions[Category]"),$B97,INDIRECT("BusinessModelAssumptions[Post-Cost Type]"),$B100)*TotalRevenue *-1</f>
        <v>0</v>
      </c>
      <c r="AK100" s="76">
        <f t="shared" ca="1" si="443"/>
        <v>0</v>
      </c>
      <c r="AL100" s="76">
        <f t="shared" ca="1" si="443"/>
        <v>0</v>
      </c>
      <c r="AM100" s="76">
        <f t="shared" ca="1" si="443"/>
        <v>0</v>
      </c>
      <c r="AN100" s="76">
        <f t="shared" ca="1" si="443"/>
        <v>0</v>
      </c>
      <c r="AO100" s="76">
        <f t="shared" ca="1" si="443"/>
        <v>0</v>
      </c>
      <c r="AP100" s="76">
        <f t="shared" ca="1" si="443"/>
        <v>0</v>
      </c>
      <c r="AQ100" s="76">
        <f t="shared" ca="1" si="443"/>
        <v>0</v>
      </c>
      <c r="AR100" s="76">
        <f t="shared" ca="1" si="443"/>
        <v>0</v>
      </c>
      <c r="AS100" s="76">
        <f t="shared" ca="1" si="443"/>
        <v>0</v>
      </c>
      <c r="AT100" s="76">
        <f t="shared" ca="1" si="443"/>
        <v>0</v>
      </c>
      <c r="AU100" s="76">
        <f t="shared" ca="1" si="443"/>
        <v>0</v>
      </c>
      <c r="AV100" s="76">
        <f t="shared" ca="1" si="443"/>
        <v>0</v>
      </c>
      <c r="AW100" s="76">
        <f t="shared" ca="1" si="443"/>
        <v>0</v>
      </c>
      <c r="AX100" s="76">
        <f t="shared" ca="1" si="443"/>
        <v>0</v>
      </c>
      <c r="AY100" s="76">
        <f t="shared" ca="1" si="443"/>
        <v>0</v>
      </c>
      <c r="AZ100" s="76">
        <f t="shared" ca="1" si="443"/>
        <v>0</v>
      </c>
      <c r="BA100" s="76">
        <f t="shared" ca="1" si="443"/>
        <v>0</v>
      </c>
      <c r="BB100" s="76">
        <f t="shared" ca="1" si="443"/>
        <v>0</v>
      </c>
      <c r="BC100" s="76">
        <f t="shared" ca="1" si="443"/>
        <v>0</v>
      </c>
      <c r="BD100" s="76">
        <f t="shared" ca="1" si="443"/>
        <v>0</v>
      </c>
      <c r="BE100" s="76">
        <f t="shared" ca="1" si="443"/>
        <v>0</v>
      </c>
      <c r="BF100" s="76">
        <f t="shared" ca="1" si="443"/>
        <v>0</v>
      </c>
      <c r="BG100" s="76">
        <f t="shared" ca="1" si="443"/>
        <v>0</v>
      </c>
      <c r="BH100" s="76">
        <f t="shared" ca="1" si="443"/>
        <v>0</v>
      </c>
      <c r="BI100" s="76">
        <f t="shared" ca="1" si="443"/>
        <v>0</v>
      </c>
      <c r="BJ100" s="76">
        <f t="shared" ca="1" si="443"/>
        <v>0</v>
      </c>
      <c r="BK100" s="76">
        <f t="shared" ca="1" si="443"/>
        <v>0</v>
      </c>
    </row>
    <row r="101" spans="1:63" x14ac:dyDescent="0.2">
      <c r="A101" s="147"/>
      <c r="B101" s="77" t="s">
        <v>111</v>
      </c>
      <c r="C101" s="9"/>
      <c r="D101" s="76"/>
      <c r="E101" s="76"/>
      <c r="F101" s="76"/>
      <c r="G101" s="76"/>
      <c r="H101" s="76"/>
      <c r="I101" s="76"/>
      <c r="J101" s="76"/>
      <c r="K101" s="76"/>
      <c r="L101" s="76"/>
      <c r="M101" s="76"/>
      <c r="N101" s="76"/>
      <c r="O101" s="76"/>
      <c r="P101" s="76"/>
      <c r="Q101" s="76"/>
      <c r="R101" s="76"/>
      <c r="S101" s="76"/>
      <c r="T101" s="76"/>
      <c r="U101" s="76"/>
      <c r="V101" s="76"/>
      <c r="W101" s="76"/>
      <c r="X101" s="76"/>
      <c r="Y101" s="76"/>
      <c r="Z101" s="76"/>
      <c r="AA101" s="76"/>
      <c r="AB101" s="76"/>
      <c r="AC101" s="76"/>
      <c r="AD101" s="76"/>
      <c r="AE101" s="76"/>
      <c r="AF101" s="76"/>
      <c r="AG101" s="76"/>
      <c r="AH101" s="76"/>
      <c r="AI101" s="76"/>
      <c r="AJ101" s="76"/>
      <c r="AK101" s="76"/>
      <c r="AL101" s="76"/>
      <c r="AM101" s="76"/>
      <c r="AN101" s="76"/>
      <c r="AO101" s="76"/>
      <c r="AP101" s="76"/>
      <c r="AQ101" s="76"/>
      <c r="AR101" s="76"/>
      <c r="AS101" s="76"/>
      <c r="AT101" s="76"/>
      <c r="AU101" s="76"/>
      <c r="AV101" s="76"/>
      <c r="AW101" s="76"/>
      <c r="AX101" s="76"/>
      <c r="AY101" s="76"/>
      <c r="AZ101" s="76"/>
      <c r="BA101" s="76"/>
      <c r="BB101" s="76"/>
      <c r="BC101" s="76"/>
      <c r="BD101" s="76"/>
      <c r="BE101" s="76"/>
      <c r="BF101" s="76"/>
      <c r="BG101" s="76"/>
      <c r="BH101" s="76"/>
      <c r="BI101" s="76"/>
      <c r="BJ101" s="76"/>
      <c r="BK101" s="76"/>
    </row>
    <row r="102" spans="1:63" x14ac:dyDescent="0.2">
      <c r="A102" s="147"/>
      <c r="B102" s="75" t="str">
        <f>Lists!A17</f>
        <v>Misc.</v>
      </c>
      <c r="C102" s="9"/>
      <c r="D102" s="76">
        <f ca="1">SUM(D103:D106)</f>
        <v>0</v>
      </c>
      <c r="E102" s="76">
        <f t="shared" ref="E102:AM102" ca="1" si="444">SUM(E103:E106)</f>
        <v>0</v>
      </c>
      <c r="F102" s="76">
        <f t="shared" ca="1" si="444"/>
        <v>0</v>
      </c>
      <c r="G102" s="76">
        <f t="shared" ca="1" si="444"/>
        <v>0</v>
      </c>
      <c r="H102" s="76">
        <f t="shared" ca="1" si="444"/>
        <v>0</v>
      </c>
      <c r="I102" s="76">
        <f t="shared" ca="1" si="444"/>
        <v>0</v>
      </c>
      <c r="J102" s="76">
        <f t="shared" ca="1" si="444"/>
        <v>0</v>
      </c>
      <c r="K102" s="76">
        <f t="shared" ca="1" si="444"/>
        <v>0</v>
      </c>
      <c r="L102" s="76">
        <f t="shared" ca="1" si="444"/>
        <v>0</v>
      </c>
      <c r="M102" s="76">
        <f t="shared" ca="1" si="444"/>
        <v>0</v>
      </c>
      <c r="N102" s="76">
        <f t="shared" ca="1" si="444"/>
        <v>0</v>
      </c>
      <c r="O102" s="76">
        <f t="shared" ca="1" si="444"/>
        <v>0</v>
      </c>
      <c r="P102" s="76">
        <f t="shared" ca="1" si="444"/>
        <v>0</v>
      </c>
      <c r="Q102" s="76">
        <f t="shared" ca="1" si="444"/>
        <v>0</v>
      </c>
      <c r="R102" s="76">
        <f t="shared" ca="1" si="444"/>
        <v>0</v>
      </c>
      <c r="S102" s="76">
        <f t="shared" ca="1" si="444"/>
        <v>0</v>
      </c>
      <c r="T102" s="76">
        <f t="shared" ca="1" si="444"/>
        <v>0</v>
      </c>
      <c r="U102" s="76">
        <f t="shared" ca="1" si="444"/>
        <v>0</v>
      </c>
      <c r="V102" s="76">
        <f t="shared" ca="1" si="444"/>
        <v>0</v>
      </c>
      <c r="W102" s="76">
        <f t="shared" ca="1" si="444"/>
        <v>0</v>
      </c>
      <c r="X102" s="76">
        <f t="shared" ca="1" si="444"/>
        <v>0</v>
      </c>
      <c r="Y102" s="76">
        <f t="shared" ca="1" si="444"/>
        <v>0</v>
      </c>
      <c r="Z102" s="76">
        <f t="shared" ca="1" si="444"/>
        <v>0</v>
      </c>
      <c r="AA102" s="76">
        <f t="shared" ca="1" si="444"/>
        <v>0</v>
      </c>
      <c r="AB102" s="76">
        <f t="shared" ca="1" si="444"/>
        <v>0</v>
      </c>
      <c r="AC102" s="76">
        <f t="shared" ca="1" si="444"/>
        <v>0</v>
      </c>
      <c r="AD102" s="76">
        <f t="shared" ca="1" si="444"/>
        <v>0</v>
      </c>
      <c r="AE102" s="76">
        <f t="shared" ca="1" si="444"/>
        <v>0</v>
      </c>
      <c r="AF102" s="76">
        <f t="shared" ca="1" si="444"/>
        <v>0</v>
      </c>
      <c r="AG102" s="76">
        <f t="shared" ca="1" si="444"/>
        <v>0</v>
      </c>
      <c r="AH102" s="76">
        <f t="shared" ca="1" si="444"/>
        <v>0</v>
      </c>
      <c r="AI102" s="76">
        <f t="shared" ca="1" si="444"/>
        <v>0</v>
      </c>
      <c r="AJ102" s="76">
        <f t="shared" ca="1" si="444"/>
        <v>0</v>
      </c>
      <c r="AK102" s="76">
        <f t="shared" ca="1" si="444"/>
        <v>0</v>
      </c>
      <c r="AL102" s="76">
        <f t="shared" ca="1" si="444"/>
        <v>0</v>
      </c>
      <c r="AM102" s="76">
        <f t="shared" ca="1" si="444"/>
        <v>0</v>
      </c>
      <c r="AN102" s="76">
        <f t="shared" ref="AN102" ca="1" si="445">SUM(AN103:AN106)</f>
        <v>0</v>
      </c>
      <c r="AO102" s="76">
        <f t="shared" ref="AO102" ca="1" si="446">SUM(AO103:AO106)</f>
        <v>0</v>
      </c>
      <c r="AP102" s="76">
        <f t="shared" ref="AP102" ca="1" si="447">SUM(AP103:AP106)</f>
        <v>0</v>
      </c>
      <c r="AQ102" s="76">
        <f t="shared" ref="AQ102" ca="1" si="448">SUM(AQ103:AQ106)</f>
        <v>0</v>
      </c>
      <c r="AR102" s="76">
        <f t="shared" ref="AR102" ca="1" si="449">SUM(AR103:AR106)</f>
        <v>0</v>
      </c>
      <c r="AS102" s="76">
        <f t="shared" ref="AS102" ca="1" si="450">SUM(AS103:AS106)</f>
        <v>0</v>
      </c>
      <c r="AT102" s="76">
        <f t="shared" ref="AT102" ca="1" si="451">SUM(AT103:AT106)</f>
        <v>0</v>
      </c>
      <c r="AU102" s="76">
        <f t="shared" ref="AU102" ca="1" si="452">SUM(AU103:AU106)</f>
        <v>0</v>
      </c>
      <c r="AV102" s="76">
        <f t="shared" ref="AV102" ca="1" si="453">SUM(AV103:AV106)</f>
        <v>0</v>
      </c>
      <c r="AW102" s="76">
        <f t="shared" ref="AW102" ca="1" si="454">SUM(AW103:AW106)</f>
        <v>0</v>
      </c>
      <c r="AX102" s="76">
        <f t="shared" ref="AX102" ca="1" si="455">SUM(AX103:AX106)</f>
        <v>0</v>
      </c>
      <c r="AY102" s="76">
        <f t="shared" ref="AY102" ca="1" si="456">SUM(AY103:AY106)</f>
        <v>0</v>
      </c>
      <c r="AZ102" s="76">
        <f t="shared" ref="AZ102" ca="1" si="457">SUM(AZ103:AZ106)</f>
        <v>0</v>
      </c>
      <c r="BA102" s="76">
        <f t="shared" ref="BA102" ca="1" si="458">SUM(BA103:BA106)</f>
        <v>0</v>
      </c>
      <c r="BB102" s="76">
        <f t="shared" ref="BB102" ca="1" si="459">SUM(BB103:BB106)</f>
        <v>0</v>
      </c>
      <c r="BC102" s="76">
        <f t="shared" ref="BC102" ca="1" si="460">SUM(BC103:BC106)</f>
        <v>0</v>
      </c>
      <c r="BD102" s="76">
        <f t="shared" ref="BD102" ca="1" si="461">SUM(BD103:BD106)</f>
        <v>0</v>
      </c>
      <c r="BE102" s="76">
        <f t="shared" ref="BE102" ca="1" si="462">SUM(BE103:BE106)</f>
        <v>0</v>
      </c>
      <c r="BF102" s="76">
        <f t="shared" ref="BF102" ca="1" si="463">SUM(BF103:BF106)</f>
        <v>0</v>
      </c>
      <c r="BG102" s="76">
        <f t="shared" ref="BG102" ca="1" si="464">SUM(BG103:BG106)</f>
        <v>0</v>
      </c>
      <c r="BH102" s="76">
        <f t="shared" ref="BH102" ca="1" si="465">SUM(BH103:BH106)</f>
        <v>0</v>
      </c>
      <c r="BI102" s="76">
        <f t="shared" ref="BI102" ca="1" si="466">SUM(BI103:BI106)</f>
        <v>0</v>
      </c>
      <c r="BJ102" s="76">
        <f t="shared" ref="BJ102" ca="1" si="467">SUM(BJ103:BJ106)</f>
        <v>0</v>
      </c>
      <c r="BK102" s="76">
        <f t="shared" ref="BK102" ca="1" si="468">SUM(BK103:BK106)</f>
        <v>0</v>
      </c>
    </row>
    <row r="103" spans="1:63" x14ac:dyDescent="0.2">
      <c r="A103" s="147"/>
      <c r="B103" s="77" t="str">
        <f>Lists!$A$28</f>
        <v>Fixed (Monthly)</v>
      </c>
      <c r="C103" s="9"/>
      <c r="D103" s="76">
        <f t="shared" ref="D103:AI103" ca="1" si="469">SUMIFS(INDIRECT("BusinessModelAssumptions[Cost]"),INDIRECT("BusinessModelAssumptions[Stage]"),PostRelease,INDIRECT("BusinessModelAssumptions[Category]"),$B102,INDIRECT("BusinessModelAssumptions[Post-Cost Type]"),$B103)</f>
        <v>0</v>
      </c>
      <c r="E103" s="76">
        <f t="shared" ca="1" si="469"/>
        <v>0</v>
      </c>
      <c r="F103" s="76">
        <f t="shared" ca="1" si="469"/>
        <v>0</v>
      </c>
      <c r="G103" s="76">
        <f t="shared" ca="1" si="469"/>
        <v>0</v>
      </c>
      <c r="H103" s="76">
        <f t="shared" ca="1" si="469"/>
        <v>0</v>
      </c>
      <c r="I103" s="76">
        <f t="shared" ca="1" si="469"/>
        <v>0</v>
      </c>
      <c r="J103" s="76">
        <f t="shared" ca="1" si="469"/>
        <v>0</v>
      </c>
      <c r="K103" s="76">
        <f t="shared" ca="1" si="469"/>
        <v>0</v>
      </c>
      <c r="L103" s="76">
        <f t="shared" ca="1" si="469"/>
        <v>0</v>
      </c>
      <c r="M103" s="76">
        <f t="shared" ca="1" si="469"/>
        <v>0</v>
      </c>
      <c r="N103" s="76">
        <f t="shared" ca="1" si="469"/>
        <v>0</v>
      </c>
      <c r="O103" s="76">
        <f t="shared" ca="1" si="469"/>
        <v>0</v>
      </c>
      <c r="P103" s="76">
        <f t="shared" ca="1" si="469"/>
        <v>0</v>
      </c>
      <c r="Q103" s="76">
        <f t="shared" ca="1" si="469"/>
        <v>0</v>
      </c>
      <c r="R103" s="76">
        <f t="shared" ca="1" si="469"/>
        <v>0</v>
      </c>
      <c r="S103" s="76">
        <f t="shared" ca="1" si="469"/>
        <v>0</v>
      </c>
      <c r="T103" s="76">
        <f t="shared" ca="1" si="469"/>
        <v>0</v>
      </c>
      <c r="U103" s="76">
        <f t="shared" ca="1" si="469"/>
        <v>0</v>
      </c>
      <c r="V103" s="76">
        <f t="shared" ca="1" si="469"/>
        <v>0</v>
      </c>
      <c r="W103" s="76">
        <f t="shared" ca="1" si="469"/>
        <v>0</v>
      </c>
      <c r="X103" s="76">
        <f t="shared" ca="1" si="469"/>
        <v>0</v>
      </c>
      <c r="Y103" s="76">
        <f t="shared" ca="1" si="469"/>
        <v>0</v>
      </c>
      <c r="Z103" s="76">
        <f t="shared" ca="1" si="469"/>
        <v>0</v>
      </c>
      <c r="AA103" s="76">
        <f t="shared" ca="1" si="469"/>
        <v>0</v>
      </c>
      <c r="AB103" s="76">
        <f t="shared" ca="1" si="469"/>
        <v>0</v>
      </c>
      <c r="AC103" s="76">
        <f t="shared" ca="1" si="469"/>
        <v>0</v>
      </c>
      <c r="AD103" s="76">
        <f t="shared" ca="1" si="469"/>
        <v>0</v>
      </c>
      <c r="AE103" s="76">
        <f t="shared" ca="1" si="469"/>
        <v>0</v>
      </c>
      <c r="AF103" s="76">
        <f t="shared" ca="1" si="469"/>
        <v>0</v>
      </c>
      <c r="AG103" s="76">
        <f t="shared" ca="1" si="469"/>
        <v>0</v>
      </c>
      <c r="AH103" s="76">
        <f t="shared" ca="1" si="469"/>
        <v>0</v>
      </c>
      <c r="AI103" s="76">
        <f t="shared" ca="1" si="469"/>
        <v>0</v>
      </c>
      <c r="AJ103" s="76">
        <f t="shared" ref="AJ103:BK103" ca="1" si="470">SUMIFS(INDIRECT("BusinessModelAssumptions[Cost]"),INDIRECT("BusinessModelAssumptions[Stage]"),PostRelease,INDIRECT("BusinessModelAssumptions[Category]"),$B102,INDIRECT("BusinessModelAssumptions[Post-Cost Type]"),$B103)</f>
        <v>0</v>
      </c>
      <c r="AK103" s="76">
        <f t="shared" ca="1" si="470"/>
        <v>0</v>
      </c>
      <c r="AL103" s="76">
        <f t="shared" ca="1" si="470"/>
        <v>0</v>
      </c>
      <c r="AM103" s="76">
        <f t="shared" ca="1" si="470"/>
        <v>0</v>
      </c>
      <c r="AN103" s="76">
        <f t="shared" ca="1" si="470"/>
        <v>0</v>
      </c>
      <c r="AO103" s="76">
        <f t="shared" ca="1" si="470"/>
        <v>0</v>
      </c>
      <c r="AP103" s="76">
        <f t="shared" ca="1" si="470"/>
        <v>0</v>
      </c>
      <c r="AQ103" s="76">
        <f t="shared" ca="1" si="470"/>
        <v>0</v>
      </c>
      <c r="AR103" s="76">
        <f t="shared" ca="1" si="470"/>
        <v>0</v>
      </c>
      <c r="AS103" s="76">
        <f t="shared" ca="1" si="470"/>
        <v>0</v>
      </c>
      <c r="AT103" s="76">
        <f t="shared" ca="1" si="470"/>
        <v>0</v>
      </c>
      <c r="AU103" s="76">
        <f t="shared" ca="1" si="470"/>
        <v>0</v>
      </c>
      <c r="AV103" s="76">
        <f t="shared" ca="1" si="470"/>
        <v>0</v>
      </c>
      <c r="AW103" s="76">
        <f t="shared" ca="1" si="470"/>
        <v>0</v>
      </c>
      <c r="AX103" s="76">
        <f t="shared" ca="1" si="470"/>
        <v>0</v>
      </c>
      <c r="AY103" s="76">
        <f t="shared" ca="1" si="470"/>
        <v>0</v>
      </c>
      <c r="AZ103" s="76">
        <f t="shared" ca="1" si="470"/>
        <v>0</v>
      </c>
      <c r="BA103" s="76">
        <f t="shared" ca="1" si="470"/>
        <v>0</v>
      </c>
      <c r="BB103" s="76">
        <f t="shared" ca="1" si="470"/>
        <v>0</v>
      </c>
      <c r="BC103" s="76">
        <f t="shared" ca="1" si="470"/>
        <v>0</v>
      </c>
      <c r="BD103" s="76">
        <f t="shared" ca="1" si="470"/>
        <v>0</v>
      </c>
      <c r="BE103" s="76">
        <f t="shared" ca="1" si="470"/>
        <v>0</v>
      </c>
      <c r="BF103" s="76">
        <f t="shared" ca="1" si="470"/>
        <v>0</v>
      </c>
      <c r="BG103" s="76">
        <f t="shared" ca="1" si="470"/>
        <v>0</v>
      </c>
      <c r="BH103" s="76">
        <f t="shared" ca="1" si="470"/>
        <v>0</v>
      </c>
      <c r="BI103" s="76">
        <f t="shared" ca="1" si="470"/>
        <v>0</v>
      </c>
      <c r="BJ103" s="76">
        <f t="shared" ca="1" si="470"/>
        <v>0</v>
      </c>
      <c r="BK103" s="76">
        <f t="shared" ca="1" si="470"/>
        <v>0</v>
      </c>
    </row>
    <row r="104" spans="1:63" x14ac:dyDescent="0.2">
      <c r="A104" s="147"/>
      <c r="B104" s="77" t="str">
        <f>Lists!$A$29</f>
        <v>Per Unit Sold</v>
      </c>
      <c r="C104" s="9"/>
      <c r="D104" s="76">
        <f t="shared" ref="D104:AI104" ca="1" si="471">SUMIFS(INDIRECT("BusinessModelAssumptions[Cost]"),INDIRECT("BusinessModelAssumptions[Stage]"),PostRelease,INDIRECT("BusinessModelAssumptions[Category]"),$B102,INDIRECT("BusinessModelAssumptions[Post-Cost Type]"),$B104)*TotalUnitsSold</f>
        <v>0</v>
      </c>
      <c r="E104" s="76">
        <f t="shared" ca="1" si="471"/>
        <v>0</v>
      </c>
      <c r="F104" s="76">
        <f t="shared" ca="1" si="471"/>
        <v>0</v>
      </c>
      <c r="G104" s="76">
        <f t="shared" ca="1" si="471"/>
        <v>0</v>
      </c>
      <c r="H104" s="76">
        <f t="shared" ca="1" si="471"/>
        <v>0</v>
      </c>
      <c r="I104" s="76">
        <f t="shared" ca="1" si="471"/>
        <v>0</v>
      </c>
      <c r="J104" s="76">
        <f t="shared" ca="1" si="471"/>
        <v>0</v>
      </c>
      <c r="K104" s="76">
        <f t="shared" ca="1" si="471"/>
        <v>0</v>
      </c>
      <c r="L104" s="76">
        <f t="shared" ca="1" si="471"/>
        <v>0</v>
      </c>
      <c r="M104" s="76">
        <f t="shared" ca="1" si="471"/>
        <v>0</v>
      </c>
      <c r="N104" s="76">
        <f t="shared" ca="1" si="471"/>
        <v>0</v>
      </c>
      <c r="O104" s="76">
        <f t="shared" ca="1" si="471"/>
        <v>0</v>
      </c>
      <c r="P104" s="76">
        <f t="shared" ca="1" si="471"/>
        <v>0</v>
      </c>
      <c r="Q104" s="76">
        <f t="shared" ca="1" si="471"/>
        <v>0</v>
      </c>
      <c r="R104" s="76">
        <f t="shared" ca="1" si="471"/>
        <v>0</v>
      </c>
      <c r="S104" s="76">
        <f t="shared" ca="1" si="471"/>
        <v>0</v>
      </c>
      <c r="T104" s="76">
        <f t="shared" ca="1" si="471"/>
        <v>0</v>
      </c>
      <c r="U104" s="76">
        <f t="shared" ca="1" si="471"/>
        <v>0</v>
      </c>
      <c r="V104" s="76">
        <f t="shared" ca="1" si="471"/>
        <v>0</v>
      </c>
      <c r="W104" s="76">
        <f t="shared" ca="1" si="471"/>
        <v>0</v>
      </c>
      <c r="X104" s="76">
        <f t="shared" ca="1" si="471"/>
        <v>0</v>
      </c>
      <c r="Y104" s="76">
        <f t="shared" ca="1" si="471"/>
        <v>0</v>
      </c>
      <c r="Z104" s="76">
        <f t="shared" ca="1" si="471"/>
        <v>0</v>
      </c>
      <c r="AA104" s="76">
        <f t="shared" ca="1" si="471"/>
        <v>0</v>
      </c>
      <c r="AB104" s="76">
        <f t="shared" ca="1" si="471"/>
        <v>0</v>
      </c>
      <c r="AC104" s="76">
        <f t="shared" ca="1" si="471"/>
        <v>0</v>
      </c>
      <c r="AD104" s="76">
        <f t="shared" ca="1" si="471"/>
        <v>0</v>
      </c>
      <c r="AE104" s="76">
        <f t="shared" ca="1" si="471"/>
        <v>0</v>
      </c>
      <c r="AF104" s="76">
        <f t="shared" ca="1" si="471"/>
        <v>0</v>
      </c>
      <c r="AG104" s="76">
        <f t="shared" ca="1" si="471"/>
        <v>0</v>
      </c>
      <c r="AH104" s="76">
        <f t="shared" ca="1" si="471"/>
        <v>0</v>
      </c>
      <c r="AI104" s="76">
        <f t="shared" ca="1" si="471"/>
        <v>0</v>
      </c>
      <c r="AJ104" s="76">
        <f t="shared" ref="AJ104:BK104" ca="1" si="472">SUMIFS(INDIRECT("BusinessModelAssumptions[Cost]"),INDIRECT("BusinessModelAssumptions[Stage]"),PostRelease,INDIRECT("BusinessModelAssumptions[Category]"),$B102,INDIRECT("BusinessModelAssumptions[Post-Cost Type]"),$B104)*TotalUnitsSold</f>
        <v>0</v>
      </c>
      <c r="AK104" s="76">
        <f t="shared" ca="1" si="472"/>
        <v>0</v>
      </c>
      <c r="AL104" s="76">
        <f t="shared" ca="1" si="472"/>
        <v>0</v>
      </c>
      <c r="AM104" s="76">
        <f t="shared" ca="1" si="472"/>
        <v>0</v>
      </c>
      <c r="AN104" s="76">
        <f t="shared" ca="1" si="472"/>
        <v>0</v>
      </c>
      <c r="AO104" s="76">
        <f t="shared" ca="1" si="472"/>
        <v>0</v>
      </c>
      <c r="AP104" s="76">
        <f t="shared" ca="1" si="472"/>
        <v>0</v>
      </c>
      <c r="AQ104" s="76">
        <f t="shared" ca="1" si="472"/>
        <v>0</v>
      </c>
      <c r="AR104" s="76">
        <f t="shared" ca="1" si="472"/>
        <v>0</v>
      </c>
      <c r="AS104" s="76">
        <f t="shared" ca="1" si="472"/>
        <v>0</v>
      </c>
      <c r="AT104" s="76">
        <f t="shared" ca="1" si="472"/>
        <v>0</v>
      </c>
      <c r="AU104" s="76">
        <f t="shared" ca="1" si="472"/>
        <v>0</v>
      </c>
      <c r="AV104" s="76">
        <f t="shared" ca="1" si="472"/>
        <v>0</v>
      </c>
      <c r="AW104" s="76">
        <f t="shared" ca="1" si="472"/>
        <v>0</v>
      </c>
      <c r="AX104" s="76">
        <f t="shared" ca="1" si="472"/>
        <v>0</v>
      </c>
      <c r="AY104" s="76">
        <f t="shared" ca="1" si="472"/>
        <v>0</v>
      </c>
      <c r="AZ104" s="76">
        <f t="shared" ca="1" si="472"/>
        <v>0</v>
      </c>
      <c r="BA104" s="76">
        <f t="shared" ca="1" si="472"/>
        <v>0</v>
      </c>
      <c r="BB104" s="76">
        <f t="shared" ca="1" si="472"/>
        <v>0</v>
      </c>
      <c r="BC104" s="76">
        <f t="shared" ca="1" si="472"/>
        <v>0</v>
      </c>
      <c r="BD104" s="76">
        <f t="shared" ca="1" si="472"/>
        <v>0</v>
      </c>
      <c r="BE104" s="76">
        <f t="shared" ca="1" si="472"/>
        <v>0</v>
      </c>
      <c r="BF104" s="76">
        <f t="shared" ca="1" si="472"/>
        <v>0</v>
      </c>
      <c r="BG104" s="76">
        <f t="shared" ca="1" si="472"/>
        <v>0</v>
      </c>
      <c r="BH104" s="76">
        <f t="shared" ca="1" si="472"/>
        <v>0</v>
      </c>
      <c r="BI104" s="76">
        <f t="shared" ca="1" si="472"/>
        <v>0</v>
      </c>
      <c r="BJ104" s="76">
        <f t="shared" ca="1" si="472"/>
        <v>0</v>
      </c>
      <c r="BK104" s="76">
        <f t="shared" ca="1" si="472"/>
        <v>0</v>
      </c>
    </row>
    <row r="105" spans="1:63" x14ac:dyDescent="0.2">
      <c r="A105" s="147"/>
      <c r="B105" s="77" t="str">
        <f>Lists!$A$30</f>
        <v>% of Revenue</v>
      </c>
      <c r="C105" s="9"/>
      <c r="D105" s="76">
        <f t="shared" ref="D105:AI105" ca="1" si="473">SUMIFS(INDIRECT("BusinessModelAssumptions[Cost]"),INDIRECT("BusinessModelAssumptions[Stage]"),PostRelease,INDIRECT("BusinessModelAssumptions[Category]"),$B102,INDIRECT("BusinessModelAssumptions[Post-Cost Type]"),$B105)*TotalRevenue *-1</f>
        <v>0</v>
      </c>
      <c r="E105" s="76">
        <f t="shared" ca="1" si="473"/>
        <v>0</v>
      </c>
      <c r="F105" s="76">
        <f t="shared" ca="1" si="473"/>
        <v>0</v>
      </c>
      <c r="G105" s="76">
        <f t="shared" ca="1" si="473"/>
        <v>0</v>
      </c>
      <c r="H105" s="76">
        <f t="shared" ca="1" si="473"/>
        <v>0</v>
      </c>
      <c r="I105" s="76">
        <f t="shared" ca="1" si="473"/>
        <v>0</v>
      </c>
      <c r="J105" s="76">
        <f t="shared" ca="1" si="473"/>
        <v>0</v>
      </c>
      <c r="K105" s="76">
        <f t="shared" ca="1" si="473"/>
        <v>0</v>
      </c>
      <c r="L105" s="76">
        <f t="shared" ca="1" si="473"/>
        <v>0</v>
      </c>
      <c r="M105" s="76">
        <f t="shared" ca="1" si="473"/>
        <v>0</v>
      </c>
      <c r="N105" s="76">
        <f t="shared" ca="1" si="473"/>
        <v>0</v>
      </c>
      <c r="O105" s="76">
        <f t="shared" ca="1" si="473"/>
        <v>0</v>
      </c>
      <c r="P105" s="76">
        <f t="shared" ca="1" si="473"/>
        <v>0</v>
      </c>
      <c r="Q105" s="76">
        <f t="shared" ca="1" si="473"/>
        <v>0</v>
      </c>
      <c r="R105" s="76">
        <f t="shared" ca="1" si="473"/>
        <v>0</v>
      </c>
      <c r="S105" s="76">
        <f t="shared" ca="1" si="473"/>
        <v>0</v>
      </c>
      <c r="T105" s="76">
        <f t="shared" ca="1" si="473"/>
        <v>0</v>
      </c>
      <c r="U105" s="76">
        <f t="shared" ca="1" si="473"/>
        <v>0</v>
      </c>
      <c r="V105" s="76">
        <f t="shared" ca="1" si="473"/>
        <v>0</v>
      </c>
      <c r="W105" s="76">
        <f t="shared" ca="1" si="473"/>
        <v>0</v>
      </c>
      <c r="X105" s="76">
        <f t="shared" ca="1" si="473"/>
        <v>0</v>
      </c>
      <c r="Y105" s="76">
        <f t="shared" ca="1" si="473"/>
        <v>0</v>
      </c>
      <c r="Z105" s="76">
        <f t="shared" ca="1" si="473"/>
        <v>0</v>
      </c>
      <c r="AA105" s="76">
        <f t="shared" ca="1" si="473"/>
        <v>0</v>
      </c>
      <c r="AB105" s="76">
        <f t="shared" ca="1" si="473"/>
        <v>0</v>
      </c>
      <c r="AC105" s="76">
        <f t="shared" ca="1" si="473"/>
        <v>0</v>
      </c>
      <c r="AD105" s="76">
        <f t="shared" ca="1" si="473"/>
        <v>0</v>
      </c>
      <c r="AE105" s="76">
        <f t="shared" ca="1" si="473"/>
        <v>0</v>
      </c>
      <c r="AF105" s="76">
        <f t="shared" ca="1" si="473"/>
        <v>0</v>
      </c>
      <c r="AG105" s="76">
        <f t="shared" ca="1" si="473"/>
        <v>0</v>
      </c>
      <c r="AH105" s="76">
        <f t="shared" ca="1" si="473"/>
        <v>0</v>
      </c>
      <c r="AI105" s="76">
        <f t="shared" ca="1" si="473"/>
        <v>0</v>
      </c>
      <c r="AJ105" s="76">
        <f t="shared" ref="AJ105:BK105" ca="1" si="474">SUMIFS(INDIRECT("BusinessModelAssumptions[Cost]"),INDIRECT("BusinessModelAssumptions[Stage]"),PostRelease,INDIRECT("BusinessModelAssumptions[Category]"),$B102,INDIRECT("BusinessModelAssumptions[Post-Cost Type]"),$B105)*TotalRevenue *-1</f>
        <v>0</v>
      </c>
      <c r="AK105" s="76">
        <f t="shared" ca="1" si="474"/>
        <v>0</v>
      </c>
      <c r="AL105" s="76">
        <f t="shared" ca="1" si="474"/>
        <v>0</v>
      </c>
      <c r="AM105" s="76">
        <f t="shared" ca="1" si="474"/>
        <v>0</v>
      </c>
      <c r="AN105" s="76">
        <f t="shared" ca="1" si="474"/>
        <v>0</v>
      </c>
      <c r="AO105" s="76">
        <f t="shared" ca="1" si="474"/>
        <v>0</v>
      </c>
      <c r="AP105" s="76">
        <f t="shared" ca="1" si="474"/>
        <v>0</v>
      </c>
      <c r="AQ105" s="76">
        <f t="shared" ca="1" si="474"/>
        <v>0</v>
      </c>
      <c r="AR105" s="76">
        <f t="shared" ca="1" si="474"/>
        <v>0</v>
      </c>
      <c r="AS105" s="76">
        <f t="shared" ca="1" si="474"/>
        <v>0</v>
      </c>
      <c r="AT105" s="76">
        <f t="shared" ca="1" si="474"/>
        <v>0</v>
      </c>
      <c r="AU105" s="76">
        <f t="shared" ca="1" si="474"/>
        <v>0</v>
      </c>
      <c r="AV105" s="76">
        <f t="shared" ca="1" si="474"/>
        <v>0</v>
      </c>
      <c r="AW105" s="76">
        <f t="shared" ca="1" si="474"/>
        <v>0</v>
      </c>
      <c r="AX105" s="76">
        <f t="shared" ca="1" si="474"/>
        <v>0</v>
      </c>
      <c r="AY105" s="76">
        <f t="shared" ca="1" si="474"/>
        <v>0</v>
      </c>
      <c r="AZ105" s="76">
        <f t="shared" ca="1" si="474"/>
        <v>0</v>
      </c>
      <c r="BA105" s="76">
        <f t="shared" ca="1" si="474"/>
        <v>0</v>
      </c>
      <c r="BB105" s="76">
        <f t="shared" ca="1" si="474"/>
        <v>0</v>
      </c>
      <c r="BC105" s="76">
        <f t="shared" ca="1" si="474"/>
        <v>0</v>
      </c>
      <c r="BD105" s="76">
        <f t="shared" ca="1" si="474"/>
        <v>0</v>
      </c>
      <c r="BE105" s="76">
        <f t="shared" ca="1" si="474"/>
        <v>0</v>
      </c>
      <c r="BF105" s="76">
        <f t="shared" ca="1" si="474"/>
        <v>0</v>
      </c>
      <c r="BG105" s="76">
        <f t="shared" ca="1" si="474"/>
        <v>0</v>
      </c>
      <c r="BH105" s="76">
        <f t="shared" ca="1" si="474"/>
        <v>0</v>
      </c>
      <c r="BI105" s="76">
        <f t="shared" ca="1" si="474"/>
        <v>0</v>
      </c>
      <c r="BJ105" s="76">
        <f t="shared" ca="1" si="474"/>
        <v>0</v>
      </c>
      <c r="BK105" s="76">
        <f t="shared" ca="1" si="474"/>
        <v>0</v>
      </c>
    </row>
    <row r="106" spans="1:63" x14ac:dyDescent="0.2">
      <c r="A106" s="147"/>
      <c r="B106" s="77" t="s">
        <v>111</v>
      </c>
      <c r="C106" s="9"/>
      <c r="D106" s="76"/>
      <c r="E106" s="76"/>
      <c r="F106" s="76"/>
      <c r="G106" s="76"/>
      <c r="H106" s="76"/>
      <c r="I106" s="76"/>
      <c r="J106" s="76"/>
      <c r="K106" s="76"/>
      <c r="L106" s="76"/>
      <c r="M106" s="76"/>
      <c r="N106" s="76"/>
      <c r="O106" s="76"/>
      <c r="P106" s="76"/>
      <c r="Q106" s="76"/>
      <c r="R106" s="76"/>
      <c r="S106" s="76"/>
      <c r="T106" s="76"/>
      <c r="U106" s="76"/>
      <c r="V106" s="76"/>
      <c r="W106" s="76"/>
      <c r="X106" s="76"/>
      <c r="Y106" s="76"/>
      <c r="Z106" s="76"/>
      <c r="AA106" s="76"/>
      <c r="AB106" s="76"/>
      <c r="AC106" s="76"/>
      <c r="AD106" s="76"/>
      <c r="AE106" s="76"/>
      <c r="AF106" s="76"/>
      <c r="AG106" s="76"/>
      <c r="AH106" s="76"/>
      <c r="AI106" s="76"/>
      <c r="AJ106" s="76"/>
      <c r="AK106" s="76"/>
      <c r="AL106" s="76"/>
      <c r="AM106" s="76"/>
      <c r="AN106" s="76"/>
      <c r="AO106" s="76"/>
      <c r="AP106" s="76"/>
      <c r="AQ106" s="76"/>
      <c r="AR106" s="76"/>
      <c r="AS106" s="76"/>
      <c r="AT106" s="76"/>
      <c r="AU106" s="76"/>
      <c r="AV106" s="76"/>
      <c r="AW106" s="76"/>
      <c r="AX106" s="76"/>
      <c r="AY106" s="76"/>
      <c r="AZ106" s="76"/>
      <c r="BA106" s="76"/>
      <c r="BB106" s="76"/>
      <c r="BC106" s="76"/>
      <c r="BD106" s="76"/>
      <c r="BE106" s="76"/>
      <c r="BF106" s="76"/>
      <c r="BG106" s="76"/>
      <c r="BH106" s="76"/>
      <c r="BI106" s="76"/>
      <c r="BJ106" s="76"/>
      <c r="BK106" s="76"/>
    </row>
    <row r="107" spans="1:63" x14ac:dyDescent="0.2">
      <c r="A107" s="147"/>
      <c r="B107" s="75" t="str">
        <f>Lists!A18</f>
        <v>N/A</v>
      </c>
      <c r="C107" s="9"/>
      <c r="D107" s="76">
        <f ca="1">SUM(D108:D111)</f>
        <v>0</v>
      </c>
      <c r="E107" s="76">
        <f t="shared" ref="E107:AM107" ca="1" si="475">SUM(E108:E111)</f>
        <v>0</v>
      </c>
      <c r="F107" s="76">
        <f t="shared" ca="1" si="475"/>
        <v>0</v>
      </c>
      <c r="G107" s="76">
        <f t="shared" ca="1" si="475"/>
        <v>0</v>
      </c>
      <c r="H107" s="76">
        <f t="shared" ca="1" si="475"/>
        <v>0</v>
      </c>
      <c r="I107" s="76">
        <f t="shared" ca="1" si="475"/>
        <v>0</v>
      </c>
      <c r="J107" s="76">
        <f t="shared" ca="1" si="475"/>
        <v>0</v>
      </c>
      <c r="K107" s="76">
        <f t="shared" ca="1" si="475"/>
        <v>0</v>
      </c>
      <c r="L107" s="76">
        <f t="shared" ca="1" si="475"/>
        <v>0</v>
      </c>
      <c r="M107" s="76">
        <f t="shared" ca="1" si="475"/>
        <v>0</v>
      </c>
      <c r="N107" s="76">
        <f t="shared" ca="1" si="475"/>
        <v>0</v>
      </c>
      <c r="O107" s="76">
        <f t="shared" ca="1" si="475"/>
        <v>0</v>
      </c>
      <c r="P107" s="76">
        <f t="shared" ca="1" si="475"/>
        <v>0</v>
      </c>
      <c r="Q107" s="76">
        <f t="shared" ca="1" si="475"/>
        <v>0</v>
      </c>
      <c r="R107" s="76">
        <f t="shared" ca="1" si="475"/>
        <v>0</v>
      </c>
      <c r="S107" s="76">
        <f t="shared" ca="1" si="475"/>
        <v>0</v>
      </c>
      <c r="T107" s="76">
        <f t="shared" ca="1" si="475"/>
        <v>0</v>
      </c>
      <c r="U107" s="76">
        <f t="shared" ca="1" si="475"/>
        <v>0</v>
      </c>
      <c r="V107" s="76">
        <f t="shared" ca="1" si="475"/>
        <v>0</v>
      </c>
      <c r="W107" s="76">
        <f t="shared" ca="1" si="475"/>
        <v>0</v>
      </c>
      <c r="X107" s="76">
        <f t="shared" ca="1" si="475"/>
        <v>0</v>
      </c>
      <c r="Y107" s="76">
        <f t="shared" ca="1" si="475"/>
        <v>0</v>
      </c>
      <c r="Z107" s="76">
        <f t="shared" ca="1" si="475"/>
        <v>0</v>
      </c>
      <c r="AA107" s="76">
        <f t="shared" ca="1" si="475"/>
        <v>0</v>
      </c>
      <c r="AB107" s="76">
        <f t="shared" ca="1" si="475"/>
        <v>0</v>
      </c>
      <c r="AC107" s="76">
        <f t="shared" ca="1" si="475"/>
        <v>0</v>
      </c>
      <c r="AD107" s="76">
        <f t="shared" ca="1" si="475"/>
        <v>0</v>
      </c>
      <c r="AE107" s="76">
        <f t="shared" ca="1" si="475"/>
        <v>0</v>
      </c>
      <c r="AF107" s="76">
        <f t="shared" ca="1" si="475"/>
        <v>0</v>
      </c>
      <c r="AG107" s="76">
        <f t="shared" ca="1" si="475"/>
        <v>0</v>
      </c>
      <c r="AH107" s="76">
        <f t="shared" ca="1" si="475"/>
        <v>0</v>
      </c>
      <c r="AI107" s="76">
        <f t="shared" ca="1" si="475"/>
        <v>0</v>
      </c>
      <c r="AJ107" s="76">
        <f t="shared" ca="1" si="475"/>
        <v>0</v>
      </c>
      <c r="AK107" s="76">
        <f t="shared" ca="1" si="475"/>
        <v>0</v>
      </c>
      <c r="AL107" s="76">
        <f t="shared" ca="1" si="475"/>
        <v>0</v>
      </c>
      <c r="AM107" s="76">
        <f t="shared" ca="1" si="475"/>
        <v>0</v>
      </c>
      <c r="AN107" s="76">
        <f t="shared" ref="AN107" ca="1" si="476">SUM(AN108:AN111)</f>
        <v>0</v>
      </c>
      <c r="AO107" s="76">
        <f t="shared" ref="AO107" ca="1" si="477">SUM(AO108:AO111)</f>
        <v>0</v>
      </c>
      <c r="AP107" s="76">
        <f t="shared" ref="AP107" ca="1" si="478">SUM(AP108:AP111)</f>
        <v>0</v>
      </c>
      <c r="AQ107" s="76">
        <f t="shared" ref="AQ107" ca="1" si="479">SUM(AQ108:AQ111)</f>
        <v>0</v>
      </c>
      <c r="AR107" s="76">
        <f t="shared" ref="AR107" ca="1" si="480">SUM(AR108:AR111)</f>
        <v>0</v>
      </c>
      <c r="AS107" s="76">
        <f t="shared" ref="AS107" ca="1" si="481">SUM(AS108:AS111)</f>
        <v>0</v>
      </c>
      <c r="AT107" s="76">
        <f t="shared" ref="AT107" ca="1" si="482">SUM(AT108:AT111)</f>
        <v>0</v>
      </c>
      <c r="AU107" s="76">
        <f t="shared" ref="AU107" ca="1" si="483">SUM(AU108:AU111)</f>
        <v>0</v>
      </c>
      <c r="AV107" s="76">
        <f t="shared" ref="AV107" ca="1" si="484">SUM(AV108:AV111)</f>
        <v>0</v>
      </c>
      <c r="AW107" s="76">
        <f t="shared" ref="AW107" ca="1" si="485">SUM(AW108:AW111)</f>
        <v>0</v>
      </c>
      <c r="AX107" s="76">
        <f t="shared" ref="AX107" ca="1" si="486">SUM(AX108:AX111)</f>
        <v>0</v>
      </c>
      <c r="AY107" s="76">
        <f t="shared" ref="AY107" ca="1" si="487">SUM(AY108:AY111)</f>
        <v>0</v>
      </c>
      <c r="AZ107" s="76">
        <f t="shared" ref="AZ107" ca="1" si="488">SUM(AZ108:AZ111)</f>
        <v>0</v>
      </c>
      <c r="BA107" s="76">
        <f t="shared" ref="BA107" ca="1" si="489">SUM(BA108:BA111)</f>
        <v>0</v>
      </c>
      <c r="BB107" s="76">
        <f t="shared" ref="BB107" ca="1" si="490">SUM(BB108:BB111)</f>
        <v>0</v>
      </c>
      <c r="BC107" s="76">
        <f t="shared" ref="BC107" ca="1" si="491">SUM(BC108:BC111)</f>
        <v>0</v>
      </c>
      <c r="BD107" s="76">
        <f t="shared" ref="BD107" ca="1" si="492">SUM(BD108:BD111)</f>
        <v>0</v>
      </c>
      <c r="BE107" s="76">
        <f t="shared" ref="BE107" ca="1" si="493">SUM(BE108:BE111)</f>
        <v>0</v>
      </c>
      <c r="BF107" s="76">
        <f t="shared" ref="BF107" ca="1" si="494">SUM(BF108:BF111)</f>
        <v>0</v>
      </c>
      <c r="BG107" s="76">
        <f t="shared" ref="BG107" ca="1" si="495">SUM(BG108:BG111)</f>
        <v>0</v>
      </c>
      <c r="BH107" s="76">
        <f t="shared" ref="BH107" ca="1" si="496">SUM(BH108:BH111)</f>
        <v>0</v>
      </c>
      <c r="BI107" s="76">
        <f t="shared" ref="BI107" ca="1" si="497">SUM(BI108:BI111)</f>
        <v>0</v>
      </c>
      <c r="BJ107" s="76">
        <f t="shared" ref="BJ107" ca="1" si="498">SUM(BJ108:BJ111)</f>
        <v>0</v>
      </c>
      <c r="BK107" s="76">
        <f t="shared" ref="BK107" ca="1" si="499">SUM(BK108:BK111)</f>
        <v>0</v>
      </c>
    </row>
    <row r="108" spans="1:63" x14ac:dyDescent="0.2">
      <c r="A108" s="147"/>
      <c r="B108" s="77" t="str">
        <f>Lists!$A$28</f>
        <v>Fixed (Monthly)</v>
      </c>
      <c r="C108" s="9"/>
      <c r="D108" s="76">
        <f t="shared" ref="D108:AI108" ca="1" si="500">SUMIFS(INDIRECT("BusinessModelAssumptions[Cost]"),INDIRECT("BusinessModelAssumptions[Stage]"),PostRelease,INDIRECT("BusinessModelAssumptions[Category]"),$B107,INDIRECT("BusinessModelAssumptions[Post-Cost Type]"),$B108)</f>
        <v>0</v>
      </c>
      <c r="E108" s="76">
        <f t="shared" ca="1" si="500"/>
        <v>0</v>
      </c>
      <c r="F108" s="76">
        <f t="shared" ca="1" si="500"/>
        <v>0</v>
      </c>
      <c r="G108" s="76">
        <f t="shared" ca="1" si="500"/>
        <v>0</v>
      </c>
      <c r="H108" s="76">
        <f t="shared" ca="1" si="500"/>
        <v>0</v>
      </c>
      <c r="I108" s="76">
        <f t="shared" ca="1" si="500"/>
        <v>0</v>
      </c>
      <c r="J108" s="76">
        <f t="shared" ca="1" si="500"/>
        <v>0</v>
      </c>
      <c r="K108" s="76">
        <f t="shared" ca="1" si="500"/>
        <v>0</v>
      </c>
      <c r="L108" s="76">
        <f t="shared" ca="1" si="500"/>
        <v>0</v>
      </c>
      <c r="M108" s="76">
        <f t="shared" ca="1" si="500"/>
        <v>0</v>
      </c>
      <c r="N108" s="76">
        <f t="shared" ca="1" si="500"/>
        <v>0</v>
      </c>
      <c r="O108" s="76">
        <f t="shared" ca="1" si="500"/>
        <v>0</v>
      </c>
      <c r="P108" s="76">
        <f t="shared" ca="1" si="500"/>
        <v>0</v>
      </c>
      <c r="Q108" s="76">
        <f t="shared" ca="1" si="500"/>
        <v>0</v>
      </c>
      <c r="R108" s="76">
        <f t="shared" ca="1" si="500"/>
        <v>0</v>
      </c>
      <c r="S108" s="76">
        <f t="shared" ca="1" si="500"/>
        <v>0</v>
      </c>
      <c r="T108" s="76">
        <f t="shared" ca="1" si="500"/>
        <v>0</v>
      </c>
      <c r="U108" s="76">
        <f t="shared" ca="1" si="500"/>
        <v>0</v>
      </c>
      <c r="V108" s="76">
        <f t="shared" ca="1" si="500"/>
        <v>0</v>
      </c>
      <c r="W108" s="76">
        <f t="shared" ca="1" si="500"/>
        <v>0</v>
      </c>
      <c r="X108" s="76">
        <f t="shared" ca="1" si="500"/>
        <v>0</v>
      </c>
      <c r="Y108" s="76">
        <f t="shared" ca="1" si="500"/>
        <v>0</v>
      </c>
      <c r="Z108" s="76">
        <f t="shared" ca="1" si="500"/>
        <v>0</v>
      </c>
      <c r="AA108" s="76">
        <f t="shared" ca="1" si="500"/>
        <v>0</v>
      </c>
      <c r="AB108" s="76">
        <f t="shared" ca="1" si="500"/>
        <v>0</v>
      </c>
      <c r="AC108" s="76">
        <f t="shared" ca="1" si="500"/>
        <v>0</v>
      </c>
      <c r="AD108" s="76">
        <f t="shared" ca="1" si="500"/>
        <v>0</v>
      </c>
      <c r="AE108" s="76">
        <f t="shared" ca="1" si="500"/>
        <v>0</v>
      </c>
      <c r="AF108" s="76">
        <f t="shared" ca="1" si="500"/>
        <v>0</v>
      </c>
      <c r="AG108" s="76">
        <f t="shared" ca="1" si="500"/>
        <v>0</v>
      </c>
      <c r="AH108" s="76">
        <f t="shared" ca="1" si="500"/>
        <v>0</v>
      </c>
      <c r="AI108" s="76">
        <f t="shared" ca="1" si="500"/>
        <v>0</v>
      </c>
      <c r="AJ108" s="76">
        <f t="shared" ref="AJ108:BK108" ca="1" si="501">SUMIFS(INDIRECT("BusinessModelAssumptions[Cost]"),INDIRECT("BusinessModelAssumptions[Stage]"),PostRelease,INDIRECT("BusinessModelAssumptions[Category]"),$B107,INDIRECT("BusinessModelAssumptions[Post-Cost Type]"),$B108)</f>
        <v>0</v>
      </c>
      <c r="AK108" s="76">
        <f t="shared" ca="1" si="501"/>
        <v>0</v>
      </c>
      <c r="AL108" s="76">
        <f t="shared" ca="1" si="501"/>
        <v>0</v>
      </c>
      <c r="AM108" s="76">
        <f t="shared" ca="1" si="501"/>
        <v>0</v>
      </c>
      <c r="AN108" s="76">
        <f t="shared" ca="1" si="501"/>
        <v>0</v>
      </c>
      <c r="AO108" s="76">
        <f t="shared" ca="1" si="501"/>
        <v>0</v>
      </c>
      <c r="AP108" s="76">
        <f t="shared" ca="1" si="501"/>
        <v>0</v>
      </c>
      <c r="AQ108" s="76">
        <f t="shared" ca="1" si="501"/>
        <v>0</v>
      </c>
      <c r="AR108" s="76">
        <f t="shared" ca="1" si="501"/>
        <v>0</v>
      </c>
      <c r="AS108" s="76">
        <f t="shared" ca="1" si="501"/>
        <v>0</v>
      </c>
      <c r="AT108" s="76">
        <f t="shared" ca="1" si="501"/>
        <v>0</v>
      </c>
      <c r="AU108" s="76">
        <f t="shared" ca="1" si="501"/>
        <v>0</v>
      </c>
      <c r="AV108" s="76">
        <f t="shared" ca="1" si="501"/>
        <v>0</v>
      </c>
      <c r="AW108" s="76">
        <f t="shared" ca="1" si="501"/>
        <v>0</v>
      </c>
      <c r="AX108" s="76">
        <f t="shared" ca="1" si="501"/>
        <v>0</v>
      </c>
      <c r="AY108" s="76">
        <f t="shared" ca="1" si="501"/>
        <v>0</v>
      </c>
      <c r="AZ108" s="76">
        <f t="shared" ca="1" si="501"/>
        <v>0</v>
      </c>
      <c r="BA108" s="76">
        <f t="shared" ca="1" si="501"/>
        <v>0</v>
      </c>
      <c r="BB108" s="76">
        <f t="shared" ca="1" si="501"/>
        <v>0</v>
      </c>
      <c r="BC108" s="76">
        <f t="shared" ca="1" si="501"/>
        <v>0</v>
      </c>
      <c r="BD108" s="76">
        <f t="shared" ca="1" si="501"/>
        <v>0</v>
      </c>
      <c r="BE108" s="76">
        <f t="shared" ca="1" si="501"/>
        <v>0</v>
      </c>
      <c r="BF108" s="76">
        <f t="shared" ca="1" si="501"/>
        <v>0</v>
      </c>
      <c r="BG108" s="76">
        <f t="shared" ca="1" si="501"/>
        <v>0</v>
      </c>
      <c r="BH108" s="76">
        <f t="shared" ca="1" si="501"/>
        <v>0</v>
      </c>
      <c r="BI108" s="76">
        <f t="shared" ca="1" si="501"/>
        <v>0</v>
      </c>
      <c r="BJ108" s="76">
        <f t="shared" ca="1" si="501"/>
        <v>0</v>
      </c>
      <c r="BK108" s="76">
        <f t="shared" ca="1" si="501"/>
        <v>0</v>
      </c>
    </row>
    <row r="109" spans="1:63" x14ac:dyDescent="0.2">
      <c r="A109" s="147"/>
      <c r="B109" s="77" t="str">
        <f>Lists!$A$29</f>
        <v>Per Unit Sold</v>
      </c>
      <c r="C109" s="9"/>
      <c r="D109" s="76">
        <f t="shared" ref="D109:AI109" ca="1" si="502">SUMIFS(INDIRECT("BusinessModelAssumptions[Cost]"),INDIRECT("BusinessModelAssumptions[Stage]"),PostRelease,INDIRECT("BusinessModelAssumptions[Category]"),$B107,INDIRECT("BusinessModelAssumptions[Post-Cost Type]"),$B109)*TotalUnitsSold</f>
        <v>0</v>
      </c>
      <c r="E109" s="76">
        <f t="shared" ca="1" si="502"/>
        <v>0</v>
      </c>
      <c r="F109" s="76">
        <f t="shared" ca="1" si="502"/>
        <v>0</v>
      </c>
      <c r="G109" s="76">
        <f t="shared" ca="1" si="502"/>
        <v>0</v>
      </c>
      <c r="H109" s="76">
        <f t="shared" ca="1" si="502"/>
        <v>0</v>
      </c>
      <c r="I109" s="76">
        <f t="shared" ca="1" si="502"/>
        <v>0</v>
      </c>
      <c r="J109" s="76">
        <f t="shared" ca="1" si="502"/>
        <v>0</v>
      </c>
      <c r="K109" s="76">
        <f t="shared" ca="1" si="502"/>
        <v>0</v>
      </c>
      <c r="L109" s="76">
        <f t="shared" ca="1" si="502"/>
        <v>0</v>
      </c>
      <c r="M109" s="76">
        <f t="shared" ca="1" si="502"/>
        <v>0</v>
      </c>
      <c r="N109" s="76">
        <f t="shared" ca="1" si="502"/>
        <v>0</v>
      </c>
      <c r="O109" s="76">
        <f t="shared" ca="1" si="502"/>
        <v>0</v>
      </c>
      <c r="P109" s="76">
        <f t="shared" ca="1" si="502"/>
        <v>0</v>
      </c>
      <c r="Q109" s="76">
        <f t="shared" ca="1" si="502"/>
        <v>0</v>
      </c>
      <c r="R109" s="76">
        <f t="shared" ca="1" si="502"/>
        <v>0</v>
      </c>
      <c r="S109" s="76">
        <f t="shared" ca="1" si="502"/>
        <v>0</v>
      </c>
      <c r="T109" s="76">
        <f t="shared" ca="1" si="502"/>
        <v>0</v>
      </c>
      <c r="U109" s="76">
        <f t="shared" ca="1" si="502"/>
        <v>0</v>
      </c>
      <c r="V109" s="76">
        <f t="shared" ca="1" si="502"/>
        <v>0</v>
      </c>
      <c r="W109" s="76">
        <f t="shared" ca="1" si="502"/>
        <v>0</v>
      </c>
      <c r="X109" s="76">
        <f t="shared" ca="1" si="502"/>
        <v>0</v>
      </c>
      <c r="Y109" s="76">
        <f t="shared" ca="1" si="502"/>
        <v>0</v>
      </c>
      <c r="Z109" s="76">
        <f t="shared" ca="1" si="502"/>
        <v>0</v>
      </c>
      <c r="AA109" s="76">
        <f t="shared" ca="1" si="502"/>
        <v>0</v>
      </c>
      <c r="AB109" s="76">
        <f t="shared" ca="1" si="502"/>
        <v>0</v>
      </c>
      <c r="AC109" s="76">
        <f t="shared" ca="1" si="502"/>
        <v>0</v>
      </c>
      <c r="AD109" s="76">
        <f t="shared" ca="1" si="502"/>
        <v>0</v>
      </c>
      <c r="AE109" s="76">
        <f t="shared" ca="1" si="502"/>
        <v>0</v>
      </c>
      <c r="AF109" s="76">
        <f t="shared" ca="1" si="502"/>
        <v>0</v>
      </c>
      <c r="AG109" s="76">
        <f t="shared" ca="1" si="502"/>
        <v>0</v>
      </c>
      <c r="AH109" s="76">
        <f t="shared" ca="1" si="502"/>
        <v>0</v>
      </c>
      <c r="AI109" s="76">
        <f t="shared" ca="1" si="502"/>
        <v>0</v>
      </c>
      <c r="AJ109" s="76">
        <f t="shared" ref="AJ109:BK109" ca="1" si="503">SUMIFS(INDIRECT("BusinessModelAssumptions[Cost]"),INDIRECT("BusinessModelAssumptions[Stage]"),PostRelease,INDIRECT("BusinessModelAssumptions[Category]"),$B107,INDIRECT("BusinessModelAssumptions[Post-Cost Type]"),$B109)*TotalUnitsSold</f>
        <v>0</v>
      </c>
      <c r="AK109" s="76">
        <f t="shared" ca="1" si="503"/>
        <v>0</v>
      </c>
      <c r="AL109" s="76">
        <f t="shared" ca="1" si="503"/>
        <v>0</v>
      </c>
      <c r="AM109" s="76">
        <f t="shared" ca="1" si="503"/>
        <v>0</v>
      </c>
      <c r="AN109" s="76">
        <f t="shared" ca="1" si="503"/>
        <v>0</v>
      </c>
      <c r="AO109" s="76">
        <f t="shared" ca="1" si="503"/>
        <v>0</v>
      </c>
      <c r="AP109" s="76">
        <f t="shared" ca="1" si="503"/>
        <v>0</v>
      </c>
      <c r="AQ109" s="76">
        <f t="shared" ca="1" si="503"/>
        <v>0</v>
      </c>
      <c r="AR109" s="76">
        <f t="shared" ca="1" si="503"/>
        <v>0</v>
      </c>
      <c r="AS109" s="76">
        <f t="shared" ca="1" si="503"/>
        <v>0</v>
      </c>
      <c r="AT109" s="76">
        <f t="shared" ca="1" si="503"/>
        <v>0</v>
      </c>
      <c r="AU109" s="76">
        <f t="shared" ca="1" si="503"/>
        <v>0</v>
      </c>
      <c r="AV109" s="76">
        <f t="shared" ca="1" si="503"/>
        <v>0</v>
      </c>
      <c r="AW109" s="76">
        <f t="shared" ca="1" si="503"/>
        <v>0</v>
      </c>
      <c r="AX109" s="76">
        <f t="shared" ca="1" si="503"/>
        <v>0</v>
      </c>
      <c r="AY109" s="76">
        <f t="shared" ca="1" si="503"/>
        <v>0</v>
      </c>
      <c r="AZ109" s="76">
        <f t="shared" ca="1" si="503"/>
        <v>0</v>
      </c>
      <c r="BA109" s="76">
        <f t="shared" ca="1" si="503"/>
        <v>0</v>
      </c>
      <c r="BB109" s="76">
        <f t="shared" ca="1" si="503"/>
        <v>0</v>
      </c>
      <c r="BC109" s="76">
        <f t="shared" ca="1" si="503"/>
        <v>0</v>
      </c>
      <c r="BD109" s="76">
        <f t="shared" ca="1" si="503"/>
        <v>0</v>
      </c>
      <c r="BE109" s="76">
        <f t="shared" ca="1" si="503"/>
        <v>0</v>
      </c>
      <c r="BF109" s="76">
        <f t="shared" ca="1" si="503"/>
        <v>0</v>
      </c>
      <c r="BG109" s="76">
        <f t="shared" ca="1" si="503"/>
        <v>0</v>
      </c>
      <c r="BH109" s="76">
        <f t="shared" ca="1" si="503"/>
        <v>0</v>
      </c>
      <c r="BI109" s="76">
        <f t="shared" ca="1" si="503"/>
        <v>0</v>
      </c>
      <c r="BJ109" s="76">
        <f t="shared" ca="1" si="503"/>
        <v>0</v>
      </c>
      <c r="BK109" s="76">
        <f t="shared" ca="1" si="503"/>
        <v>0</v>
      </c>
    </row>
    <row r="110" spans="1:63" x14ac:dyDescent="0.2">
      <c r="A110" s="147"/>
      <c r="B110" s="77" t="str">
        <f>Lists!$A$30</f>
        <v>% of Revenue</v>
      </c>
      <c r="C110" s="9"/>
      <c r="D110" s="76">
        <f t="shared" ref="D110:AI110" ca="1" si="504">SUMIFS(INDIRECT("BusinessModelAssumptions[Cost]"),INDIRECT("BusinessModelAssumptions[Stage]"),PostRelease,INDIRECT("BusinessModelAssumptions[Category]"),$B107,INDIRECT("BusinessModelAssumptions[Post-Cost Type]"),$B110)*TotalRevenue *-1</f>
        <v>0</v>
      </c>
      <c r="E110" s="76">
        <f t="shared" ca="1" si="504"/>
        <v>0</v>
      </c>
      <c r="F110" s="76">
        <f t="shared" ca="1" si="504"/>
        <v>0</v>
      </c>
      <c r="G110" s="76">
        <f t="shared" ca="1" si="504"/>
        <v>0</v>
      </c>
      <c r="H110" s="76">
        <f t="shared" ca="1" si="504"/>
        <v>0</v>
      </c>
      <c r="I110" s="76">
        <f t="shared" ca="1" si="504"/>
        <v>0</v>
      </c>
      <c r="J110" s="76">
        <f t="shared" ca="1" si="504"/>
        <v>0</v>
      </c>
      <c r="K110" s="76">
        <f t="shared" ca="1" si="504"/>
        <v>0</v>
      </c>
      <c r="L110" s="76">
        <f t="shared" ca="1" si="504"/>
        <v>0</v>
      </c>
      <c r="M110" s="76">
        <f t="shared" ca="1" si="504"/>
        <v>0</v>
      </c>
      <c r="N110" s="76">
        <f t="shared" ca="1" si="504"/>
        <v>0</v>
      </c>
      <c r="O110" s="76">
        <f t="shared" ca="1" si="504"/>
        <v>0</v>
      </c>
      <c r="P110" s="76">
        <f t="shared" ca="1" si="504"/>
        <v>0</v>
      </c>
      <c r="Q110" s="76">
        <f t="shared" ca="1" si="504"/>
        <v>0</v>
      </c>
      <c r="R110" s="76">
        <f t="shared" ca="1" si="504"/>
        <v>0</v>
      </c>
      <c r="S110" s="76">
        <f t="shared" ca="1" si="504"/>
        <v>0</v>
      </c>
      <c r="T110" s="76">
        <f t="shared" ca="1" si="504"/>
        <v>0</v>
      </c>
      <c r="U110" s="76">
        <f t="shared" ca="1" si="504"/>
        <v>0</v>
      </c>
      <c r="V110" s="76">
        <f t="shared" ca="1" si="504"/>
        <v>0</v>
      </c>
      <c r="W110" s="76">
        <f t="shared" ca="1" si="504"/>
        <v>0</v>
      </c>
      <c r="X110" s="76">
        <f t="shared" ca="1" si="504"/>
        <v>0</v>
      </c>
      <c r="Y110" s="76">
        <f t="shared" ca="1" si="504"/>
        <v>0</v>
      </c>
      <c r="Z110" s="76">
        <f t="shared" ca="1" si="504"/>
        <v>0</v>
      </c>
      <c r="AA110" s="76">
        <f t="shared" ca="1" si="504"/>
        <v>0</v>
      </c>
      <c r="AB110" s="76">
        <f t="shared" ca="1" si="504"/>
        <v>0</v>
      </c>
      <c r="AC110" s="76">
        <f t="shared" ca="1" si="504"/>
        <v>0</v>
      </c>
      <c r="AD110" s="76">
        <f t="shared" ca="1" si="504"/>
        <v>0</v>
      </c>
      <c r="AE110" s="76">
        <f t="shared" ca="1" si="504"/>
        <v>0</v>
      </c>
      <c r="AF110" s="76">
        <f t="shared" ca="1" si="504"/>
        <v>0</v>
      </c>
      <c r="AG110" s="76">
        <f t="shared" ca="1" si="504"/>
        <v>0</v>
      </c>
      <c r="AH110" s="76">
        <f t="shared" ca="1" si="504"/>
        <v>0</v>
      </c>
      <c r="AI110" s="76">
        <f t="shared" ca="1" si="504"/>
        <v>0</v>
      </c>
      <c r="AJ110" s="76">
        <f t="shared" ref="AJ110:BK110" ca="1" si="505">SUMIFS(INDIRECT("BusinessModelAssumptions[Cost]"),INDIRECT("BusinessModelAssumptions[Stage]"),PostRelease,INDIRECT("BusinessModelAssumptions[Category]"),$B107,INDIRECT("BusinessModelAssumptions[Post-Cost Type]"),$B110)*TotalRevenue *-1</f>
        <v>0</v>
      </c>
      <c r="AK110" s="76">
        <f t="shared" ca="1" si="505"/>
        <v>0</v>
      </c>
      <c r="AL110" s="76">
        <f t="shared" ca="1" si="505"/>
        <v>0</v>
      </c>
      <c r="AM110" s="76">
        <f t="shared" ca="1" si="505"/>
        <v>0</v>
      </c>
      <c r="AN110" s="76">
        <f t="shared" ca="1" si="505"/>
        <v>0</v>
      </c>
      <c r="AO110" s="76">
        <f t="shared" ca="1" si="505"/>
        <v>0</v>
      </c>
      <c r="AP110" s="76">
        <f t="shared" ca="1" si="505"/>
        <v>0</v>
      </c>
      <c r="AQ110" s="76">
        <f t="shared" ca="1" si="505"/>
        <v>0</v>
      </c>
      <c r="AR110" s="76">
        <f t="shared" ca="1" si="505"/>
        <v>0</v>
      </c>
      <c r="AS110" s="76">
        <f t="shared" ca="1" si="505"/>
        <v>0</v>
      </c>
      <c r="AT110" s="76">
        <f t="shared" ca="1" si="505"/>
        <v>0</v>
      </c>
      <c r="AU110" s="76">
        <f t="shared" ca="1" si="505"/>
        <v>0</v>
      </c>
      <c r="AV110" s="76">
        <f t="shared" ca="1" si="505"/>
        <v>0</v>
      </c>
      <c r="AW110" s="76">
        <f t="shared" ca="1" si="505"/>
        <v>0</v>
      </c>
      <c r="AX110" s="76">
        <f t="shared" ca="1" si="505"/>
        <v>0</v>
      </c>
      <c r="AY110" s="76">
        <f t="shared" ca="1" si="505"/>
        <v>0</v>
      </c>
      <c r="AZ110" s="76">
        <f t="shared" ca="1" si="505"/>
        <v>0</v>
      </c>
      <c r="BA110" s="76">
        <f t="shared" ca="1" si="505"/>
        <v>0</v>
      </c>
      <c r="BB110" s="76">
        <f t="shared" ca="1" si="505"/>
        <v>0</v>
      </c>
      <c r="BC110" s="76">
        <f t="shared" ca="1" si="505"/>
        <v>0</v>
      </c>
      <c r="BD110" s="76">
        <f t="shared" ca="1" si="505"/>
        <v>0</v>
      </c>
      <c r="BE110" s="76">
        <f t="shared" ca="1" si="505"/>
        <v>0</v>
      </c>
      <c r="BF110" s="76">
        <f t="shared" ca="1" si="505"/>
        <v>0</v>
      </c>
      <c r="BG110" s="76">
        <f t="shared" ca="1" si="505"/>
        <v>0</v>
      </c>
      <c r="BH110" s="76">
        <f t="shared" ca="1" si="505"/>
        <v>0</v>
      </c>
      <c r="BI110" s="76">
        <f t="shared" ca="1" si="505"/>
        <v>0</v>
      </c>
      <c r="BJ110" s="76">
        <f t="shared" ca="1" si="505"/>
        <v>0</v>
      </c>
      <c r="BK110" s="76">
        <f t="shared" ca="1" si="505"/>
        <v>0</v>
      </c>
    </row>
    <row r="111" spans="1:63" x14ac:dyDescent="0.2">
      <c r="A111" s="147"/>
      <c r="B111" s="77" t="s">
        <v>111</v>
      </c>
      <c r="C111" s="9"/>
      <c r="D111" s="76"/>
      <c r="E111" s="76"/>
      <c r="F111" s="76"/>
      <c r="G111" s="76"/>
      <c r="H111" s="76"/>
      <c r="I111" s="76"/>
      <c r="J111" s="76"/>
      <c r="K111" s="76"/>
      <c r="L111" s="76"/>
      <c r="M111" s="76"/>
      <c r="N111" s="76"/>
      <c r="O111" s="76"/>
      <c r="P111" s="76"/>
      <c r="Q111" s="76"/>
      <c r="R111" s="76"/>
      <c r="S111" s="76"/>
      <c r="T111" s="76"/>
      <c r="U111" s="76"/>
      <c r="V111" s="76"/>
      <c r="W111" s="76"/>
      <c r="X111" s="76"/>
      <c r="Y111" s="76"/>
      <c r="Z111" s="76"/>
      <c r="AA111" s="76"/>
      <c r="AB111" s="76"/>
      <c r="AC111" s="76"/>
      <c r="AD111" s="76"/>
      <c r="AE111" s="76"/>
      <c r="AF111" s="76"/>
      <c r="AG111" s="76"/>
      <c r="AH111" s="76"/>
      <c r="AI111" s="76"/>
      <c r="AJ111" s="76"/>
      <c r="AK111" s="76"/>
      <c r="AL111" s="76"/>
      <c r="AM111" s="76"/>
      <c r="AN111" s="76"/>
      <c r="AO111" s="76"/>
      <c r="AP111" s="76"/>
      <c r="AQ111" s="76"/>
      <c r="AR111" s="76"/>
      <c r="AS111" s="76"/>
      <c r="AT111" s="76"/>
      <c r="AU111" s="76"/>
      <c r="AV111" s="76"/>
      <c r="AW111" s="76"/>
      <c r="AX111" s="76"/>
      <c r="AY111" s="76"/>
      <c r="AZ111" s="76"/>
      <c r="BA111" s="76"/>
      <c r="BB111" s="76"/>
      <c r="BC111" s="76"/>
      <c r="BD111" s="76"/>
      <c r="BE111" s="76"/>
      <c r="BF111" s="76"/>
      <c r="BG111" s="76"/>
      <c r="BH111" s="76"/>
      <c r="BI111" s="76"/>
      <c r="BJ111" s="76"/>
      <c r="BK111" s="76"/>
    </row>
    <row r="112" spans="1:63" x14ac:dyDescent="0.2">
      <c r="A112" s="147"/>
      <c r="B112" s="75" t="str">
        <f>Lists!A19</f>
        <v>N/A</v>
      </c>
      <c r="C112" s="9"/>
      <c r="D112" s="76">
        <f ca="1">SUM(D113:D116)</f>
        <v>0</v>
      </c>
      <c r="E112" s="76">
        <f t="shared" ref="E112:AM112" ca="1" si="506">SUM(E113:E116)</f>
        <v>0</v>
      </c>
      <c r="F112" s="76">
        <f t="shared" ca="1" si="506"/>
        <v>0</v>
      </c>
      <c r="G112" s="76">
        <f t="shared" ca="1" si="506"/>
        <v>0</v>
      </c>
      <c r="H112" s="76">
        <f t="shared" ca="1" si="506"/>
        <v>0</v>
      </c>
      <c r="I112" s="76">
        <f t="shared" ca="1" si="506"/>
        <v>0</v>
      </c>
      <c r="J112" s="76">
        <f t="shared" ca="1" si="506"/>
        <v>0</v>
      </c>
      <c r="K112" s="76">
        <f t="shared" ca="1" si="506"/>
        <v>0</v>
      </c>
      <c r="L112" s="76">
        <f t="shared" ca="1" si="506"/>
        <v>0</v>
      </c>
      <c r="M112" s="76">
        <f t="shared" ca="1" si="506"/>
        <v>0</v>
      </c>
      <c r="N112" s="76">
        <f t="shared" ca="1" si="506"/>
        <v>0</v>
      </c>
      <c r="O112" s="76">
        <f t="shared" ca="1" si="506"/>
        <v>0</v>
      </c>
      <c r="P112" s="76">
        <f t="shared" ca="1" si="506"/>
        <v>0</v>
      </c>
      <c r="Q112" s="76">
        <f t="shared" ca="1" si="506"/>
        <v>0</v>
      </c>
      <c r="R112" s="76">
        <f t="shared" ca="1" si="506"/>
        <v>0</v>
      </c>
      <c r="S112" s="76">
        <f t="shared" ca="1" si="506"/>
        <v>0</v>
      </c>
      <c r="T112" s="76">
        <f t="shared" ca="1" si="506"/>
        <v>0</v>
      </c>
      <c r="U112" s="76">
        <f t="shared" ca="1" si="506"/>
        <v>0</v>
      </c>
      <c r="V112" s="76">
        <f t="shared" ca="1" si="506"/>
        <v>0</v>
      </c>
      <c r="W112" s="76">
        <f t="shared" ca="1" si="506"/>
        <v>0</v>
      </c>
      <c r="X112" s="76">
        <f t="shared" ca="1" si="506"/>
        <v>0</v>
      </c>
      <c r="Y112" s="76">
        <f t="shared" ca="1" si="506"/>
        <v>0</v>
      </c>
      <c r="Z112" s="76">
        <f t="shared" ca="1" si="506"/>
        <v>0</v>
      </c>
      <c r="AA112" s="76">
        <f t="shared" ca="1" si="506"/>
        <v>0</v>
      </c>
      <c r="AB112" s="76">
        <f t="shared" ca="1" si="506"/>
        <v>0</v>
      </c>
      <c r="AC112" s="76">
        <f t="shared" ca="1" si="506"/>
        <v>0</v>
      </c>
      <c r="AD112" s="76">
        <f t="shared" ca="1" si="506"/>
        <v>0</v>
      </c>
      <c r="AE112" s="76">
        <f t="shared" ca="1" si="506"/>
        <v>0</v>
      </c>
      <c r="AF112" s="76">
        <f t="shared" ca="1" si="506"/>
        <v>0</v>
      </c>
      <c r="AG112" s="76">
        <f t="shared" ca="1" si="506"/>
        <v>0</v>
      </c>
      <c r="AH112" s="76">
        <f t="shared" ca="1" si="506"/>
        <v>0</v>
      </c>
      <c r="AI112" s="76">
        <f t="shared" ca="1" si="506"/>
        <v>0</v>
      </c>
      <c r="AJ112" s="76">
        <f t="shared" ca="1" si="506"/>
        <v>0</v>
      </c>
      <c r="AK112" s="76">
        <f t="shared" ca="1" si="506"/>
        <v>0</v>
      </c>
      <c r="AL112" s="76">
        <f t="shared" ca="1" si="506"/>
        <v>0</v>
      </c>
      <c r="AM112" s="76">
        <f t="shared" ca="1" si="506"/>
        <v>0</v>
      </c>
      <c r="AN112" s="76">
        <f t="shared" ref="AN112" ca="1" si="507">SUM(AN113:AN116)</f>
        <v>0</v>
      </c>
      <c r="AO112" s="76">
        <f t="shared" ref="AO112" ca="1" si="508">SUM(AO113:AO116)</f>
        <v>0</v>
      </c>
      <c r="AP112" s="76">
        <f t="shared" ref="AP112" ca="1" si="509">SUM(AP113:AP116)</f>
        <v>0</v>
      </c>
      <c r="AQ112" s="76">
        <f t="shared" ref="AQ112" ca="1" si="510">SUM(AQ113:AQ116)</f>
        <v>0</v>
      </c>
      <c r="AR112" s="76">
        <f t="shared" ref="AR112" ca="1" si="511">SUM(AR113:AR116)</f>
        <v>0</v>
      </c>
      <c r="AS112" s="76">
        <f t="shared" ref="AS112" ca="1" si="512">SUM(AS113:AS116)</f>
        <v>0</v>
      </c>
      <c r="AT112" s="76">
        <f t="shared" ref="AT112" ca="1" si="513">SUM(AT113:AT116)</f>
        <v>0</v>
      </c>
      <c r="AU112" s="76">
        <f t="shared" ref="AU112" ca="1" si="514">SUM(AU113:AU116)</f>
        <v>0</v>
      </c>
      <c r="AV112" s="76">
        <f t="shared" ref="AV112" ca="1" si="515">SUM(AV113:AV116)</f>
        <v>0</v>
      </c>
      <c r="AW112" s="76">
        <f t="shared" ref="AW112" ca="1" si="516">SUM(AW113:AW116)</f>
        <v>0</v>
      </c>
      <c r="AX112" s="76">
        <f t="shared" ref="AX112" ca="1" si="517">SUM(AX113:AX116)</f>
        <v>0</v>
      </c>
      <c r="AY112" s="76">
        <f t="shared" ref="AY112" ca="1" si="518">SUM(AY113:AY116)</f>
        <v>0</v>
      </c>
      <c r="AZ112" s="76">
        <f t="shared" ref="AZ112" ca="1" si="519">SUM(AZ113:AZ116)</f>
        <v>0</v>
      </c>
      <c r="BA112" s="76">
        <f t="shared" ref="BA112" ca="1" si="520">SUM(BA113:BA116)</f>
        <v>0</v>
      </c>
      <c r="BB112" s="76">
        <f t="shared" ref="BB112" ca="1" si="521">SUM(BB113:BB116)</f>
        <v>0</v>
      </c>
      <c r="BC112" s="76">
        <f t="shared" ref="BC112" ca="1" si="522">SUM(BC113:BC116)</f>
        <v>0</v>
      </c>
      <c r="BD112" s="76">
        <f t="shared" ref="BD112" ca="1" si="523">SUM(BD113:BD116)</f>
        <v>0</v>
      </c>
      <c r="BE112" s="76">
        <f t="shared" ref="BE112" ca="1" si="524">SUM(BE113:BE116)</f>
        <v>0</v>
      </c>
      <c r="BF112" s="76">
        <f t="shared" ref="BF112" ca="1" si="525">SUM(BF113:BF116)</f>
        <v>0</v>
      </c>
      <c r="BG112" s="76">
        <f t="shared" ref="BG112" ca="1" si="526">SUM(BG113:BG116)</f>
        <v>0</v>
      </c>
      <c r="BH112" s="76">
        <f t="shared" ref="BH112" ca="1" si="527">SUM(BH113:BH116)</f>
        <v>0</v>
      </c>
      <c r="BI112" s="76">
        <f t="shared" ref="BI112" ca="1" si="528">SUM(BI113:BI116)</f>
        <v>0</v>
      </c>
      <c r="BJ112" s="76">
        <f t="shared" ref="BJ112" ca="1" si="529">SUM(BJ113:BJ116)</f>
        <v>0</v>
      </c>
      <c r="BK112" s="76">
        <f t="shared" ref="BK112" ca="1" si="530">SUM(BK113:BK116)</f>
        <v>0</v>
      </c>
    </row>
    <row r="113" spans="1:63" x14ac:dyDescent="0.2">
      <c r="A113" s="147"/>
      <c r="B113" s="77" t="str">
        <f>Lists!$A$28</f>
        <v>Fixed (Monthly)</v>
      </c>
      <c r="C113" s="9"/>
      <c r="D113" s="76">
        <f t="shared" ref="D113:AI113" ca="1" si="531">SUMIFS(INDIRECT("BusinessModelAssumptions[Cost]"),INDIRECT("BusinessModelAssumptions[Stage]"),PostRelease,INDIRECT("BusinessModelAssumptions[Category]"),$B112,INDIRECT("BusinessModelAssumptions[Post-Cost Type]"),$B113)</f>
        <v>0</v>
      </c>
      <c r="E113" s="76">
        <f t="shared" ca="1" si="531"/>
        <v>0</v>
      </c>
      <c r="F113" s="76">
        <f t="shared" ca="1" si="531"/>
        <v>0</v>
      </c>
      <c r="G113" s="76">
        <f t="shared" ca="1" si="531"/>
        <v>0</v>
      </c>
      <c r="H113" s="76">
        <f t="shared" ca="1" si="531"/>
        <v>0</v>
      </c>
      <c r="I113" s="76">
        <f t="shared" ca="1" si="531"/>
        <v>0</v>
      </c>
      <c r="J113" s="76">
        <f t="shared" ca="1" si="531"/>
        <v>0</v>
      </c>
      <c r="K113" s="76">
        <f t="shared" ca="1" si="531"/>
        <v>0</v>
      </c>
      <c r="L113" s="76">
        <f t="shared" ca="1" si="531"/>
        <v>0</v>
      </c>
      <c r="M113" s="76">
        <f t="shared" ca="1" si="531"/>
        <v>0</v>
      </c>
      <c r="N113" s="76">
        <f t="shared" ca="1" si="531"/>
        <v>0</v>
      </c>
      <c r="O113" s="76">
        <f t="shared" ca="1" si="531"/>
        <v>0</v>
      </c>
      <c r="P113" s="76">
        <f t="shared" ca="1" si="531"/>
        <v>0</v>
      </c>
      <c r="Q113" s="76">
        <f t="shared" ca="1" si="531"/>
        <v>0</v>
      </c>
      <c r="R113" s="76">
        <f t="shared" ca="1" si="531"/>
        <v>0</v>
      </c>
      <c r="S113" s="76">
        <f t="shared" ca="1" si="531"/>
        <v>0</v>
      </c>
      <c r="T113" s="76">
        <f t="shared" ca="1" si="531"/>
        <v>0</v>
      </c>
      <c r="U113" s="76">
        <f t="shared" ca="1" si="531"/>
        <v>0</v>
      </c>
      <c r="V113" s="76">
        <f t="shared" ca="1" si="531"/>
        <v>0</v>
      </c>
      <c r="W113" s="76">
        <f t="shared" ca="1" si="531"/>
        <v>0</v>
      </c>
      <c r="X113" s="76">
        <f t="shared" ca="1" si="531"/>
        <v>0</v>
      </c>
      <c r="Y113" s="76">
        <f t="shared" ca="1" si="531"/>
        <v>0</v>
      </c>
      <c r="Z113" s="76">
        <f t="shared" ca="1" si="531"/>
        <v>0</v>
      </c>
      <c r="AA113" s="76">
        <f t="shared" ca="1" si="531"/>
        <v>0</v>
      </c>
      <c r="AB113" s="76">
        <f t="shared" ca="1" si="531"/>
        <v>0</v>
      </c>
      <c r="AC113" s="76">
        <f t="shared" ca="1" si="531"/>
        <v>0</v>
      </c>
      <c r="AD113" s="76">
        <f t="shared" ca="1" si="531"/>
        <v>0</v>
      </c>
      <c r="AE113" s="76">
        <f t="shared" ca="1" si="531"/>
        <v>0</v>
      </c>
      <c r="AF113" s="76">
        <f t="shared" ca="1" si="531"/>
        <v>0</v>
      </c>
      <c r="AG113" s="76">
        <f t="shared" ca="1" si="531"/>
        <v>0</v>
      </c>
      <c r="AH113" s="76">
        <f t="shared" ca="1" si="531"/>
        <v>0</v>
      </c>
      <c r="AI113" s="76">
        <f t="shared" ca="1" si="531"/>
        <v>0</v>
      </c>
      <c r="AJ113" s="76">
        <f t="shared" ref="AJ113:BK113" ca="1" si="532">SUMIFS(INDIRECT("BusinessModelAssumptions[Cost]"),INDIRECT("BusinessModelAssumptions[Stage]"),PostRelease,INDIRECT("BusinessModelAssumptions[Category]"),$B112,INDIRECT("BusinessModelAssumptions[Post-Cost Type]"),$B113)</f>
        <v>0</v>
      </c>
      <c r="AK113" s="76">
        <f t="shared" ca="1" si="532"/>
        <v>0</v>
      </c>
      <c r="AL113" s="76">
        <f t="shared" ca="1" si="532"/>
        <v>0</v>
      </c>
      <c r="AM113" s="76">
        <f t="shared" ca="1" si="532"/>
        <v>0</v>
      </c>
      <c r="AN113" s="76">
        <f t="shared" ca="1" si="532"/>
        <v>0</v>
      </c>
      <c r="AO113" s="76">
        <f t="shared" ca="1" si="532"/>
        <v>0</v>
      </c>
      <c r="AP113" s="76">
        <f t="shared" ca="1" si="532"/>
        <v>0</v>
      </c>
      <c r="AQ113" s="76">
        <f t="shared" ca="1" si="532"/>
        <v>0</v>
      </c>
      <c r="AR113" s="76">
        <f t="shared" ca="1" si="532"/>
        <v>0</v>
      </c>
      <c r="AS113" s="76">
        <f t="shared" ca="1" si="532"/>
        <v>0</v>
      </c>
      <c r="AT113" s="76">
        <f t="shared" ca="1" si="532"/>
        <v>0</v>
      </c>
      <c r="AU113" s="76">
        <f t="shared" ca="1" si="532"/>
        <v>0</v>
      </c>
      <c r="AV113" s="76">
        <f t="shared" ca="1" si="532"/>
        <v>0</v>
      </c>
      <c r="AW113" s="76">
        <f t="shared" ca="1" si="532"/>
        <v>0</v>
      </c>
      <c r="AX113" s="76">
        <f t="shared" ca="1" si="532"/>
        <v>0</v>
      </c>
      <c r="AY113" s="76">
        <f t="shared" ca="1" si="532"/>
        <v>0</v>
      </c>
      <c r="AZ113" s="76">
        <f t="shared" ca="1" si="532"/>
        <v>0</v>
      </c>
      <c r="BA113" s="76">
        <f t="shared" ca="1" si="532"/>
        <v>0</v>
      </c>
      <c r="BB113" s="76">
        <f t="shared" ca="1" si="532"/>
        <v>0</v>
      </c>
      <c r="BC113" s="76">
        <f t="shared" ca="1" si="532"/>
        <v>0</v>
      </c>
      <c r="BD113" s="76">
        <f t="shared" ca="1" si="532"/>
        <v>0</v>
      </c>
      <c r="BE113" s="76">
        <f t="shared" ca="1" si="532"/>
        <v>0</v>
      </c>
      <c r="BF113" s="76">
        <f t="shared" ca="1" si="532"/>
        <v>0</v>
      </c>
      <c r="BG113" s="76">
        <f t="shared" ca="1" si="532"/>
        <v>0</v>
      </c>
      <c r="BH113" s="76">
        <f t="shared" ca="1" si="532"/>
        <v>0</v>
      </c>
      <c r="BI113" s="76">
        <f t="shared" ca="1" si="532"/>
        <v>0</v>
      </c>
      <c r="BJ113" s="76">
        <f t="shared" ca="1" si="532"/>
        <v>0</v>
      </c>
      <c r="BK113" s="76">
        <f t="shared" ca="1" si="532"/>
        <v>0</v>
      </c>
    </row>
    <row r="114" spans="1:63" x14ac:dyDescent="0.2">
      <c r="A114" s="147"/>
      <c r="B114" s="77" t="str">
        <f>Lists!$A$29</f>
        <v>Per Unit Sold</v>
      </c>
      <c r="C114" s="9"/>
      <c r="D114" s="76">
        <f t="shared" ref="D114:AI114" ca="1" si="533">SUMIFS(INDIRECT("BusinessModelAssumptions[Cost]"),INDIRECT("BusinessModelAssumptions[Stage]"),PostRelease,INDIRECT("BusinessModelAssumptions[Category]"),$B112,INDIRECT("BusinessModelAssumptions[Post-Cost Type]"),$B114)*TotalUnitsSold</f>
        <v>0</v>
      </c>
      <c r="E114" s="76">
        <f t="shared" ca="1" si="533"/>
        <v>0</v>
      </c>
      <c r="F114" s="76">
        <f t="shared" ca="1" si="533"/>
        <v>0</v>
      </c>
      <c r="G114" s="76">
        <f t="shared" ca="1" si="533"/>
        <v>0</v>
      </c>
      <c r="H114" s="76">
        <f t="shared" ca="1" si="533"/>
        <v>0</v>
      </c>
      <c r="I114" s="76">
        <f t="shared" ca="1" si="533"/>
        <v>0</v>
      </c>
      <c r="J114" s="76">
        <f t="shared" ca="1" si="533"/>
        <v>0</v>
      </c>
      <c r="K114" s="76">
        <f t="shared" ca="1" si="533"/>
        <v>0</v>
      </c>
      <c r="L114" s="76">
        <f t="shared" ca="1" si="533"/>
        <v>0</v>
      </c>
      <c r="M114" s="76">
        <f t="shared" ca="1" si="533"/>
        <v>0</v>
      </c>
      <c r="N114" s="76">
        <f t="shared" ca="1" si="533"/>
        <v>0</v>
      </c>
      <c r="O114" s="76">
        <f t="shared" ca="1" si="533"/>
        <v>0</v>
      </c>
      <c r="P114" s="76">
        <f t="shared" ca="1" si="533"/>
        <v>0</v>
      </c>
      <c r="Q114" s="76">
        <f t="shared" ca="1" si="533"/>
        <v>0</v>
      </c>
      <c r="R114" s="76">
        <f t="shared" ca="1" si="533"/>
        <v>0</v>
      </c>
      <c r="S114" s="76">
        <f t="shared" ca="1" si="533"/>
        <v>0</v>
      </c>
      <c r="T114" s="76">
        <f t="shared" ca="1" si="533"/>
        <v>0</v>
      </c>
      <c r="U114" s="76">
        <f t="shared" ca="1" si="533"/>
        <v>0</v>
      </c>
      <c r="V114" s="76">
        <f t="shared" ca="1" si="533"/>
        <v>0</v>
      </c>
      <c r="W114" s="76">
        <f t="shared" ca="1" si="533"/>
        <v>0</v>
      </c>
      <c r="X114" s="76">
        <f t="shared" ca="1" si="533"/>
        <v>0</v>
      </c>
      <c r="Y114" s="76">
        <f t="shared" ca="1" si="533"/>
        <v>0</v>
      </c>
      <c r="Z114" s="76">
        <f t="shared" ca="1" si="533"/>
        <v>0</v>
      </c>
      <c r="AA114" s="76">
        <f t="shared" ca="1" si="533"/>
        <v>0</v>
      </c>
      <c r="AB114" s="76">
        <f t="shared" ca="1" si="533"/>
        <v>0</v>
      </c>
      <c r="AC114" s="76">
        <f t="shared" ca="1" si="533"/>
        <v>0</v>
      </c>
      <c r="AD114" s="76">
        <f t="shared" ca="1" si="533"/>
        <v>0</v>
      </c>
      <c r="AE114" s="76">
        <f t="shared" ca="1" si="533"/>
        <v>0</v>
      </c>
      <c r="AF114" s="76">
        <f t="shared" ca="1" si="533"/>
        <v>0</v>
      </c>
      <c r="AG114" s="76">
        <f t="shared" ca="1" si="533"/>
        <v>0</v>
      </c>
      <c r="AH114" s="76">
        <f t="shared" ca="1" si="533"/>
        <v>0</v>
      </c>
      <c r="AI114" s="76">
        <f t="shared" ca="1" si="533"/>
        <v>0</v>
      </c>
      <c r="AJ114" s="76">
        <f t="shared" ref="AJ114:BK114" ca="1" si="534">SUMIFS(INDIRECT("BusinessModelAssumptions[Cost]"),INDIRECT("BusinessModelAssumptions[Stage]"),PostRelease,INDIRECT("BusinessModelAssumptions[Category]"),$B112,INDIRECT("BusinessModelAssumptions[Post-Cost Type]"),$B114)*TotalUnitsSold</f>
        <v>0</v>
      </c>
      <c r="AK114" s="76">
        <f t="shared" ca="1" si="534"/>
        <v>0</v>
      </c>
      <c r="AL114" s="76">
        <f t="shared" ca="1" si="534"/>
        <v>0</v>
      </c>
      <c r="AM114" s="76">
        <f t="shared" ca="1" si="534"/>
        <v>0</v>
      </c>
      <c r="AN114" s="76">
        <f t="shared" ca="1" si="534"/>
        <v>0</v>
      </c>
      <c r="AO114" s="76">
        <f t="shared" ca="1" si="534"/>
        <v>0</v>
      </c>
      <c r="AP114" s="76">
        <f t="shared" ca="1" si="534"/>
        <v>0</v>
      </c>
      <c r="AQ114" s="76">
        <f t="shared" ca="1" si="534"/>
        <v>0</v>
      </c>
      <c r="AR114" s="76">
        <f t="shared" ca="1" si="534"/>
        <v>0</v>
      </c>
      <c r="AS114" s="76">
        <f t="shared" ca="1" si="534"/>
        <v>0</v>
      </c>
      <c r="AT114" s="76">
        <f t="shared" ca="1" si="534"/>
        <v>0</v>
      </c>
      <c r="AU114" s="76">
        <f t="shared" ca="1" si="534"/>
        <v>0</v>
      </c>
      <c r="AV114" s="76">
        <f t="shared" ca="1" si="534"/>
        <v>0</v>
      </c>
      <c r="AW114" s="76">
        <f t="shared" ca="1" si="534"/>
        <v>0</v>
      </c>
      <c r="AX114" s="76">
        <f t="shared" ca="1" si="534"/>
        <v>0</v>
      </c>
      <c r="AY114" s="76">
        <f t="shared" ca="1" si="534"/>
        <v>0</v>
      </c>
      <c r="AZ114" s="76">
        <f t="shared" ca="1" si="534"/>
        <v>0</v>
      </c>
      <c r="BA114" s="76">
        <f t="shared" ca="1" si="534"/>
        <v>0</v>
      </c>
      <c r="BB114" s="76">
        <f t="shared" ca="1" si="534"/>
        <v>0</v>
      </c>
      <c r="BC114" s="76">
        <f t="shared" ca="1" si="534"/>
        <v>0</v>
      </c>
      <c r="BD114" s="76">
        <f t="shared" ca="1" si="534"/>
        <v>0</v>
      </c>
      <c r="BE114" s="76">
        <f t="shared" ca="1" si="534"/>
        <v>0</v>
      </c>
      <c r="BF114" s="76">
        <f t="shared" ca="1" si="534"/>
        <v>0</v>
      </c>
      <c r="BG114" s="76">
        <f t="shared" ca="1" si="534"/>
        <v>0</v>
      </c>
      <c r="BH114" s="76">
        <f t="shared" ca="1" si="534"/>
        <v>0</v>
      </c>
      <c r="BI114" s="76">
        <f t="shared" ca="1" si="534"/>
        <v>0</v>
      </c>
      <c r="BJ114" s="76">
        <f t="shared" ca="1" si="534"/>
        <v>0</v>
      </c>
      <c r="BK114" s="76">
        <f t="shared" ca="1" si="534"/>
        <v>0</v>
      </c>
    </row>
    <row r="115" spans="1:63" x14ac:dyDescent="0.2">
      <c r="A115" s="147"/>
      <c r="B115" s="77" t="str">
        <f>Lists!$A$30</f>
        <v>% of Revenue</v>
      </c>
      <c r="C115" s="9"/>
      <c r="D115" s="76">
        <f t="shared" ref="D115:AI115" ca="1" si="535">SUMIFS(INDIRECT("BusinessModelAssumptions[Cost]"),INDIRECT("BusinessModelAssumptions[Stage]"),PostRelease,INDIRECT("BusinessModelAssumptions[Category]"),$B112,INDIRECT("BusinessModelAssumptions[Post-Cost Type]"),$B115)*TotalRevenue *-1</f>
        <v>0</v>
      </c>
      <c r="E115" s="76">
        <f t="shared" ca="1" si="535"/>
        <v>0</v>
      </c>
      <c r="F115" s="76">
        <f t="shared" ca="1" si="535"/>
        <v>0</v>
      </c>
      <c r="G115" s="76">
        <f t="shared" ca="1" si="535"/>
        <v>0</v>
      </c>
      <c r="H115" s="76">
        <f t="shared" ca="1" si="535"/>
        <v>0</v>
      </c>
      <c r="I115" s="76">
        <f t="shared" ca="1" si="535"/>
        <v>0</v>
      </c>
      <c r="J115" s="76">
        <f t="shared" ca="1" si="535"/>
        <v>0</v>
      </c>
      <c r="K115" s="76">
        <f t="shared" ca="1" si="535"/>
        <v>0</v>
      </c>
      <c r="L115" s="76">
        <f t="shared" ca="1" si="535"/>
        <v>0</v>
      </c>
      <c r="M115" s="76">
        <f t="shared" ca="1" si="535"/>
        <v>0</v>
      </c>
      <c r="N115" s="76">
        <f t="shared" ca="1" si="535"/>
        <v>0</v>
      </c>
      <c r="O115" s="76">
        <f t="shared" ca="1" si="535"/>
        <v>0</v>
      </c>
      <c r="P115" s="76">
        <f t="shared" ca="1" si="535"/>
        <v>0</v>
      </c>
      <c r="Q115" s="76">
        <f t="shared" ca="1" si="535"/>
        <v>0</v>
      </c>
      <c r="R115" s="76">
        <f t="shared" ca="1" si="535"/>
        <v>0</v>
      </c>
      <c r="S115" s="76">
        <f t="shared" ca="1" si="535"/>
        <v>0</v>
      </c>
      <c r="T115" s="76">
        <f t="shared" ca="1" si="535"/>
        <v>0</v>
      </c>
      <c r="U115" s="76">
        <f t="shared" ca="1" si="535"/>
        <v>0</v>
      </c>
      <c r="V115" s="76">
        <f t="shared" ca="1" si="535"/>
        <v>0</v>
      </c>
      <c r="W115" s="76">
        <f t="shared" ca="1" si="535"/>
        <v>0</v>
      </c>
      <c r="X115" s="76">
        <f t="shared" ca="1" si="535"/>
        <v>0</v>
      </c>
      <c r="Y115" s="76">
        <f t="shared" ca="1" si="535"/>
        <v>0</v>
      </c>
      <c r="Z115" s="76">
        <f t="shared" ca="1" si="535"/>
        <v>0</v>
      </c>
      <c r="AA115" s="76">
        <f t="shared" ca="1" si="535"/>
        <v>0</v>
      </c>
      <c r="AB115" s="76">
        <f t="shared" ca="1" si="535"/>
        <v>0</v>
      </c>
      <c r="AC115" s="76">
        <f t="shared" ca="1" si="535"/>
        <v>0</v>
      </c>
      <c r="AD115" s="76">
        <f t="shared" ca="1" si="535"/>
        <v>0</v>
      </c>
      <c r="AE115" s="76">
        <f t="shared" ca="1" si="535"/>
        <v>0</v>
      </c>
      <c r="AF115" s="76">
        <f t="shared" ca="1" si="535"/>
        <v>0</v>
      </c>
      <c r="AG115" s="76">
        <f t="shared" ca="1" si="535"/>
        <v>0</v>
      </c>
      <c r="AH115" s="76">
        <f t="shared" ca="1" si="535"/>
        <v>0</v>
      </c>
      <c r="AI115" s="76">
        <f t="shared" ca="1" si="535"/>
        <v>0</v>
      </c>
      <c r="AJ115" s="76">
        <f t="shared" ref="AJ115:BK115" ca="1" si="536">SUMIFS(INDIRECT("BusinessModelAssumptions[Cost]"),INDIRECT("BusinessModelAssumptions[Stage]"),PostRelease,INDIRECT("BusinessModelAssumptions[Category]"),$B112,INDIRECT("BusinessModelAssumptions[Post-Cost Type]"),$B115)*TotalRevenue *-1</f>
        <v>0</v>
      </c>
      <c r="AK115" s="76">
        <f t="shared" ca="1" si="536"/>
        <v>0</v>
      </c>
      <c r="AL115" s="76">
        <f t="shared" ca="1" si="536"/>
        <v>0</v>
      </c>
      <c r="AM115" s="76">
        <f t="shared" ca="1" si="536"/>
        <v>0</v>
      </c>
      <c r="AN115" s="76">
        <f t="shared" ca="1" si="536"/>
        <v>0</v>
      </c>
      <c r="AO115" s="76">
        <f t="shared" ca="1" si="536"/>
        <v>0</v>
      </c>
      <c r="AP115" s="76">
        <f t="shared" ca="1" si="536"/>
        <v>0</v>
      </c>
      <c r="AQ115" s="76">
        <f t="shared" ca="1" si="536"/>
        <v>0</v>
      </c>
      <c r="AR115" s="76">
        <f t="shared" ca="1" si="536"/>
        <v>0</v>
      </c>
      <c r="AS115" s="76">
        <f t="shared" ca="1" si="536"/>
        <v>0</v>
      </c>
      <c r="AT115" s="76">
        <f t="shared" ca="1" si="536"/>
        <v>0</v>
      </c>
      <c r="AU115" s="76">
        <f t="shared" ca="1" si="536"/>
        <v>0</v>
      </c>
      <c r="AV115" s="76">
        <f t="shared" ca="1" si="536"/>
        <v>0</v>
      </c>
      <c r="AW115" s="76">
        <f t="shared" ca="1" si="536"/>
        <v>0</v>
      </c>
      <c r="AX115" s="76">
        <f t="shared" ca="1" si="536"/>
        <v>0</v>
      </c>
      <c r="AY115" s="76">
        <f t="shared" ca="1" si="536"/>
        <v>0</v>
      </c>
      <c r="AZ115" s="76">
        <f t="shared" ca="1" si="536"/>
        <v>0</v>
      </c>
      <c r="BA115" s="76">
        <f t="shared" ca="1" si="536"/>
        <v>0</v>
      </c>
      <c r="BB115" s="76">
        <f t="shared" ca="1" si="536"/>
        <v>0</v>
      </c>
      <c r="BC115" s="76">
        <f t="shared" ca="1" si="536"/>
        <v>0</v>
      </c>
      <c r="BD115" s="76">
        <f t="shared" ca="1" si="536"/>
        <v>0</v>
      </c>
      <c r="BE115" s="76">
        <f t="shared" ca="1" si="536"/>
        <v>0</v>
      </c>
      <c r="BF115" s="76">
        <f t="shared" ca="1" si="536"/>
        <v>0</v>
      </c>
      <c r="BG115" s="76">
        <f t="shared" ca="1" si="536"/>
        <v>0</v>
      </c>
      <c r="BH115" s="76">
        <f t="shared" ca="1" si="536"/>
        <v>0</v>
      </c>
      <c r="BI115" s="76">
        <f t="shared" ca="1" si="536"/>
        <v>0</v>
      </c>
      <c r="BJ115" s="76">
        <f t="shared" ca="1" si="536"/>
        <v>0</v>
      </c>
      <c r="BK115" s="76">
        <f t="shared" ca="1" si="536"/>
        <v>0</v>
      </c>
    </row>
    <row r="116" spans="1:63" x14ac:dyDescent="0.2">
      <c r="A116" s="147"/>
      <c r="B116" s="77" t="s">
        <v>111</v>
      </c>
      <c r="C116" s="9"/>
      <c r="D116" s="76"/>
      <c r="E116" s="76"/>
      <c r="F116" s="76"/>
      <c r="G116" s="76"/>
      <c r="H116" s="76"/>
      <c r="I116" s="76"/>
      <c r="J116" s="76"/>
      <c r="K116" s="76"/>
      <c r="L116" s="76"/>
      <c r="M116" s="76"/>
      <c r="N116" s="76"/>
      <c r="O116" s="76"/>
      <c r="P116" s="76"/>
      <c r="Q116" s="76"/>
      <c r="R116" s="76"/>
      <c r="S116" s="76"/>
      <c r="T116" s="76"/>
      <c r="U116" s="76"/>
      <c r="V116" s="76"/>
      <c r="W116" s="76"/>
      <c r="X116" s="76"/>
      <c r="Y116" s="76"/>
      <c r="Z116" s="76"/>
      <c r="AA116" s="76"/>
      <c r="AB116" s="76"/>
      <c r="AC116" s="76"/>
      <c r="AD116" s="76"/>
      <c r="AE116" s="76"/>
      <c r="AF116" s="76"/>
      <c r="AG116" s="76"/>
      <c r="AH116" s="76"/>
      <c r="AI116" s="76"/>
      <c r="AJ116" s="76"/>
      <c r="AK116" s="76"/>
      <c r="AL116" s="76"/>
      <c r="AM116" s="76"/>
      <c r="AN116" s="76"/>
      <c r="AO116" s="76"/>
      <c r="AP116" s="76"/>
      <c r="AQ116" s="76"/>
      <c r="AR116" s="76"/>
      <c r="AS116" s="76"/>
      <c r="AT116" s="76"/>
      <c r="AU116" s="76"/>
      <c r="AV116" s="76"/>
      <c r="AW116" s="76"/>
      <c r="AX116" s="76"/>
      <c r="AY116" s="76"/>
      <c r="AZ116" s="76"/>
      <c r="BA116" s="76"/>
      <c r="BB116" s="76"/>
      <c r="BC116" s="76"/>
      <c r="BD116" s="76"/>
      <c r="BE116" s="76"/>
      <c r="BF116" s="76"/>
      <c r="BG116" s="76"/>
      <c r="BH116" s="76"/>
      <c r="BI116" s="76"/>
      <c r="BJ116" s="76"/>
      <c r="BK116" s="76"/>
    </row>
    <row r="117" spans="1:63" x14ac:dyDescent="0.2">
      <c r="A117" s="147"/>
      <c r="B117" s="75" t="str">
        <f>Lists!A20</f>
        <v>N/A</v>
      </c>
      <c r="C117" s="9"/>
      <c r="D117" s="76">
        <f ca="1">SUM(D118:D121)</f>
        <v>0</v>
      </c>
      <c r="E117" s="76">
        <f t="shared" ref="E117:AM117" ca="1" si="537">SUM(E118:E121)</f>
        <v>0</v>
      </c>
      <c r="F117" s="76">
        <f t="shared" ca="1" si="537"/>
        <v>0</v>
      </c>
      <c r="G117" s="76">
        <f t="shared" ca="1" si="537"/>
        <v>0</v>
      </c>
      <c r="H117" s="76">
        <f t="shared" ca="1" si="537"/>
        <v>0</v>
      </c>
      <c r="I117" s="76">
        <f t="shared" ca="1" si="537"/>
        <v>0</v>
      </c>
      <c r="J117" s="76">
        <f t="shared" ca="1" si="537"/>
        <v>0</v>
      </c>
      <c r="K117" s="76">
        <f t="shared" ca="1" si="537"/>
        <v>0</v>
      </c>
      <c r="L117" s="76">
        <f t="shared" ca="1" si="537"/>
        <v>0</v>
      </c>
      <c r="M117" s="76">
        <f t="shared" ca="1" si="537"/>
        <v>0</v>
      </c>
      <c r="N117" s="76">
        <f t="shared" ca="1" si="537"/>
        <v>0</v>
      </c>
      <c r="O117" s="76">
        <f t="shared" ca="1" si="537"/>
        <v>0</v>
      </c>
      <c r="P117" s="76">
        <f t="shared" ca="1" si="537"/>
        <v>0</v>
      </c>
      <c r="Q117" s="76">
        <f t="shared" ca="1" si="537"/>
        <v>0</v>
      </c>
      <c r="R117" s="76">
        <f t="shared" ca="1" si="537"/>
        <v>0</v>
      </c>
      <c r="S117" s="76">
        <f t="shared" ca="1" si="537"/>
        <v>0</v>
      </c>
      <c r="T117" s="76">
        <f t="shared" ca="1" si="537"/>
        <v>0</v>
      </c>
      <c r="U117" s="76">
        <f t="shared" ca="1" si="537"/>
        <v>0</v>
      </c>
      <c r="V117" s="76">
        <f t="shared" ca="1" si="537"/>
        <v>0</v>
      </c>
      <c r="W117" s="76">
        <f t="shared" ca="1" si="537"/>
        <v>0</v>
      </c>
      <c r="X117" s="76">
        <f t="shared" ca="1" si="537"/>
        <v>0</v>
      </c>
      <c r="Y117" s="76">
        <f t="shared" ca="1" si="537"/>
        <v>0</v>
      </c>
      <c r="Z117" s="76">
        <f t="shared" ca="1" si="537"/>
        <v>0</v>
      </c>
      <c r="AA117" s="76">
        <f t="shared" ca="1" si="537"/>
        <v>0</v>
      </c>
      <c r="AB117" s="76">
        <f t="shared" ca="1" si="537"/>
        <v>0</v>
      </c>
      <c r="AC117" s="76">
        <f t="shared" ca="1" si="537"/>
        <v>0</v>
      </c>
      <c r="AD117" s="76">
        <f t="shared" ca="1" si="537"/>
        <v>0</v>
      </c>
      <c r="AE117" s="76">
        <f t="shared" ca="1" si="537"/>
        <v>0</v>
      </c>
      <c r="AF117" s="76">
        <f t="shared" ca="1" si="537"/>
        <v>0</v>
      </c>
      <c r="AG117" s="76">
        <f t="shared" ca="1" si="537"/>
        <v>0</v>
      </c>
      <c r="AH117" s="76">
        <f t="shared" ca="1" si="537"/>
        <v>0</v>
      </c>
      <c r="AI117" s="76">
        <f t="shared" ca="1" si="537"/>
        <v>0</v>
      </c>
      <c r="AJ117" s="76">
        <f t="shared" ca="1" si="537"/>
        <v>0</v>
      </c>
      <c r="AK117" s="76">
        <f t="shared" ca="1" si="537"/>
        <v>0</v>
      </c>
      <c r="AL117" s="76">
        <f t="shared" ca="1" si="537"/>
        <v>0</v>
      </c>
      <c r="AM117" s="76">
        <f t="shared" ca="1" si="537"/>
        <v>0</v>
      </c>
      <c r="AN117" s="76">
        <f t="shared" ref="AN117" ca="1" si="538">SUM(AN118:AN121)</f>
        <v>0</v>
      </c>
      <c r="AO117" s="76">
        <f t="shared" ref="AO117" ca="1" si="539">SUM(AO118:AO121)</f>
        <v>0</v>
      </c>
      <c r="AP117" s="76">
        <f t="shared" ref="AP117" ca="1" si="540">SUM(AP118:AP121)</f>
        <v>0</v>
      </c>
      <c r="AQ117" s="76">
        <f t="shared" ref="AQ117" ca="1" si="541">SUM(AQ118:AQ121)</f>
        <v>0</v>
      </c>
      <c r="AR117" s="76">
        <f t="shared" ref="AR117" ca="1" si="542">SUM(AR118:AR121)</f>
        <v>0</v>
      </c>
      <c r="AS117" s="76">
        <f t="shared" ref="AS117" ca="1" si="543">SUM(AS118:AS121)</f>
        <v>0</v>
      </c>
      <c r="AT117" s="76">
        <f t="shared" ref="AT117" ca="1" si="544">SUM(AT118:AT121)</f>
        <v>0</v>
      </c>
      <c r="AU117" s="76">
        <f t="shared" ref="AU117" ca="1" si="545">SUM(AU118:AU121)</f>
        <v>0</v>
      </c>
      <c r="AV117" s="76">
        <f t="shared" ref="AV117" ca="1" si="546">SUM(AV118:AV121)</f>
        <v>0</v>
      </c>
      <c r="AW117" s="76">
        <f t="shared" ref="AW117" ca="1" si="547">SUM(AW118:AW121)</f>
        <v>0</v>
      </c>
      <c r="AX117" s="76">
        <f t="shared" ref="AX117" ca="1" si="548">SUM(AX118:AX121)</f>
        <v>0</v>
      </c>
      <c r="AY117" s="76">
        <f t="shared" ref="AY117" ca="1" si="549">SUM(AY118:AY121)</f>
        <v>0</v>
      </c>
      <c r="AZ117" s="76">
        <f t="shared" ref="AZ117" ca="1" si="550">SUM(AZ118:AZ121)</f>
        <v>0</v>
      </c>
      <c r="BA117" s="76">
        <f t="shared" ref="BA117" ca="1" si="551">SUM(BA118:BA121)</f>
        <v>0</v>
      </c>
      <c r="BB117" s="76">
        <f t="shared" ref="BB117" ca="1" si="552">SUM(BB118:BB121)</f>
        <v>0</v>
      </c>
      <c r="BC117" s="76">
        <f t="shared" ref="BC117" ca="1" si="553">SUM(BC118:BC121)</f>
        <v>0</v>
      </c>
      <c r="BD117" s="76">
        <f t="shared" ref="BD117" ca="1" si="554">SUM(BD118:BD121)</f>
        <v>0</v>
      </c>
      <c r="BE117" s="76">
        <f t="shared" ref="BE117" ca="1" si="555">SUM(BE118:BE121)</f>
        <v>0</v>
      </c>
      <c r="BF117" s="76">
        <f t="shared" ref="BF117" ca="1" si="556">SUM(BF118:BF121)</f>
        <v>0</v>
      </c>
      <c r="BG117" s="76">
        <f t="shared" ref="BG117" ca="1" si="557">SUM(BG118:BG121)</f>
        <v>0</v>
      </c>
      <c r="BH117" s="76">
        <f t="shared" ref="BH117" ca="1" si="558">SUM(BH118:BH121)</f>
        <v>0</v>
      </c>
      <c r="BI117" s="76">
        <f t="shared" ref="BI117" ca="1" si="559">SUM(BI118:BI121)</f>
        <v>0</v>
      </c>
      <c r="BJ117" s="76">
        <f t="shared" ref="BJ117" ca="1" si="560">SUM(BJ118:BJ121)</f>
        <v>0</v>
      </c>
      <c r="BK117" s="76">
        <f t="shared" ref="BK117" ca="1" si="561">SUM(BK118:BK121)</f>
        <v>0</v>
      </c>
    </row>
    <row r="118" spans="1:63" x14ac:dyDescent="0.2">
      <c r="A118" s="147"/>
      <c r="B118" s="77" t="str">
        <f>Lists!$A$28</f>
        <v>Fixed (Monthly)</v>
      </c>
      <c r="C118" s="9"/>
      <c r="D118" s="76">
        <f t="shared" ref="D118:AI118" ca="1" si="562">SUMIFS(INDIRECT("BusinessModelAssumptions[Cost]"),INDIRECT("BusinessModelAssumptions[Stage]"),PostRelease,INDIRECT("BusinessModelAssumptions[Category]"),$B117,INDIRECT("BusinessModelAssumptions[Post-Cost Type]"),$B118)</f>
        <v>0</v>
      </c>
      <c r="E118" s="76">
        <f t="shared" ca="1" si="562"/>
        <v>0</v>
      </c>
      <c r="F118" s="76">
        <f t="shared" ca="1" si="562"/>
        <v>0</v>
      </c>
      <c r="G118" s="76">
        <f t="shared" ca="1" si="562"/>
        <v>0</v>
      </c>
      <c r="H118" s="76">
        <f t="shared" ca="1" si="562"/>
        <v>0</v>
      </c>
      <c r="I118" s="76">
        <f t="shared" ca="1" si="562"/>
        <v>0</v>
      </c>
      <c r="J118" s="76">
        <f t="shared" ca="1" si="562"/>
        <v>0</v>
      </c>
      <c r="K118" s="76">
        <f t="shared" ca="1" si="562"/>
        <v>0</v>
      </c>
      <c r="L118" s="76">
        <f t="shared" ca="1" si="562"/>
        <v>0</v>
      </c>
      <c r="M118" s="76">
        <f t="shared" ca="1" si="562"/>
        <v>0</v>
      </c>
      <c r="N118" s="76">
        <f t="shared" ca="1" si="562"/>
        <v>0</v>
      </c>
      <c r="O118" s="76">
        <f t="shared" ca="1" si="562"/>
        <v>0</v>
      </c>
      <c r="P118" s="76">
        <f t="shared" ca="1" si="562"/>
        <v>0</v>
      </c>
      <c r="Q118" s="76">
        <f t="shared" ca="1" si="562"/>
        <v>0</v>
      </c>
      <c r="R118" s="76">
        <f t="shared" ca="1" si="562"/>
        <v>0</v>
      </c>
      <c r="S118" s="76">
        <f t="shared" ca="1" si="562"/>
        <v>0</v>
      </c>
      <c r="T118" s="76">
        <f t="shared" ca="1" si="562"/>
        <v>0</v>
      </c>
      <c r="U118" s="76">
        <f t="shared" ca="1" si="562"/>
        <v>0</v>
      </c>
      <c r="V118" s="76">
        <f t="shared" ca="1" si="562"/>
        <v>0</v>
      </c>
      <c r="W118" s="76">
        <f t="shared" ca="1" si="562"/>
        <v>0</v>
      </c>
      <c r="X118" s="76">
        <f t="shared" ca="1" si="562"/>
        <v>0</v>
      </c>
      <c r="Y118" s="76">
        <f t="shared" ca="1" si="562"/>
        <v>0</v>
      </c>
      <c r="Z118" s="76">
        <f t="shared" ca="1" si="562"/>
        <v>0</v>
      </c>
      <c r="AA118" s="76">
        <f t="shared" ca="1" si="562"/>
        <v>0</v>
      </c>
      <c r="AB118" s="76">
        <f t="shared" ca="1" si="562"/>
        <v>0</v>
      </c>
      <c r="AC118" s="76">
        <f t="shared" ca="1" si="562"/>
        <v>0</v>
      </c>
      <c r="AD118" s="76">
        <f t="shared" ca="1" si="562"/>
        <v>0</v>
      </c>
      <c r="AE118" s="76">
        <f t="shared" ca="1" si="562"/>
        <v>0</v>
      </c>
      <c r="AF118" s="76">
        <f t="shared" ca="1" si="562"/>
        <v>0</v>
      </c>
      <c r="AG118" s="76">
        <f t="shared" ca="1" si="562"/>
        <v>0</v>
      </c>
      <c r="AH118" s="76">
        <f t="shared" ca="1" si="562"/>
        <v>0</v>
      </c>
      <c r="AI118" s="76">
        <f t="shared" ca="1" si="562"/>
        <v>0</v>
      </c>
      <c r="AJ118" s="76">
        <f t="shared" ref="AJ118:BK118" ca="1" si="563">SUMIFS(INDIRECT("BusinessModelAssumptions[Cost]"),INDIRECT("BusinessModelAssumptions[Stage]"),PostRelease,INDIRECT("BusinessModelAssumptions[Category]"),$B117,INDIRECT("BusinessModelAssumptions[Post-Cost Type]"),$B118)</f>
        <v>0</v>
      </c>
      <c r="AK118" s="76">
        <f t="shared" ca="1" si="563"/>
        <v>0</v>
      </c>
      <c r="AL118" s="76">
        <f t="shared" ca="1" si="563"/>
        <v>0</v>
      </c>
      <c r="AM118" s="76">
        <f t="shared" ca="1" si="563"/>
        <v>0</v>
      </c>
      <c r="AN118" s="76">
        <f t="shared" ca="1" si="563"/>
        <v>0</v>
      </c>
      <c r="AO118" s="76">
        <f t="shared" ca="1" si="563"/>
        <v>0</v>
      </c>
      <c r="AP118" s="76">
        <f t="shared" ca="1" si="563"/>
        <v>0</v>
      </c>
      <c r="AQ118" s="76">
        <f t="shared" ca="1" si="563"/>
        <v>0</v>
      </c>
      <c r="AR118" s="76">
        <f t="shared" ca="1" si="563"/>
        <v>0</v>
      </c>
      <c r="AS118" s="76">
        <f t="shared" ca="1" si="563"/>
        <v>0</v>
      </c>
      <c r="AT118" s="76">
        <f t="shared" ca="1" si="563"/>
        <v>0</v>
      </c>
      <c r="AU118" s="76">
        <f t="shared" ca="1" si="563"/>
        <v>0</v>
      </c>
      <c r="AV118" s="76">
        <f t="shared" ca="1" si="563"/>
        <v>0</v>
      </c>
      <c r="AW118" s="76">
        <f t="shared" ca="1" si="563"/>
        <v>0</v>
      </c>
      <c r="AX118" s="76">
        <f t="shared" ca="1" si="563"/>
        <v>0</v>
      </c>
      <c r="AY118" s="76">
        <f t="shared" ca="1" si="563"/>
        <v>0</v>
      </c>
      <c r="AZ118" s="76">
        <f t="shared" ca="1" si="563"/>
        <v>0</v>
      </c>
      <c r="BA118" s="76">
        <f t="shared" ca="1" si="563"/>
        <v>0</v>
      </c>
      <c r="BB118" s="76">
        <f t="shared" ca="1" si="563"/>
        <v>0</v>
      </c>
      <c r="BC118" s="76">
        <f t="shared" ca="1" si="563"/>
        <v>0</v>
      </c>
      <c r="BD118" s="76">
        <f t="shared" ca="1" si="563"/>
        <v>0</v>
      </c>
      <c r="BE118" s="76">
        <f t="shared" ca="1" si="563"/>
        <v>0</v>
      </c>
      <c r="BF118" s="76">
        <f t="shared" ca="1" si="563"/>
        <v>0</v>
      </c>
      <c r="BG118" s="76">
        <f t="shared" ca="1" si="563"/>
        <v>0</v>
      </c>
      <c r="BH118" s="76">
        <f t="shared" ca="1" si="563"/>
        <v>0</v>
      </c>
      <c r="BI118" s="76">
        <f t="shared" ca="1" si="563"/>
        <v>0</v>
      </c>
      <c r="BJ118" s="76">
        <f t="shared" ca="1" si="563"/>
        <v>0</v>
      </c>
      <c r="BK118" s="76">
        <f t="shared" ca="1" si="563"/>
        <v>0</v>
      </c>
    </row>
    <row r="119" spans="1:63" x14ac:dyDescent="0.2">
      <c r="A119" s="147"/>
      <c r="B119" s="77" t="str">
        <f>Lists!$A$29</f>
        <v>Per Unit Sold</v>
      </c>
      <c r="C119" s="9"/>
      <c r="D119" s="76">
        <f t="shared" ref="D119:AI119" ca="1" si="564">SUMIFS(INDIRECT("BusinessModelAssumptions[Cost]"),INDIRECT("BusinessModelAssumptions[Stage]"),PostRelease,INDIRECT("BusinessModelAssumptions[Category]"),$B117,INDIRECT("BusinessModelAssumptions[Post-Cost Type]"),$B119)*TotalUnitsSold</f>
        <v>0</v>
      </c>
      <c r="E119" s="76">
        <f t="shared" ca="1" si="564"/>
        <v>0</v>
      </c>
      <c r="F119" s="76">
        <f t="shared" ca="1" si="564"/>
        <v>0</v>
      </c>
      <c r="G119" s="76">
        <f t="shared" ca="1" si="564"/>
        <v>0</v>
      </c>
      <c r="H119" s="76">
        <f t="shared" ca="1" si="564"/>
        <v>0</v>
      </c>
      <c r="I119" s="76">
        <f t="shared" ca="1" si="564"/>
        <v>0</v>
      </c>
      <c r="J119" s="76">
        <f t="shared" ca="1" si="564"/>
        <v>0</v>
      </c>
      <c r="K119" s="76">
        <f t="shared" ca="1" si="564"/>
        <v>0</v>
      </c>
      <c r="L119" s="76">
        <f t="shared" ca="1" si="564"/>
        <v>0</v>
      </c>
      <c r="M119" s="76">
        <f t="shared" ca="1" si="564"/>
        <v>0</v>
      </c>
      <c r="N119" s="76">
        <f t="shared" ca="1" si="564"/>
        <v>0</v>
      </c>
      <c r="O119" s="76">
        <f t="shared" ca="1" si="564"/>
        <v>0</v>
      </c>
      <c r="P119" s="76">
        <f t="shared" ca="1" si="564"/>
        <v>0</v>
      </c>
      <c r="Q119" s="76">
        <f t="shared" ca="1" si="564"/>
        <v>0</v>
      </c>
      <c r="R119" s="76">
        <f t="shared" ca="1" si="564"/>
        <v>0</v>
      </c>
      <c r="S119" s="76">
        <f t="shared" ca="1" si="564"/>
        <v>0</v>
      </c>
      <c r="T119" s="76">
        <f t="shared" ca="1" si="564"/>
        <v>0</v>
      </c>
      <c r="U119" s="76">
        <f t="shared" ca="1" si="564"/>
        <v>0</v>
      </c>
      <c r="V119" s="76">
        <f t="shared" ca="1" si="564"/>
        <v>0</v>
      </c>
      <c r="W119" s="76">
        <f t="shared" ca="1" si="564"/>
        <v>0</v>
      </c>
      <c r="X119" s="76">
        <f t="shared" ca="1" si="564"/>
        <v>0</v>
      </c>
      <c r="Y119" s="76">
        <f t="shared" ca="1" si="564"/>
        <v>0</v>
      </c>
      <c r="Z119" s="76">
        <f t="shared" ca="1" si="564"/>
        <v>0</v>
      </c>
      <c r="AA119" s="76">
        <f t="shared" ca="1" si="564"/>
        <v>0</v>
      </c>
      <c r="AB119" s="76">
        <f t="shared" ca="1" si="564"/>
        <v>0</v>
      </c>
      <c r="AC119" s="76">
        <f t="shared" ca="1" si="564"/>
        <v>0</v>
      </c>
      <c r="AD119" s="76">
        <f t="shared" ca="1" si="564"/>
        <v>0</v>
      </c>
      <c r="AE119" s="76">
        <f t="shared" ca="1" si="564"/>
        <v>0</v>
      </c>
      <c r="AF119" s="76">
        <f t="shared" ca="1" si="564"/>
        <v>0</v>
      </c>
      <c r="AG119" s="76">
        <f t="shared" ca="1" si="564"/>
        <v>0</v>
      </c>
      <c r="AH119" s="76">
        <f t="shared" ca="1" si="564"/>
        <v>0</v>
      </c>
      <c r="AI119" s="76">
        <f t="shared" ca="1" si="564"/>
        <v>0</v>
      </c>
      <c r="AJ119" s="76">
        <f t="shared" ref="AJ119:BK119" ca="1" si="565">SUMIFS(INDIRECT("BusinessModelAssumptions[Cost]"),INDIRECT("BusinessModelAssumptions[Stage]"),PostRelease,INDIRECT("BusinessModelAssumptions[Category]"),$B117,INDIRECT("BusinessModelAssumptions[Post-Cost Type]"),$B119)*TotalUnitsSold</f>
        <v>0</v>
      </c>
      <c r="AK119" s="76">
        <f t="shared" ca="1" si="565"/>
        <v>0</v>
      </c>
      <c r="AL119" s="76">
        <f t="shared" ca="1" si="565"/>
        <v>0</v>
      </c>
      <c r="AM119" s="76">
        <f t="shared" ca="1" si="565"/>
        <v>0</v>
      </c>
      <c r="AN119" s="76">
        <f t="shared" ca="1" si="565"/>
        <v>0</v>
      </c>
      <c r="AO119" s="76">
        <f t="shared" ca="1" si="565"/>
        <v>0</v>
      </c>
      <c r="AP119" s="76">
        <f t="shared" ca="1" si="565"/>
        <v>0</v>
      </c>
      <c r="AQ119" s="76">
        <f t="shared" ca="1" si="565"/>
        <v>0</v>
      </c>
      <c r="AR119" s="76">
        <f t="shared" ca="1" si="565"/>
        <v>0</v>
      </c>
      <c r="AS119" s="76">
        <f t="shared" ca="1" si="565"/>
        <v>0</v>
      </c>
      <c r="AT119" s="76">
        <f t="shared" ca="1" si="565"/>
        <v>0</v>
      </c>
      <c r="AU119" s="76">
        <f t="shared" ca="1" si="565"/>
        <v>0</v>
      </c>
      <c r="AV119" s="76">
        <f t="shared" ca="1" si="565"/>
        <v>0</v>
      </c>
      <c r="AW119" s="76">
        <f t="shared" ca="1" si="565"/>
        <v>0</v>
      </c>
      <c r="AX119" s="76">
        <f t="shared" ca="1" si="565"/>
        <v>0</v>
      </c>
      <c r="AY119" s="76">
        <f t="shared" ca="1" si="565"/>
        <v>0</v>
      </c>
      <c r="AZ119" s="76">
        <f t="shared" ca="1" si="565"/>
        <v>0</v>
      </c>
      <c r="BA119" s="76">
        <f t="shared" ca="1" si="565"/>
        <v>0</v>
      </c>
      <c r="BB119" s="76">
        <f t="shared" ca="1" si="565"/>
        <v>0</v>
      </c>
      <c r="BC119" s="76">
        <f t="shared" ca="1" si="565"/>
        <v>0</v>
      </c>
      <c r="BD119" s="76">
        <f t="shared" ca="1" si="565"/>
        <v>0</v>
      </c>
      <c r="BE119" s="76">
        <f t="shared" ca="1" si="565"/>
        <v>0</v>
      </c>
      <c r="BF119" s="76">
        <f t="shared" ca="1" si="565"/>
        <v>0</v>
      </c>
      <c r="BG119" s="76">
        <f t="shared" ca="1" si="565"/>
        <v>0</v>
      </c>
      <c r="BH119" s="76">
        <f t="shared" ca="1" si="565"/>
        <v>0</v>
      </c>
      <c r="BI119" s="76">
        <f t="shared" ca="1" si="565"/>
        <v>0</v>
      </c>
      <c r="BJ119" s="76">
        <f t="shared" ca="1" si="565"/>
        <v>0</v>
      </c>
      <c r="BK119" s="76">
        <f t="shared" ca="1" si="565"/>
        <v>0</v>
      </c>
    </row>
    <row r="120" spans="1:63" x14ac:dyDescent="0.2">
      <c r="A120" s="147"/>
      <c r="B120" s="77" t="str">
        <f>Lists!$A$30</f>
        <v>% of Revenue</v>
      </c>
      <c r="C120" s="9"/>
      <c r="D120" s="76">
        <f t="shared" ref="D120:AI120" ca="1" si="566">SUMIFS(INDIRECT("BusinessModelAssumptions[Cost]"),INDIRECT("BusinessModelAssumptions[Stage]"),PostRelease,INDIRECT("BusinessModelAssumptions[Category]"),$B117,INDIRECT("BusinessModelAssumptions[Post-Cost Type]"),$B120)*TotalRevenue *-1</f>
        <v>0</v>
      </c>
      <c r="E120" s="76">
        <f t="shared" ca="1" si="566"/>
        <v>0</v>
      </c>
      <c r="F120" s="76">
        <f t="shared" ca="1" si="566"/>
        <v>0</v>
      </c>
      <c r="G120" s="76">
        <f t="shared" ca="1" si="566"/>
        <v>0</v>
      </c>
      <c r="H120" s="76">
        <f t="shared" ca="1" si="566"/>
        <v>0</v>
      </c>
      <c r="I120" s="76">
        <f t="shared" ca="1" si="566"/>
        <v>0</v>
      </c>
      <c r="J120" s="76">
        <f t="shared" ca="1" si="566"/>
        <v>0</v>
      </c>
      <c r="K120" s="76">
        <f t="shared" ca="1" si="566"/>
        <v>0</v>
      </c>
      <c r="L120" s="76">
        <f t="shared" ca="1" si="566"/>
        <v>0</v>
      </c>
      <c r="M120" s="76">
        <f t="shared" ca="1" si="566"/>
        <v>0</v>
      </c>
      <c r="N120" s="76">
        <f t="shared" ca="1" si="566"/>
        <v>0</v>
      </c>
      <c r="O120" s="76">
        <f t="shared" ca="1" si="566"/>
        <v>0</v>
      </c>
      <c r="P120" s="76">
        <f t="shared" ca="1" si="566"/>
        <v>0</v>
      </c>
      <c r="Q120" s="76">
        <f t="shared" ca="1" si="566"/>
        <v>0</v>
      </c>
      <c r="R120" s="76">
        <f t="shared" ca="1" si="566"/>
        <v>0</v>
      </c>
      <c r="S120" s="76">
        <f t="shared" ca="1" si="566"/>
        <v>0</v>
      </c>
      <c r="T120" s="76">
        <f t="shared" ca="1" si="566"/>
        <v>0</v>
      </c>
      <c r="U120" s="76">
        <f t="shared" ca="1" si="566"/>
        <v>0</v>
      </c>
      <c r="V120" s="76">
        <f t="shared" ca="1" si="566"/>
        <v>0</v>
      </c>
      <c r="W120" s="76">
        <f t="shared" ca="1" si="566"/>
        <v>0</v>
      </c>
      <c r="X120" s="76">
        <f t="shared" ca="1" si="566"/>
        <v>0</v>
      </c>
      <c r="Y120" s="76">
        <f t="shared" ca="1" si="566"/>
        <v>0</v>
      </c>
      <c r="Z120" s="76">
        <f t="shared" ca="1" si="566"/>
        <v>0</v>
      </c>
      <c r="AA120" s="76">
        <f t="shared" ca="1" si="566"/>
        <v>0</v>
      </c>
      <c r="AB120" s="76">
        <f t="shared" ca="1" si="566"/>
        <v>0</v>
      </c>
      <c r="AC120" s="76">
        <f t="shared" ca="1" si="566"/>
        <v>0</v>
      </c>
      <c r="AD120" s="76">
        <f t="shared" ca="1" si="566"/>
        <v>0</v>
      </c>
      <c r="AE120" s="76">
        <f t="shared" ca="1" si="566"/>
        <v>0</v>
      </c>
      <c r="AF120" s="76">
        <f t="shared" ca="1" si="566"/>
        <v>0</v>
      </c>
      <c r="AG120" s="76">
        <f t="shared" ca="1" si="566"/>
        <v>0</v>
      </c>
      <c r="AH120" s="76">
        <f t="shared" ca="1" si="566"/>
        <v>0</v>
      </c>
      <c r="AI120" s="76">
        <f t="shared" ca="1" si="566"/>
        <v>0</v>
      </c>
      <c r="AJ120" s="76">
        <f t="shared" ref="AJ120:BK120" ca="1" si="567">SUMIFS(INDIRECT("BusinessModelAssumptions[Cost]"),INDIRECT("BusinessModelAssumptions[Stage]"),PostRelease,INDIRECT("BusinessModelAssumptions[Category]"),$B117,INDIRECT("BusinessModelAssumptions[Post-Cost Type]"),$B120)*TotalRevenue *-1</f>
        <v>0</v>
      </c>
      <c r="AK120" s="76">
        <f t="shared" ca="1" si="567"/>
        <v>0</v>
      </c>
      <c r="AL120" s="76">
        <f t="shared" ca="1" si="567"/>
        <v>0</v>
      </c>
      <c r="AM120" s="76">
        <f t="shared" ca="1" si="567"/>
        <v>0</v>
      </c>
      <c r="AN120" s="76">
        <f t="shared" ca="1" si="567"/>
        <v>0</v>
      </c>
      <c r="AO120" s="76">
        <f t="shared" ca="1" si="567"/>
        <v>0</v>
      </c>
      <c r="AP120" s="76">
        <f t="shared" ca="1" si="567"/>
        <v>0</v>
      </c>
      <c r="AQ120" s="76">
        <f t="shared" ca="1" si="567"/>
        <v>0</v>
      </c>
      <c r="AR120" s="76">
        <f t="shared" ca="1" si="567"/>
        <v>0</v>
      </c>
      <c r="AS120" s="76">
        <f t="shared" ca="1" si="567"/>
        <v>0</v>
      </c>
      <c r="AT120" s="76">
        <f t="shared" ca="1" si="567"/>
        <v>0</v>
      </c>
      <c r="AU120" s="76">
        <f t="shared" ca="1" si="567"/>
        <v>0</v>
      </c>
      <c r="AV120" s="76">
        <f t="shared" ca="1" si="567"/>
        <v>0</v>
      </c>
      <c r="AW120" s="76">
        <f t="shared" ca="1" si="567"/>
        <v>0</v>
      </c>
      <c r="AX120" s="76">
        <f t="shared" ca="1" si="567"/>
        <v>0</v>
      </c>
      <c r="AY120" s="76">
        <f t="shared" ca="1" si="567"/>
        <v>0</v>
      </c>
      <c r="AZ120" s="76">
        <f t="shared" ca="1" si="567"/>
        <v>0</v>
      </c>
      <c r="BA120" s="76">
        <f t="shared" ca="1" si="567"/>
        <v>0</v>
      </c>
      <c r="BB120" s="76">
        <f t="shared" ca="1" si="567"/>
        <v>0</v>
      </c>
      <c r="BC120" s="76">
        <f t="shared" ca="1" si="567"/>
        <v>0</v>
      </c>
      <c r="BD120" s="76">
        <f t="shared" ca="1" si="567"/>
        <v>0</v>
      </c>
      <c r="BE120" s="76">
        <f t="shared" ca="1" si="567"/>
        <v>0</v>
      </c>
      <c r="BF120" s="76">
        <f t="shared" ca="1" si="567"/>
        <v>0</v>
      </c>
      <c r="BG120" s="76">
        <f t="shared" ca="1" si="567"/>
        <v>0</v>
      </c>
      <c r="BH120" s="76">
        <f t="shared" ca="1" si="567"/>
        <v>0</v>
      </c>
      <c r="BI120" s="76">
        <f t="shared" ca="1" si="567"/>
        <v>0</v>
      </c>
      <c r="BJ120" s="76">
        <f t="shared" ca="1" si="567"/>
        <v>0</v>
      </c>
      <c r="BK120" s="76">
        <f t="shared" ca="1" si="567"/>
        <v>0</v>
      </c>
    </row>
    <row r="121" spans="1:63" x14ac:dyDescent="0.2">
      <c r="A121" s="147"/>
      <c r="B121" s="77" t="s">
        <v>111</v>
      </c>
      <c r="C121" s="9"/>
      <c r="D121" s="76"/>
      <c r="E121" s="76"/>
      <c r="F121" s="76"/>
      <c r="G121" s="76"/>
      <c r="H121" s="76"/>
      <c r="I121" s="76"/>
      <c r="J121" s="76"/>
      <c r="K121" s="76"/>
      <c r="L121" s="76"/>
      <c r="M121" s="76"/>
      <c r="N121" s="76"/>
      <c r="O121" s="76"/>
      <c r="P121" s="76"/>
      <c r="Q121" s="76"/>
      <c r="R121" s="76"/>
      <c r="S121" s="76"/>
      <c r="T121" s="76"/>
      <c r="U121" s="76"/>
      <c r="V121" s="76"/>
      <c r="W121" s="76"/>
      <c r="X121" s="76"/>
      <c r="Y121" s="76"/>
      <c r="Z121" s="76"/>
      <c r="AA121" s="76"/>
      <c r="AB121" s="76"/>
      <c r="AC121" s="76"/>
      <c r="AD121" s="76"/>
      <c r="AE121" s="76"/>
      <c r="AF121" s="76"/>
      <c r="AG121" s="76"/>
      <c r="AH121" s="76"/>
      <c r="AI121" s="76"/>
      <c r="AJ121" s="76"/>
      <c r="AK121" s="76"/>
      <c r="AL121" s="76"/>
      <c r="AM121" s="76"/>
      <c r="AN121" s="76"/>
      <c r="AO121" s="76"/>
      <c r="AP121" s="76"/>
      <c r="AQ121" s="76"/>
      <c r="AR121" s="76"/>
      <c r="AS121" s="76"/>
      <c r="AT121" s="76"/>
      <c r="AU121" s="76"/>
      <c r="AV121" s="76"/>
      <c r="AW121" s="76"/>
      <c r="AX121" s="76"/>
      <c r="AY121" s="76"/>
      <c r="AZ121" s="76"/>
      <c r="BA121" s="76"/>
      <c r="BB121" s="76"/>
      <c r="BC121" s="76"/>
      <c r="BD121" s="76"/>
      <c r="BE121" s="76"/>
      <c r="BF121" s="76"/>
      <c r="BG121" s="76"/>
      <c r="BH121" s="76"/>
      <c r="BI121" s="76"/>
      <c r="BJ121" s="76"/>
      <c r="BK121" s="76"/>
    </row>
    <row r="122" spans="1:63" x14ac:dyDescent="0.2">
      <c r="A122" s="147"/>
      <c r="B122" s="75" t="str">
        <f>Lists!A21</f>
        <v>N/A</v>
      </c>
      <c r="C122" s="9"/>
      <c r="D122" s="76">
        <f ca="1">SUM(D123:D126)</f>
        <v>0</v>
      </c>
      <c r="E122" s="76">
        <f t="shared" ref="E122:AM122" ca="1" si="568">SUM(E123:E126)</f>
        <v>0</v>
      </c>
      <c r="F122" s="76">
        <f t="shared" ca="1" si="568"/>
        <v>0</v>
      </c>
      <c r="G122" s="76">
        <f t="shared" ca="1" si="568"/>
        <v>0</v>
      </c>
      <c r="H122" s="76">
        <f t="shared" ca="1" si="568"/>
        <v>0</v>
      </c>
      <c r="I122" s="76">
        <f t="shared" ca="1" si="568"/>
        <v>0</v>
      </c>
      <c r="J122" s="76">
        <f t="shared" ca="1" si="568"/>
        <v>0</v>
      </c>
      <c r="K122" s="76">
        <f t="shared" ca="1" si="568"/>
        <v>0</v>
      </c>
      <c r="L122" s="76">
        <f t="shared" ca="1" si="568"/>
        <v>0</v>
      </c>
      <c r="M122" s="76">
        <f t="shared" ca="1" si="568"/>
        <v>0</v>
      </c>
      <c r="N122" s="76">
        <f t="shared" ca="1" si="568"/>
        <v>0</v>
      </c>
      <c r="O122" s="76">
        <f t="shared" ca="1" si="568"/>
        <v>0</v>
      </c>
      <c r="P122" s="76">
        <f t="shared" ca="1" si="568"/>
        <v>0</v>
      </c>
      <c r="Q122" s="76">
        <f t="shared" ca="1" si="568"/>
        <v>0</v>
      </c>
      <c r="R122" s="76">
        <f t="shared" ca="1" si="568"/>
        <v>0</v>
      </c>
      <c r="S122" s="76">
        <f t="shared" ca="1" si="568"/>
        <v>0</v>
      </c>
      <c r="T122" s="76">
        <f t="shared" ca="1" si="568"/>
        <v>0</v>
      </c>
      <c r="U122" s="76">
        <f t="shared" ca="1" si="568"/>
        <v>0</v>
      </c>
      <c r="V122" s="76">
        <f t="shared" ca="1" si="568"/>
        <v>0</v>
      </c>
      <c r="W122" s="76">
        <f t="shared" ca="1" si="568"/>
        <v>0</v>
      </c>
      <c r="X122" s="76">
        <f t="shared" ca="1" si="568"/>
        <v>0</v>
      </c>
      <c r="Y122" s="76">
        <f t="shared" ca="1" si="568"/>
        <v>0</v>
      </c>
      <c r="Z122" s="76">
        <f t="shared" ca="1" si="568"/>
        <v>0</v>
      </c>
      <c r="AA122" s="76">
        <f t="shared" ca="1" si="568"/>
        <v>0</v>
      </c>
      <c r="AB122" s="76">
        <f t="shared" ca="1" si="568"/>
        <v>0</v>
      </c>
      <c r="AC122" s="76">
        <f t="shared" ca="1" si="568"/>
        <v>0</v>
      </c>
      <c r="AD122" s="76">
        <f t="shared" ca="1" si="568"/>
        <v>0</v>
      </c>
      <c r="AE122" s="76">
        <f t="shared" ca="1" si="568"/>
        <v>0</v>
      </c>
      <c r="AF122" s="76">
        <f t="shared" ca="1" si="568"/>
        <v>0</v>
      </c>
      <c r="AG122" s="76">
        <f t="shared" ca="1" si="568"/>
        <v>0</v>
      </c>
      <c r="AH122" s="76">
        <f t="shared" ca="1" si="568"/>
        <v>0</v>
      </c>
      <c r="AI122" s="76">
        <f t="shared" ca="1" si="568"/>
        <v>0</v>
      </c>
      <c r="AJ122" s="76">
        <f t="shared" ca="1" si="568"/>
        <v>0</v>
      </c>
      <c r="AK122" s="76">
        <f t="shared" ca="1" si="568"/>
        <v>0</v>
      </c>
      <c r="AL122" s="76">
        <f t="shared" ca="1" si="568"/>
        <v>0</v>
      </c>
      <c r="AM122" s="76">
        <f t="shared" ca="1" si="568"/>
        <v>0</v>
      </c>
      <c r="AN122" s="76">
        <f t="shared" ref="AN122" ca="1" si="569">SUM(AN123:AN126)</f>
        <v>0</v>
      </c>
      <c r="AO122" s="76">
        <f t="shared" ref="AO122" ca="1" si="570">SUM(AO123:AO126)</f>
        <v>0</v>
      </c>
      <c r="AP122" s="76">
        <f t="shared" ref="AP122" ca="1" si="571">SUM(AP123:AP126)</f>
        <v>0</v>
      </c>
      <c r="AQ122" s="76">
        <f t="shared" ref="AQ122" ca="1" si="572">SUM(AQ123:AQ126)</f>
        <v>0</v>
      </c>
      <c r="AR122" s="76">
        <f t="shared" ref="AR122" ca="1" si="573">SUM(AR123:AR126)</f>
        <v>0</v>
      </c>
      <c r="AS122" s="76">
        <f t="shared" ref="AS122" ca="1" si="574">SUM(AS123:AS126)</f>
        <v>0</v>
      </c>
      <c r="AT122" s="76">
        <f t="shared" ref="AT122" ca="1" si="575">SUM(AT123:AT126)</f>
        <v>0</v>
      </c>
      <c r="AU122" s="76">
        <f t="shared" ref="AU122" ca="1" si="576">SUM(AU123:AU126)</f>
        <v>0</v>
      </c>
      <c r="AV122" s="76">
        <f t="shared" ref="AV122" ca="1" si="577">SUM(AV123:AV126)</f>
        <v>0</v>
      </c>
      <c r="AW122" s="76">
        <f t="shared" ref="AW122" ca="1" si="578">SUM(AW123:AW126)</f>
        <v>0</v>
      </c>
      <c r="AX122" s="76">
        <f t="shared" ref="AX122" ca="1" si="579">SUM(AX123:AX126)</f>
        <v>0</v>
      </c>
      <c r="AY122" s="76">
        <f t="shared" ref="AY122" ca="1" si="580">SUM(AY123:AY126)</f>
        <v>0</v>
      </c>
      <c r="AZ122" s="76">
        <f t="shared" ref="AZ122" ca="1" si="581">SUM(AZ123:AZ126)</f>
        <v>0</v>
      </c>
      <c r="BA122" s="76">
        <f t="shared" ref="BA122" ca="1" si="582">SUM(BA123:BA126)</f>
        <v>0</v>
      </c>
      <c r="BB122" s="76">
        <f t="shared" ref="BB122" ca="1" si="583">SUM(BB123:BB126)</f>
        <v>0</v>
      </c>
      <c r="BC122" s="76">
        <f t="shared" ref="BC122" ca="1" si="584">SUM(BC123:BC126)</f>
        <v>0</v>
      </c>
      <c r="BD122" s="76">
        <f t="shared" ref="BD122" ca="1" si="585">SUM(BD123:BD126)</f>
        <v>0</v>
      </c>
      <c r="BE122" s="76">
        <f t="shared" ref="BE122" ca="1" si="586">SUM(BE123:BE126)</f>
        <v>0</v>
      </c>
      <c r="BF122" s="76">
        <f t="shared" ref="BF122" ca="1" si="587">SUM(BF123:BF126)</f>
        <v>0</v>
      </c>
      <c r="BG122" s="76">
        <f t="shared" ref="BG122" ca="1" si="588">SUM(BG123:BG126)</f>
        <v>0</v>
      </c>
      <c r="BH122" s="76">
        <f t="shared" ref="BH122" ca="1" si="589">SUM(BH123:BH126)</f>
        <v>0</v>
      </c>
      <c r="BI122" s="76">
        <f t="shared" ref="BI122" ca="1" si="590">SUM(BI123:BI126)</f>
        <v>0</v>
      </c>
      <c r="BJ122" s="76">
        <f t="shared" ref="BJ122" ca="1" si="591">SUM(BJ123:BJ126)</f>
        <v>0</v>
      </c>
      <c r="BK122" s="76">
        <f t="shared" ref="BK122" ca="1" si="592">SUM(BK123:BK126)</f>
        <v>0</v>
      </c>
    </row>
    <row r="123" spans="1:63" x14ac:dyDescent="0.2">
      <c r="A123" s="147"/>
      <c r="B123" s="77" t="str">
        <f>Lists!$A$28</f>
        <v>Fixed (Monthly)</v>
      </c>
      <c r="C123" s="9"/>
      <c r="D123" s="76">
        <f t="shared" ref="D123:AI123" ca="1" si="593">SUMIFS(INDIRECT("BusinessModelAssumptions[Cost]"),INDIRECT("BusinessModelAssumptions[Stage]"),PostRelease,INDIRECT("BusinessModelAssumptions[Category]"),$B122,INDIRECT("BusinessModelAssumptions[Post-Cost Type]"),$B123)</f>
        <v>0</v>
      </c>
      <c r="E123" s="76">
        <f t="shared" ca="1" si="593"/>
        <v>0</v>
      </c>
      <c r="F123" s="76">
        <f t="shared" ca="1" si="593"/>
        <v>0</v>
      </c>
      <c r="G123" s="76">
        <f t="shared" ca="1" si="593"/>
        <v>0</v>
      </c>
      <c r="H123" s="76">
        <f t="shared" ca="1" si="593"/>
        <v>0</v>
      </c>
      <c r="I123" s="76">
        <f t="shared" ca="1" si="593"/>
        <v>0</v>
      </c>
      <c r="J123" s="76">
        <f t="shared" ca="1" si="593"/>
        <v>0</v>
      </c>
      <c r="K123" s="76">
        <f t="shared" ca="1" si="593"/>
        <v>0</v>
      </c>
      <c r="L123" s="76">
        <f t="shared" ca="1" si="593"/>
        <v>0</v>
      </c>
      <c r="M123" s="76">
        <f t="shared" ca="1" si="593"/>
        <v>0</v>
      </c>
      <c r="N123" s="76">
        <f t="shared" ca="1" si="593"/>
        <v>0</v>
      </c>
      <c r="O123" s="76">
        <f t="shared" ca="1" si="593"/>
        <v>0</v>
      </c>
      <c r="P123" s="76">
        <f t="shared" ca="1" si="593"/>
        <v>0</v>
      </c>
      <c r="Q123" s="76">
        <f t="shared" ca="1" si="593"/>
        <v>0</v>
      </c>
      <c r="R123" s="76">
        <f t="shared" ca="1" si="593"/>
        <v>0</v>
      </c>
      <c r="S123" s="76">
        <f t="shared" ca="1" si="593"/>
        <v>0</v>
      </c>
      <c r="T123" s="76">
        <f t="shared" ca="1" si="593"/>
        <v>0</v>
      </c>
      <c r="U123" s="76">
        <f t="shared" ca="1" si="593"/>
        <v>0</v>
      </c>
      <c r="V123" s="76">
        <f t="shared" ca="1" si="593"/>
        <v>0</v>
      </c>
      <c r="W123" s="76">
        <f t="shared" ca="1" si="593"/>
        <v>0</v>
      </c>
      <c r="X123" s="76">
        <f t="shared" ca="1" si="593"/>
        <v>0</v>
      </c>
      <c r="Y123" s="76">
        <f t="shared" ca="1" si="593"/>
        <v>0</v>
      </c>
      <c r="Z123" s="76">
        <f t="shared" ca="1" si="593"/>
        <v>0</v>
      </c>
      <c r="AA123" s="76">
        <f t="shared" ca="1" si="593"/>
        <v>0</v>
      </c>
      <c r="AB123" s="76">
        <f t="shared" ca="1" si="593"/>
        <v>0</v>
      </c>
      <c r="AC123" s="76">
        <f t="shared" ca="1" si="593"/>
        <v>0</v>
      </c>
      <c r="AD123" s="76">
        <f t="shared" ca="1" si="593"/>
        <v>0</v>
      </c>
      <c r="AE123" s="76">
        <f t="shared" ca="1" si="593"/>
        <v>0</v>
      </c>
      <c r="AF123" s="76">
        <f t="shared" ca="1" si="593"/>
        <v>0</v>
      </c>
      <c r="AG123" s="76">
        <f t="shared" ca="1" si="593"/>
        <v>0</v>
      </c>
      <c r="AH123" s="76">
        <f t="shared" ca="1" si="593"/>
        <v>0</v>
      </c>
      <c r="AI123" s="76">
        <f t="shared" ca="1" si="593"/>
        <v>0</v>
      </c>
      <c r="AJ123" s="76">
        <f t="shared" ref="AJ123:BK123" ca="1" si="594">SUMIFS(INDIRECT("BusinessModelAssumptions[Cost]"),INDIRECT("BusinessModelAssumptions[Stage]"),PostRelease,INDIRECT("BusinessModelAssumptions[Category]"),$B122,INDIRECT("BusinessModelAssumptions[Post-Cost Type]"),$B123)</f>
        <v>0</v>
      </c>
      <c r="AK123" s="76">
        <f t="shared" ca="1" si="594"/>
        <v>0</v>
      </c>
      <c r="AL123" s="76">
        <f t="shared" ca="1" si="594"/>
        <v>0</v>
      </c>
      <c r="AM123" s="76">
        <f t="shared" ca="1" si="594"/>
        <v>0</v>
      </c>
      <c r="AN123" s="76">
        <f t="shared" ca="1" si="594"/>
        <v>0</v>
      </c>
      <c r="AO123" s="76">
        <f t="shared" ca="1" si="594"/>
        <v>0</v>
      </c>
      <c r="AP123" s="76">
        <f t="shared" ca="1" si="594"/>
        <v>0</v>
      </c>
      <c r="AQ123" s="76">
        <f t="shared" ca="1" si="594"/>
        <v>0</v>
      </c>
      <c r="AR123" s="76">
        <f t="shared" ca="1" si="594"/>
        <v>0</v>
      </c>
      <c r="AS123" s="76">
        <f t="shared" ca="1" si="594"/>
        <v>0</v>
      </c>
      <c r="AT123" s="76">
        <f t="shared" ca="1" si="594"/>
        <v>0</v>
      </c>
      <c r="AU123" s="76">
        <f t="shared" ca="1" si="594"/>
        <v>0</v>
      </c>
      <c r="AV123" s="76">
        <f t="shared" ca="1" si="594"/>
        <v>0</v>
      </c>
      <c r="AW123" s="76">
        <f t="shared" ca="1" si="594"/>
        <v>0</v>
      </c>
      <c r="AX123" s="76">
        <f t="shared" ca="1" si="594"/>
        <v>0</v>
      </c>
      <c r="AY123" s="76">
        <f t="shared" ca="1" si="594"/>
        <v>0</v>
      </c>
      <c r="AZ123" s="76">
        <f t="shared" ca="1" si="594"/>
        <v>0</v>
      </c>
      <c r="BA123" s="76">
        <f t="shared" ca="1" si="594"/>
        <v>0</v>
      </c>
      <c r="BB123" s="76">
        <f t="shared" ca="1" si="594"/>
        <v>0</v>
      </c>
      <c r="BC123" s="76">
        <f t="shared" ca="1" si="594"/>
        <v>0</v>
      </c>
      <c r="BD123" s="76">
        <f t="shared" ca="1" si="594"/>
        <v>0</v>
      </c>
      <c r="BE123" s="76">
        <f t="shared" ca="1" si="594"/>
        <v>0</v>
      </c>
      <c r="BF123" s="76">
        <f t="shared" ca="1" si="594"/>
        <v>0</v>
      </c>
      <c r="BG123" s="76">
        <f t="shared" ca="1" si="594"/>
        <v>0</v>
      </c>
      <c r="BH123" s="76">
        <f t="shared" ca="1" si="594"/>
        <v>0</v>
      </c>
      <c r="BI123" s="76">
        <f t="shared" ca="1" si="594"/>
        <v>0</v>
      </c>
      <c r="BJ123" s="76">
        <f t="shared" ca="1" si="594"/>
        <v>0</v>
      </c>
      <c r="BK123" s="76">
        <f t="shared" ca="1" si="594"/>
        <v>0</v>
      </c>
    </row>
    <row r="124" spans="1:63" x14ac:dyDescent="0.2">
      <c r="A124" s="147"/>
      <c r="B124" s="77" t="str">
        <f>Lists!$A$29</f>
        <v>Per Unit Sold</v>
      </c>
      <c r="C124" s="9"/>
      <c r="D124" s="76">
        <f t="shared" ref="D124:AI124" ca="1" si="595">SUMIFS(INDIRECT("BusinessModelAssumptions[Cost]"),INDIRECT("BusinessModelAssumptions[Stage]"),PostRelease,INDIRECT("BusinessModelAssumptions[Category]"),$B122,INDIRECT("BusinessModelAssumptions[Post-Cost Type]"),$B124)*TotalUnitsSold</f>
        <v>0</v>
      </c>
      <c r="E124" s="76">
        <f t="shared" ca="1" si="595"/>
        <v>0</v>
      </c>
      <c r="F124" s="76">
        <f t="shared" ca="1" si="595"/>
        <v>0</v>
      </c>
      <c r="G124" s="76">
        <f t="shared" ca="1" si="595"/>
        <v>0</v>
      </c>
      <c r="H124" s="76">
        <f t="shared" ca="1" si="595"/>
        <v>0</v>
      </c>
      <c r="I124" s="76">
        <f t="shared" ca="1" si="595"/>
        <v>0</v>
      </c>
      <c r="J124" s="76">
        <f t="shared" ca="1" si="595"/>
        <v>0</v>
      </c>
      <c r="K124" s="76">
        <f t="shared" ca="1" si="595"/>
        <v>0</v>
      </c>
      <c r="L124" s="76">
        <f t="shared" ca="1" si="595"/>
        <v>0</v>
      </c>
      <c r="M124" s="76">
        <f t="shared" ca="1" si="595"/>
        <v>0</v>
      </c>
      <c r="N124" s="76">
        <f t="shared" ca="1" si="595"/>
        <v>0</v>
      </c>
      <c r="O124" s="76">
        <f t="shared" ca="1" si="595"/>
        <v>0</v>
      </c>
      <c r="P124" s="76">
        <f t="shared" ca="1" si="595"/>
        <v>0</v>
      </c>
      <c r="Q124" s="76">
        <f t="shared" ca="1" si="595"/>
        <v>0</v>
      </c>
      <c r="R124" s="76">
        <f t="shared" ca="1" si="595"/>
        <v>0</v>
      </c>
      <c r="S124" s="76">
        <f t="shared" ca="1" si="595"/>
        <v>0</v>
      </c>
      <c r="T124" s="76">
        <f t="shared" ca="1" si="595"/>
        <v>0</v>
      </c>
      <c r="U124" s="76">
        <f t="shared" ca="1" si="595"/>
        <v>0</v>
      </c>
      <c r="V124" s="76">
        <f t="shared" ca="1" si="595"/>
        <v>0</v>
      </c>
      <c r="W124" s="76">
        <f t="shared" ca="1" si="595"/>
        <v>0</v>
      </c>
      <c r="X124" s="76">
        <f t="shared" ca="1" si="595"/>
        <v>0</v>
      </c>
      <c r="Y124" s="76">
        <f t="shared" ca="1" si="595"/>
        <v>0</v>
      </c>
      <c r="Z124" s="76">
        <f t="shared" ca="1" si="595"/>
        <v>0</v>
      </c>
      <c r="AA124" s="76">
        <f t="shared" ca="1" si="595"/>
        <v>0</v>
      </c>
      <c r="AB124" s="76">
        <f t="shared" ca="1" si="595"/>
        <v>0</v>
      </c>
      <c r="AC124" s="76">
        <f t="shared" ca="1" si="595"/>
        <v>0</v>
      </c>
      <c r="AD124" s="76">
        <f t="shared" ca="1" si="595"/>
        <v>0</v>
      </c>
      <c r="AE124" s="76">
        <f t="shared" ca="1" si="595"/>
        <v>0</v>
      </c>
      <c r="AF124" s="76">
        <f t="shared" ca="1" si="595"/>
        <v>0</v>
      </c>
      <c r="AG124" s="76">
        <f t="shared" ca="1" si="595"/>
        <v>0</v>
      </c>
      <c r="AH124" s="76">
        <f t="shared" ca="1" si="595"/>
        <v>0</v>
      </c>
      <c r="AI124" s="76">
        <f t="shared" ca="1" si="595"/>
        <v>0</v>
      </c>
      <c r="AJ124" s="76">
        <f t="shared" ref="AJ124:BK124" ca="1" si="596">SUMIFS(INDIRECT("BusinessModelAssumptions[Cost]"),INDIRECT("BusinessModelAssumptions[Stage]"),PostRelease,INDIRECT("BusinessModelAssumptions[Category]"),$B122,INDIRECT("BusinessModelAssumptions[Post-Cost Type]"),$B124)*TotalUnitsSold</f>
        <v>0</v>
      </c>
      <c r="AK124" s="76">
        <f t="shared" ca="1" si="596"/>
        <v>0</v>
      </c>
      <c r="AL124" s="76">
        <f t="shared" ca="1" si="596"/>
        <v>0</v>
      </c>
      <c r="AM124" s="76">
        <f t="shared" ca="1" si="596"/>
        <v>0</v>
      </c>
      <c r="AN124" s="76">
        <f t="shared" ca="1" si="596"/>
        <v>0</v>
      </c>
      <c r="AO124" s="76">
        <f t="shared" ca="1" si="596"/>
        <v>0</v>
      </c>
      <c r="AP124" s="76">
        <f t="shared" ca="1" si="596"/>
        <v>0</v>
      </c>
      <c r="AQ124" s="76">
        <f t="shared" ca="1" si="596"/>
        <v>0</v>
      </c>
      <c r="AR124" s="76">
        <f t="shared" ca="1" si="596"/>
        <v>0</v>
      </c>
      <c r="AS124" s="76">
        <f t="shared" ca="1" si="596"/>
        <v>0</v>
      </c>
      <c r="AT124" s="76">
        <f t="shared" ca="1" si="596"/>
        <v>0</v>
      </c>
      <c r="AU124" s="76">
        <f t="shared" ca="1" si="596"/>
        <v>0</v>
      </c>
      <c r="AV124" s="76">
        <f t="shared" ca="1" si="596"/>
        <v>0</v>
      </c>
      <c r="AW124" s="76">
        <f t="shared" ca="1" si="596"/>
        <v>0</v>
      </c>
      <c r="AX124" s="76">
        <f t="shared" ca="1" si="596"/>
        <v>0</v>
      </c>
      <c r="AY124" s="76">
        <f t="shared" ca="1" si="596"/>
        <v>0</v>
      </c>
      <c r="AZ124" s="76">
        <f t="shared" ca="1" si="596"/>
        <v>0</v>
      </c>
      <c r="BA124" s="76">
        <f t="shared" ca="1" si="596"/>
        <v>0</v>
      </c>
      <c r="BB124" s="76">
        <f t="shared" ca="1" si="596"/>
        <v>0</v>
      </c>
      <c r="BC124" s="76">
        <f t="shared" ca="1" si="596"/>
        <v>0</v>
      </c>
      <c r="BD124" s="76">
        <f t="shared" ca="1" si="596"/>
        <v>0</v>
      </c>
      <c r="BE124" s="76">
        <f t="shared" ca="1" si="596"/>
        <v>0</v>
      </c>
      <c r="BF124" s="76">
        <f t="shared" ca="1" si="596"/>
        <v>0</v>
      </c>
      <c r="BG124" s="76">
        <f t="shared" ca="1" si="596"/>
        <v>0</v>
      </c>
      <c r="BH124" s="76">
        <f t="shared" ca="1" si="596"/>
        <v>0</v>
      </c>
      <c r="BI124" s="76">
        <f t="shared" ca="1" si="596"/>
        <v>0</v>
      </c>
      <c r="BJ124" s="76">
        <f t="shared" ca="1" si="596"/>
        <v>0</v>
      </c>
      <c r="BK124" s="76">
        <f t="shared" ca="1" si="596"/>
        <v>0</v>
      </c>
    </row>
    <row r="125" spans="1:63" x14ac:dyDescent="0.2">
      <c r="A125" s="147"/>
      <c r="B125" s="77" t="str">
        <f>Lists!$A$30</f>
        <v>% of Revenue</v>
      </c>
      <c r="C125" s="9"/>
      <c r="D125" s="76">
        <f t="shared" ref="D125:AI125" ca="1" si="597">SUMIFS(INDIRECT("BusinessModelAssumptions[Cost]"),INDIRECT("BusinessModelAssumptions[Stage]"),PostRelease,INDIRECT("BusinessModelAssumptions[Category]"),$B122,INDIRECT("BusinessModelAssumptions[Post-Cost Type]"),$B125)*TotalRevenue *-1</f>
        <v>0</v>
      </c>
      <c r="E125" s="76">
        <f t="shared" ca="1" si="597"/>
        <v>0</v>
      </c>
      <c r="F125" s="76">
        <f t="shared" ca="1" si="597"/>
        <v>0</v>
      </c>
      <c r="G125" s="76">
        <f t="shared" ca="1" si="597"/>
        <v>0</v>
      </c>
      <c r="H125" s="76">
        <f t="shared" ca="1" si="597"/>
        <v>0</v>
      </c>
      <c r="I125" s="76">
        <f t="shared" ca="1" si="597"/>
        <v>0</v>
      </c>
      <c r="J125" s="76">
        <f t="shared" ca="1" si="597"/>
        <v>0</v>
      </c>
      <c r="K125" s="76">
        <f t="shared" ca="1" si="597"/>
        <v>0</v>
      </c>
      <c r="L125" s="76">
        <f t="shared" ca="1" si="597"/>
        <v>0</v>
      </c>
      <c r="M125" s="76">
        <f t="shared" ca="1" si="597"/>
        <v>0</v>
      </c>
      <c r="N125" s="76">
        <f t="shared" ca="1" si="597"/>
        <v>0</v>
      </c>
      <c r="O125" s="76">
        <f t="shared" ca="1" si="597"/>
        <v>0</v>
      </c>
      <c r="P125" s="76">
        <f t="shared" ca="1" si="597"/>
        <v>0</v>
      </c>
      <c r="Q125" s="76">
        <f t="shared" ca="1" si="597"/>
        <v>0</v>
      </c>
      <c r="R125" s="76">
        <f t="shared" ca="1" si="597"/>
        <v>0</v>
      </c>
      <c r="S125" s="76">
        <f t="shared" ca="1" si="597"/>
        <v>0</v>
      </c>
      <c r="T125" s="76">
        <f t="shared" ca="1" si="597"/>
        <v>0</v>
      </c>
      <c r="U125" s="76">
        <f t="shared" ca="1" si="597"/>
        <v>0</v>
      </c>
      <c r="V125" s="76">
        <f t="shared" ca="1" si="597"/>
        <v>0</v>
      </c>
      <c r="W125" s="76">
        <f t="shared" ca="1" si="597"/>
        <v>0</v>
      </c>
      <c r="X125" s="76">
        <f t="shared" ca="1" si="597"/>
        <v>0</v>
      </c>
      <c r="Y125" s="76">
        <f t="shared" ca="1" si="597"/>
        <v>0</v>
      </c>
      <c r="Z125" s="76">
        <f t="shared" ca="1" si="597"/>
        <v>0</v>
      </c>
      <c r="AA125" s="76">
        <f t="shared" ca="1" si="597"/>
        <v>0</v>
      </c>
      <c r="AB125" s="76">
        <f t="shared" ca="1" si="597"/>
        <v>0</v>
      </c>
      <c r="AC125" s="76">
        <f t="shared" ca="1" si="597"/>
        <v>0</v>
      </c>
      <c r="AD125" s="76">
        <f t="shared" ca="1" si="597"/>
        <v>0</v>
      </c>
      <c r="AE125" s="76">
        <f t="shared" ca="1" si="597"/>
        <v>0</v>
      </c>
      <c r="AF125" s="76">
        <f t="shared" ca="1" si="597"/>
        <v>0</v>
      </c>
      <c r="AG125" s="76">
        <f t="shared" ca="1" si="597"/>
        <v>0</v>
      </c>
      <c r="AH125" s="76">
        <f t="shared" ca="1" si="597"/>
        <v>0</v>
      </c>
      <c r="AI125" s="76">
        <f t="shared" ca="1" si="597"/>
        <v>0</v>
      </c>
      <c r="AJ125" s="76">
        <f t="shared" ref="AJ125:BK125" ca="1" si="598">SUMIFS(INDIRECT("BusinessModelAssumptions[Cost]"),INDIRECT("BusinessModelAssumptions[Stage]"),PostRelease,INDIRECT("BusinessModelAssumptions[Category]"),$B122,INDIRECT("BusinessModelAssumptions[Post-Cost Type]"),$B125)*TotalRevenue *-1</f>
        <v>0</v>
      </c>
      <c r="AK125" s="76">
        <f t="shared" ca="1" si="598"/>
        <v>0</v>
      </c>
      <c r="AL125" s="76">
        <f t="shared" ca="1" si="598"/>
        <v>0</v>
      </c>
      <c r="AM125" s="76">
        <f t="shared" ca="1" si="598"/>
        <v>0</v>
      </c>
      <c r="AN125" s="76">
        <f t="shared" ca="1" si="598"/>
        <v>0</v>
      </c>
      <c r="AO125" s="76">
        <f t="shared" ca="1" si="598"/>
        <v>0</v>
      </c>
      <c r="AP125" s="76">
        <f t="shared" ca="1" si="598"/>
        <v>0</v>
      </c>
      <c r="AQ125" s="76">
        <f t="shared" ca="1" si="598"/>
        <v>0</v>
      </c>
      <c r="AR125" s="76">
        <f t="shared" ca="1" si="598"/>
        <v>0</v>
      </c>
      <c r="AS125" s="76">
        <f t="shared" ca="1" si="598"/>
        <v>0</v>
      </c>
      <c r="AT125" s="76">
        <f t="shared" ca="1" si="598"/>
        <v>0</v>
      </c>
      <c r="AU125" s="76">
        <f t="shared" ca="1" si="598"/>
        <v>0</v>
      </c>
      <c r="AV125" s="76">
        <f t="shared" ca="1" si="598"/>
        <v>0</v>
      </c>
      <c r="AW125" s="76">
        <f t="shared" ca="1" si="598"/>
        <v>0</v>
      </c>
      <c r="AX125" s="76">
        <f t="shared" ca="1" si="598"/>
        <v>0</v>
      </c>
      <c r="AY125" s="76">
        <f t="shared" ca="1" si="598"/>
        <v>0</v>
      </c>
      <c r="AZ125" s="76">
        <f t="shared" ca="1" si="598"/>
        <v>0</v>
      </c>
      <c r="BA125" s="76">
        <f t="shared" ca="1" si="598"/>
        <v>0</v>
      </c>
      <c r="BB125" s="76">
        <f t="shared" ca="1" si="598"/>
        <v>0</v>
      </c>
      <c r="BC125" s="76">
        <f t="shared" ca="1" si="598"/>
        <v>0</v>
      </c>
      <c r="BD125" s="76">
        <f t="shared" ca="1" si="598"/>
        <v>0</v>
      </c>
      <c r="BE125" s="76">
        <f t="shared" ca="1" si="598"/>
        <v>0</v>
      </c>
      <c r="BF125" s="76">
        <f t="shared" ca="1" si="598"/>
        <v>0</v>
      </c>
      <c r="BG125" s="76">
        <f t="shared" ca="1" si="598"/>
        <v>0</v>
      </c>
      <c r="BH125" s="76">
        <f t="shared" ca="1" si="598"/>
        <v>0</v>
      </c>
      <c r="BI125" s="76">
        <f t="shared" ca="1" si="598"/>
        <v>0</v>
      </c>
      <c r="BJ125" s="76">
        <f t="shared" ca="1" si="598"/>
        <v>0</v>
      </c>
      <c r="BK125" s="76">
        <f t="shared" ca="1" si="598"/>
        <v>0</v>
      </c>
    </row>
    <row r="126" spans="1:63" x14ac:dyDescent="0.2">
      <c r="A126" s="147"/>
      <c r="B126" s="77" t="s">
        <v>111</v>
      </c>
      <c r="C126" s="9"/>
      <c r="D126" s="76"/>
      <c r="E126" s="76"/>
      <c r="F126" s="76"/>
      <c r="G126" s="76"/>
      <c r="H126" s="76"/>
      <c r="I126" s="76"/>
      <c r="J126" s="76"/>
      <c r="K126" s="76"/>
      <c r="L126" s="76"/>
      <c r="M126" s="76"/>
      <c r="N126" s="76"/>
      <c r="O126" s="76"/>
      <c r="P126" s="76"/>
      <c r="Q126" s="76"/>
      <c r="R126" s="76"/>
      <c r="S126" s="76"/>
      <c r="T126" s="76"/>
      <c r="U126" s="76"/>
      <c r="V126" s="76"/>
      <c r="W126" s="76"/>
      <c r="X126" s="76"/>
      <c r="Y126" s="76"/>
      <c r="Z126" s="76"/>
      <c r="AA126" s="76"/>
      <c r="AB126" s="76"/>
      <c r="AC126" s="76"/>
      <c r="AD126" s="76"/>
      <c r="AE126" s="76"/>
      <c r="AF126" s="76"/>
      <c r="AG126" s="76"/>
      <c r="AH126" s="76"/>
      <c r="AI126" s="76"/>
      <c r="AJ126" s="76"/>
      <c r="AK126" s="76"/>
      <c r="AL126" s="76"/>
      <c r="AM126" s="76"/>
      <c r="AN126" s="76"/>
      <c r="AO126" s="76"/>
      <c r="AP126" s="76"/>
      <c r="AQ126" s="76"/>
      <c r="AR126" s="76"/>
      <c r="AS126" s="76"/>
      <c r="AT126" s="76"/>
      <c r="AU126" s="76"/>
      <c r="AV126" s="76"/>
      <c r="AW126" s="76"/>
      <c r="AX126" s="76"/>
      <c r="AY126" s="76"/>
      <c r="AZ126" s="76"/>
      <c r="BA126" s="76"/>
      <c r="BB126" s="76"/>
      <c r="BC126" s="76"/>
      <c r="BD126" s="76"/>
      <c r="BE126" s="76"/>
      <c r="BF126" s="76"/>
      <c r="BG126" s="76"/>
      <c r="BH126" s="76"/>
      <c r="BI126" s="76"/>
      <c r="BJ126" s="76"/>
      <c r="BK126" s="76"/>
    </row>
    <row r="127" spans="1:63" s="20" customFormat="1" x14ac:dyDescent="0.2">
      <c r="B127" s="20" t="s">
        <v>92</v>
      </c>
      <c r="C127" s="63">
        <f>SUM(C43:C126)</f>
        <v>-70000</v>
      </c>
      <c r="D127" s="63">
        <f t="shared" ref="D127:AI127" ca="1" si="599">Costrow1 + Costrow2 + Costrow3 + Costrow4 + Costrow5 + Costrow6 + Costrow7 + Costrow8 + Costrow9 + Costrow10 + Costrow11 + Costrow12 + Costrow13 + Costrow14</f>
        <v>-20395.300581592117</v>
      </c>
      <c r="E127" s="63">
        <f t="shared" ca="1" si="599"/>
        <v>-20520.102215418556</v>
      </c>
      <c r="F127" s="63">
        <f t="shared" ca="1" si="599"/>
        <v>-20661.285090228233</v>
      </c>
      <c r="G127" s="63">
        <f t="shared" ca="1" si="599"/>
        <v>-20821.49455546758</v>
      </c>
      <c r="H127" s="63">
        <f t="shared" ca="1" si="599"/>
        <v>-21003.597140113692</v>
      </c>
      <c r="I127" s="63">
        <f t="shared" ca="1" si="599"/>
        <v>-21210.687019589248</v>
      </c>
      <c r="J127" s="63">
        <f t="shared" ca="1" si="599"/>
        <v>-21446.088889385159</v>
      </c>
      <c r="K127" s="63">
        <f t="shared" ca="1" si="599"/>
        <v>-21713.356631626066</v>
      </c>
      <c r="L127" s="63">
        <f t="shared" ca="1" si="599"/>
        <v>-22016.267150306594</v>
      </c>
      <c r="M127" s="63">
        <f t="shared" ca="1" si="599"/>
        <v>-22358.808757192644</v>
      </c>
      <c r="N127" s="63">
        <f t="shared" ca="1" si="599"/>
        <v>-22745.163515950822</v>
      </c>
      <c r="O127" s="63">
        <f t="shared" ca="1" si="599"/>
        <v>-23179.682999226385</v>
      </c>
      <c r="P127" s="63">
        <f t="shared" ca="1" si="599"/>
        <v>-23768.505705008356</v>
      </c>
      <c r="Q127" s="63">
        <f t="shared" ca="1" si="599"/>
        <v>-24331.946154680067</v>
      </c>
      <c r="R127" s="63">
        <f t="shared" ca="1" si="599"/>
        <v>-24960.346044238999</v>
      </c>
      <c r="S127" s="63">
        <f t="shared" ca="1" si="599"/>
        <v>-25658.74534518884</v>
      </c>
      <c r="T127" s="63">
        <f t="shared" ca="1" si="599"/>
        <v>-26432.15449002356</v>
      </c>
      <c r="U127" s="63">
        <f t="shared" ca="1" si="599"/>
        <v>-27285.484515085387</v>
      </c>
      <c r="V127" s="63">
        <f t="shared" ca="1" si="599"/>
        <v>-28223.469495673977</v>
      </c>
      <c r="W127" s="63">
        <f t="shared" ca="1" si="599"/>
        <v>-29250.581873102783</v>
      </c>
      <c r="X127" s="63">
        <f t="shared" ca="1" si="599"/>
        <v>-30370.941515704049</v>
      </c>
      <c r="Y127" s="63">
        <f t="shared" ca="1" si="599"/>
        <v>-31588.219605434497</v>
      </c>
      <c r="Z127" s="63">
        <f t="shared" ca="1" si="599"/>
        <v>-32905.538691966998</v>
      </c>
      <c r="AA127" s="63">
        <f t="shared" ca="1" si="599"/>
        <v>-34325.370499378863</v>
      </c>
      <c r="AB127" s="63">
        <f t="shared" ca="1" si="599"/>
        <v>-35940.917147435037</v>
      </c>
      <c r="AC127" s="63">
        <f t="shared" ca="1" si="599"/>
        <v>-37587.195166146848</v>
      </c>
      <c r="AD127" s="63">
        <f t="shared" ca="1" si="599"/>
        <v>-39341.2460591177</v>
      </c>
      <c r="AE127" s="63">
        <f t="shared" ca="1" si="599"/>
        <v>-41202.297942311663</v>
      </c>
      <c r="AF127" s="63">
        <f t="shared" ca="1" si="599"/>
        <v>-43168.483626887297</v>
      </c>
      <c r="AG127" s="63">
        <f t="shared" ca="1" si="599"/>
        <v>-45236.768529720124</v>
      </c>
      <c r="AH127" s="63">
        <f t="shared" ca="1" si="599"/>
        <v>-47402.891282316268</v>
      </c>
      <c r="AI127" s="63">
        <f t="shared" ca="1" si="599"/>
        <v>-49661.319237986427</v>
      </c>
      <c r="AJ127" s="63">
        <f t="shared" ref="AJ127:BK127" ca="1" si="600">Costrow1 + Costrow2 + Costrow3 + Costrow4 + Costrow5 + Costrow6 + Costrow7 + Costrow8 + Costrow9 + Costrow10 + Costrow11 + Costrow12 + Costrow13 + Costrow14</f>
        <v>-52005.22090786499</v>
      </c>
      <c r="AK127" s="63">
        <f t="shared" ca="1" si="600"/>
        <v>-54426.457120637766</v>
      </c>
      <c r="AL127" s="63">
        <f t="shared" ca="1" si="600"/>
        <v>-56915.592400858433</v>
      </c>
      <c r="AM127" s="63">
        <f t="shared" ca="1" si="600"/>
        <v>-59461.927700924542</v>
      </c>
      <c r="AN127" s="63">
        <f t="shared" ca="1" si="600"/>
        <v>-60602.060017172844</v>
      </c>
      <c r="AO127" s="63">
        <f t="shared" ca="1" si="600"/>
        <v>-61723.825113248335</v>
      </c>
      <c r="AP127" s="63">
        <f t="shared" ca="1" si="600"/>
        <v>-62818.488220373205</v>
      </c>
      <c r="AQ127" s="63">
        <f t="shared" ca="1" si="600"/>
        <v>-63877.173780747544</v>
      </c>
      <c r="AR127" s="63">
        <f t="shared" ca="1" si="600"/>
        <v>-64890.982129638156</v>
      </c>
      <c r="AS127" s="63">
        <f t="shared" ca="1" si="600"/>
        <v>-65851.111834011244</v>
      </c>
      <c r="AT127" s="63">
        <f t="shared" ca="1" si="600"/>
        <v>-66748.985390447982</v>
      </c>
      <c r="AU127" s="63">
        <f t="shared" ca="1" si="600"/>
        <v>-67576.375808868848</v>
      </c>
      <c r="AV127" s="63">
        <f t="shared" ca="1" si="600"/>
        <v>-68325.531493669725</v>
      </c>
      <c r="AW127" s="63">
        <f t="shared" ca="1" si="600"/>
        <v>-68989.296786224382</v>
      </c>
      <c r="AX127" s="63">
        <f t="shared" ca="1" si="600"/>
        <v>-69561.225555997313</v>
      </c>
      <c r="AY127" s="63">
        <f t="shared" ca="1" si="600"/>
        <v>-70035.685323332218</v>
      </c>
      <c r="AZ127" s="63">
        <f t="shared" ca="1" si="600"/>
        <v>-70407.949564200389</v>
      </c>
      <c r="BA127" s="63">
        <f t="shared" ca="1" si="600"/>
        <v>-70674.27608252925</v>
      </c>
      <c r="BB127" s="63">
        <f t="shared" ca="1" si="600"/>
        <v>-70831.969633166314</v>
      </c>
      <c r="BC127" s="63">
        <f t="shared" ca="1" si="600"/>
        <v>-70879.427330090475</v>
      </c>
      <c r="BD127" s="63">
        <f t="shared" ca="1" si="600"/>
        <v>-70816.165770080785</v>
      </c>
      <c r="BE127" s="63">
        <f t="shared" ca="1" si="600"/>
        <v>-70642.829229986353</v>
      </c>
      <c r="BF127" s="63">
        <f t="shared" ca="1" si="600"/>
        <v>-70361.178743220415</v>
      </c>
      <c r="BG127" s="63">
        <f t="shared" ca="1" si="600"/>
        <v>-69974.062314461509</v>
      </c>
      <c r="BH127" s="63">
        <f t="shared" ca="1" si="600"/>
        <v>-69485.366977061232</v>
      </c>
      <c r="BI127" s="63">
        <f t="shared" ca="1" si="600"/>
        <v>-68899.953821724223</v>
      </c>
      <c r="BJ127" s="63">
        <f t="shared" ca="1" si="600"/>
        <v>-68223.577515031924</v>
      </c>
      <c r="BK127" s="63">
        <f t="shared" ca="1" si="600"/>
        <v>-67462.792170749279</v>
      </c>
    </row>
    <row r="128" spans="1:63" s="20" customFormat="1" x14ac:dyDescent="0.2">
      <c r="B128" s="20" t="s">
        <v>113</v>
      </c>
      <c r="C128" s="63">
        <f t="shared" ref="C128:AH128" si="601">WYSIATI*MonthlyCosts</f>
        <v>-7000</v>
      </c>
      <c r="D128" s="63">
        <f t="shared" ca="1" si="601"/>
        <v>-2039.5300581592119</v>
      </c>
      <c r="E128" s="63">
        <f t="shared" ca="1" si="601"/>
        <v>-2052.0102215418556</v>
      </c>
      <c r="F128" s="63">
        <f t="shared" ca="1" si="601"/>
        <v>-2066.1285090228234</v>
      </c>
      <c r="G128" s="63">
        <f t="shared" ca="1" si="601"/>
        <v>-2082.149455546758</v>
      </c>
      <c r="H128" s="63">
        <f t="shared" ca="1" si="601"/>
        <v>-2100.3597140113693</v>
      </c>
      <c r="I128" s="63">
        <f t="shared" ca="1" si="601"/>
        <v>-2121.068701958925</v>
      </c>
      <c r="J128" s="63">
        <f t="shared" ca="1" si="601"/>
        <v>-2144.608888938516</v>
      </c>
      <c r="K128" s="63">
        <f t="shared" ca="1" si="601"/>
        <v>-2171.3356631626066</v>
      </c>
      <c r="L128" s="63">
        <f t="shared" ca="1" si="601"/>
        <v>-2201.6267150306594</v>
      </c>
      <c r="M128" s="63">
        <f t="shared" ca="1" si="601"/>
        <v>-2235.8808757192646</v>
      </c>
      <c r="N128" s="63">
        <f t="shared" ca="1" si="601"/>
        <v>-2274.5163515950821</v>
      </c>
      <c r="O128" s="63">
        <f t="shared" ca="1" si="601"/>
        <v>-2317.9682999226384</v>
      </c>
      <c r="P128" s="63">
        <f t="shared" ca="1" si="601"/>
        <v>-2376.8505705008356</v>
      </c>
      <c r="Q128" s="63">
        <f t="shared" ca="1" si="601"/>
        <v>-2433.1946154680068</v>
      </c>
      <c r="R128" s="63">
        <f t="shared" ca="1" si="601"/>
        <v>-2496.0346044239</v>
      </c>
      <c r="S128" s="63">
        <f t="shared" ca="1" si="601"/>
        <v>-2565.874534518884</v>
      </c>
      <c r="T128" s="63">
        <f t="shared" ca="1" si="601"/>
        <v>-2643.2154490023563</v>
      </c>
      <c r="U128" s="63">
        <f t="shared" ca="1" si="601"/>
        <v>-2728.5484515085391</v>
      </c>
      <c r="V128" s="63">
        <f t="shared" ca="1" si="601"/>
        <v>-2822.346949567398</v>
      </c>
      <c r="W128" s="63">
        <f t="shared" ca="1" si="601"/>
        <v>-2925.0581873102783</v>
      </c>
      <c r="X128" s="63">
        <f t="shared" ca="1" si="601"/>
        <v>-3037.0941515704053</v>
      </c>
      <c r="Y128" s="63">
        <f t="shared" ca="1" si="601"/>
        <v>-3158.8219605434497</v>
      </c>
      <c r="Z128" s="63">
        <f t="shared" ca="1" si="601"/>
        <v>-3290.5538691966999</v>
      </c>
      <c r="AA128" s="63">
        <f t="shared" ca="1" si="601"/>
        <v>-3432.5370499378864</v>
      </c>
      <c r="AB128" s="63">
        <f t="shared" ca="1" si="601"/>
        <v>-3594.0917147435039</v>
      </c>
      <c r="AC128" s="63">
        <f t="shared" ca="1" si="601"/>
        <v>-3758.7195166146848</v>
      </c>
      <c r="AD128" s="63">
        <f t="shared" ca="1" si="601"/>
        <v>-3934.1246059117702</v>
      </c>
      <c r="AE128" s="63">
        <f t="shared" ca="1" si="601"/>
        <v>-4120.2297942311661</v>
      </c>
      <c r="AF128" s="63">
        <f t="shared" ca="1" si="601"/>
        <v>-4316.84836268873</v>
      </c>
      <c r="AG128" s="63">
        <f t="shared" ca="1" si="601"/>
        <v>-4523.676852972013</v>
      </c>
      <c r="AH128" s="63">
        <f t="shared" ca="1" si="601"/>
        <v>-4740.2891282316268</v>
      </c>
      <c r="AI128" s="63">
        <f t="shared" ref="AI128:BK128" ca="1" si="602">WYSIATI*MonthlyCosts</f>
        <v>-4966.1319237986427</v>
      </c>
      <c r="AJ128" s="63">
        <f t="shared" ca="1" si="602"/>
        <v>-5200.5220907864996</v>
      </c>
      <c r="AK128" s="63">
        <f t="shared" ca="1" si="602"/>
        <v>-5442.645712063777</v>
      </c>
      <c r="AL128" s="63">
        <f t="shared" ca="1" si="602"/>
        <v>-5691.5592400858441</v>
      </c>
      <c r="AM128" s="63">
        <f t="shared" ca="1" si="602"/>
        <v>-5946.1927700924543</v>
      </c>
      <c r="AN128" s="63">
        <f t="shared" ca="1" si="602"/>
        <v>-6060.2060017172844</v>
      </c>
      <c r="AO128" s="63">
        <f t="shared" ca="1" si="602"/>
        <v>-6172.382511324834</v>
      </c>
      <c r="AP128" s="63">
        <f t="shared" ca="1" si="602"/>
        <v>-6281.848822037321</v>
      </c>
      <c r="AQ128" s="63">
        <f t="shared" ca="1" si="602"/>
        <v>-6387.7173780747544</v>
      </c>
      <c r="AR128" s="63">
        <f t="shared" ca="1" si="602"/>
        <v>-6489.098212963816</v>
      </c>
      <c r="AS128" s="63">
        <f t="shared" ca="1" si="602"/>
        <v>-6585.1111834011244</v>
      </c>
      <c r="AT128" s="63">
        <f t="shared" ca="1" si="602"/>
        <v>-6674.8985390447988</v>
      </c>
      <c r="AU128" s="63">
        <f t="shared" ca="1" si="602"/>
        <v>-6757.6375808868852</v>
      </c>
      <c r="AV128" s="63">
        <f t="shared" ca="1" si="602"/>
        <v>-6832.5531493669732</v>
      </c>
      <c r="AW128" s="63">
        <f t="shared" ca="1" si="602"/>
        <v>-6898.9296786224386</v>
      </c>
      <c r="AX128" s="63">
        <f t="shared" ca="1" si="602"/>
        <v>-6956.1225555997316</v>
      </c>
      <c r="AY128" s="63">
        <f t="shared" ca="1" si="602"/>
        <v>-7003.5685323332218</v>
      </c>
      <c r="AZ128" s="63">
        <f t="shared" ca="1" si="602"/>
        <v>-7040.7949564200389</v>
      </c>
      <c r="BA128" s="63">
        <f t="shared" ca="1" si="602"/>
        <v>-7067.427608252925</v>
      </c>
      <c r="BB128" s="63">
        <f t="shared" ca="1" si="602"/>
        <v>-7083.1969633166318</v>
      </c>
      <c r="BC128" s="63">
        <f t="shared" ca="1" si="602"/>
        <v>-7087.9427330090475</v>
      </c>
      <c r="BD128" s="63">
        <f t="shared" ca="1" si="602"/>
        <v>-7081.6165770080788</v>
      </c>
      <c r="BE128" s="63">
        <f t="shared" ca="1" si="602"/>
        <v>-7064.2829229986355</v>
      </c>
      <c r="BF128" s="63">
        <f t="shared" ca="1" si="602"/>
        <v>-7036.1178743220416</v>
      </c>
      <c r="BG128" s="63">
        <f t="shared" ca="1" si="602"/>
        <v>-6997.4062314461517</v>
      </c>
      <c r="BH128" s="63">
        <f t="shared" ca="1" si="602"/>
        <v>-6948.536697706124</v>
      </c>
      <c r="BI128" s="63">
        <f t="shared" ca="1" si="602"/>
        <v>-6889.995382172423</v>
      </c>
      <c r="BJ128" s="63">
        <f t="shared" ca="1" si="602"/>
        <v>-6822.357751503193</v>
      </c>
      <c r="BK128" s="63">
        <f t="shared" ca="1" si="602"/>
        <v>-6746.2792170749281</v>
      </c>
    </row>
    <row r="129" spans="2:63" s="20" customFormat="1" x14ac:dyDescent="0.2">
      <c r="B129" s="20" t="s">
        <v>93</v>
      </c>
      <c r="C129" s="63">
        <f>C42+C127+C128</f>
        <v>-77000</v>
      </c>
      <c r="D129" s="63">
        <f t="shared" ref="D129:AM129" ca="1" si="603">D42+D127+D128</f>
        <v>-20458.327731790741</v>
      </c>
      <c r="E129" s="63">
        <f t="shared" ca="1" si="603"/>
        <v>-19971.601359867647</v>
      </c>
      <c r="F129" s="63">
        <f t="shared" ca="1" si="603"/>
        <v>-19420.988148109889</v>
      </c>
      <c r="G129" s="63">
        <f t="shared" ca="1" si="603"/>
        <v>-18796.171233676447</v>
      </c>
      <c r="H129" s="63">
        <f t="shared" ca="1" si="603"/>
        <v>-18085.971153556591</v>
      </c>
      <c r="I129" s="63">
        <f t="shared" ca="1" si="603"/>
        <v>-17278.320623601947</v>
      </c>
      <c r="J129" s="63">
        <f t="shared" ca="1" si="603"/>
        <v>-16360.253331397873</v>
      </c>
      <c r="K129" s="63">
        <f t="shared" ca="1" si="603"/>
        <v>-15317.909136658347</v>
      </c>
      <c r="L129" s="63">
        <f t="shared" ca="1" si="603"/>
        <v>-14136.558113804287</v>
      </c>
      <c r="M129" s="63">
        <f t="shared" ca="1" si="603"/>
        <v>-12800.645846948679</v>
      </c>
      <c r="N129" s="63">
        <f t="shared" ca="1" si="603"/>
        <v>-11293.862287791791</v>
      </c>
      <c r="O129" s="63">
        <f t="shared" ca="1" si="603"/>
        <v>-9599.2363030171036</v>
      </c>
      <c r="P129" s="63">
        <f t="shared" ca="1" si="603"/>
        <v>-7302.8277504674115</v>
      </c>
      <c r="Q129" s="63">
        <f t="shared" ca="1" si="603"/>
        <v>-5105.4099967477396</v>
      </c>
      <c r="R129" s="63">
        <f t="shared" ca="1" si="603"/>
        <v>-2654.6504274678978</v>
      </c>
      <c r="S129" s="63">
        <f t="shared" ca="1" si="603"/>
        <v>69.10684623647785</v>
      </c>
      <c r="T129" s="63">
        <f t="shared" ca="1" si="603"/>
        <v>3085.4025110918778</v>
      </c>
      <c r="U129" s="63">
        <f t="shared" ca="1" si="603"/>
        <v>6413.3896088330166</v>
      </c>
      <c r="V129" s="63">
        <f t="shared" ca="1" si="603"/>
        <v>10071.531033128502</v>
      </c>
      <c r="W129" s="63">
        <f t="shared" ca="1" si="603"/>
        <v>14077.269305100846</v>
      </c>
      <c r="X129" s="63">
        <f t="shared" ca="1" si="603"/>
        <v>18446.671911245801</v>
      </c>
      <c r="Y129" s="63">
        <f t="shared" ca="1" si="603"/>
        <v>23194.056461194523</v>
      </c>
      <c r="Z129" s="63">
        <f t="shared" ca="1" si="603"/>
        <v>28331.600898671306</v>
      </c>
      <c r="AA129" s="63">
        <f t="shared" ca="1" si="603"/>
        <v>33868.944947577576</v>
      </c>
      <c r="AB129" s="63">
        <f t="shared" ca="1" si="603"/>
        <v>40169.576874996652</v>
      </c>
      <c r="AC129" s="63">
        <f t="shared" ca="1" si="603"/>
        <v>46590.061147972694</v>
      </c>
      <c r="AD129" s="63">
        <f t="shared" ca="1" si="603"/>
        <v>53430.859630559025</v>
      </c>
      <c r="AE129" s="63">
        <f t="shared" ca="1" si="603"/>
        <v>60688.96197501546</v>
      </c>
      <c r="AF129" s="63">
        <f t="shared" ca="1" si="603"/>
        <v>68357.086144860456</v>
      </c>
      <c r="AG129" s="63">
        <f t="shared" ca="1" si="603"/>
        <v>76423.397265908498</v>
      </c>
      <c r="AH129" s="63">
        <f t="shared" ca="1" si="603"/>
        <v>84871.276001033475</v>
      </c>
      <c r="AI129" s="63">
        <f t="shared" ca="1" si="603"/>
        <v>93679.145028147061</v>
      </c>
      <c r="AJ129" s="63">
        <f t="shared" ca="1" si="603"/>
        <v>102820.36154067345</v>
      </c>
      <c r="AK129" s="63">
        <f t="shared" ca="1" si="603"/>
        <v>112263.18277048731</v>
      </c>
      <c r="AL129" s="63">
        <f t="shared" ca="1" si="603"/>
        <v>121970.81036334792</v>
      </c>
      <c r="AM129" s="63">
        <f t="shared" ca="1" si="603"/>
        <v>131901.51803360571</v>
      </c>
      <c r="AN129" s="63">
        <f t="shared" ref="AN129" ca="1" si="604">AN42+AN127+AN128</f>
        <v>136348.03406697404</v>
      </c>
      <c r="AO129" s="63">
        <f t="shared" ref="AO129" ca="1" si="605">AO42+AO127+AO128</f>
        <v>140722.91794166851</v>
      </c>
      <c r="AP129" s="63">
        <f t="shared" ref="AP129" ca="1" si="606">AP42+AP127+AP128</f>
        <v>144992.10405945551</v>
      </c>
      <c r="AQ129" s="63">
        <f t="shared" ref="AQ129" ca="1" si="607">AQ42+AQ127+AQ128</f>
        <v>149120.97774491541</v>
      </c>
      <c r="AR129" s="63">
        <f t="shared" ref="AR129" ca="1" si="608">AR42+AR127+AR128</f>
        <v>153074.83030558881</v>
      </c>
      <c r="AS129" s="63">
        <f t="shared" ref="AS129" ca="1" si="609">AS42+AS127+AS128</f>
        <v>156819.3361526439</v>
      </c>
      <c r="AT129" s="63">
        <f t="shared" ref="AT129" ca="1" si="610">AT42+AT127+AT128</f>
        <v>160321.04302274712</v>
      </c>
      <c r="AU129" s="63">
        <f t="shared" ref="AU129" ca="1" si="611">AU42+AU127+AU128</f>
        <v>163547.8656545885</v>
      </c>
      <c r="AV129" s="63">
        <f t="shared" ref="AV129" ca="1" si="612">AV42+AV127+AV128</f>
        <v>166469.57282531192</v>
      </c>
      <c r="AW129" s="63">
        <f t="shared" ref="AW129" ca="1" si="613">AW42+AW127+AW128</f>
        <v>169058.25746627513</v>
      </c>
      <c r="AX129" s="63">
        <f t="shared" ref="AX129" ca="1" si="614">AX42+AX127+AX128</f>
        <v>171288.77966838959</v>
      </c>
      <c r="AY129" s="63">
        <f t="shared" ref="AY129" ca="1" si="615">AY42+AY127+AY128</f>
        <v>173139.17276099566</v>
      </c>
      <c r="AZ129" s="63">
        <f t="shared" ref="AZ129" ca="1" si="616">AZ42+AZ127+AZ128</f>
        <v>174591.00330038148</v>
      </c>
      <c r="BA129" s="63">
        <f t="shared" ref="BA129" ca="1" si="617">BA42+BA127+BA128</f>
        <v>175629.67672186409</v>
      </c>
      <c r="BB129" s="63">
        <f t="shared" ref="BB129" ca="1" si="618">BB42+BB127+BB128</f>
        <v>176244.68156934861</v>
      </c>
      <c r="BC129" s="63">
        <f t="shared" ref="BC129" ca="1" si="619">BC42+BC127+BC128</f>
        <v>176429.76658735285</v>
      </c>
      <c r="BD129" s="63">
        <f t="shared" ref="BD129" ca="1" si="620">BD42+BD127+BD128</f>
        <v>176183.04650331507</v>
      </c>
      <c r="BE129" s="63">
        <f t="shared" ref="BE129" ca="1" si="621">BE42+BE127+BE128</f>
        <v>175507.03399694679</v>
      </c>
      <c r="BF129" s="63">
        <f t="shared" ref="BF129" ca="1" si="622">BF42+BF127+BF128</f>
        <v>174408.59709855961</v>
      </c>
      <c r="BG129" s="63">
        <f t="shared" ref="BG129" ca="1" si="623">BG42+BG127+BG128</f>
        <v>172898.84302639987</v>
      </c>
      <c r="BH129" s="63">
        <f t="shared" ref="BH129" ca="1" si="624">BH42+BH127+BH128</f>
        <v>170992.93121053878</v>
      </c>
      <c r="BI129" s="63">
        <f t="shared" ref="BI129" ca="1" si="625">BI42+BI127+BI128</f>
        <v>168709.81990472449</v>
      </c>
      <c r="BJ129" s="63">
        <f t="shared" ref="BJ129" ca="1" si="626">BJ42+BJ127+BJ128</f>
        <v>166071.95230862446</v>
      </c>
      <c r="BK129" s="63">
        <f t="shared" ref="BK129" ca="1" si="627">BK42+BK127+BK128</f>
        <v>163104.88946592226</v>
      </c>
    </row>
    <row r="130" spans="2:63" s="20" customFormat="1" x14ac:dyDescent="0.2">
      <c r="B130" s="20" t="s">
        <v>198</v>
      </c>
      <c r="C130" s="74">
        <f>C129+CashInflux</f>
        <v>-77000</v>
      </c>
      <c r="D130" s="74">
        <f t="shared" ref="D130:AI130" ca="1" si="628">D129+C130+CashInflux</f>
        <v>-97458.327731790749</v>
      </c>
      <c r="E130" s="74">
        <f t="shared" ca="1" si="628"/>
        <v>-117429.9290916584</v>
      </c>
      <c r="F130" s="74">
        <f t="shared" ca="1" si="628"/>
        <v>-136850.91723976829</v>
      </c>
      <c r="G130" s="74">
        <f t="shared" ca="1" si="628"/>
        <v>-155647.08847344475</v>
      </c>
      <c r="H130" s="74">
        <f t="shared" ca="1" si="628"/>
        <v>-173733.05962700135</v>
      </c>
      <c r="I130" s="74">
        <f t="shared" ca="1" si="628"/>
        <v>-191011.38025060331</v>
      </c>
      <c r="J130" s="74">
        <f t="shared" ca="1" si="628"/>
        <v>-207371.63358200117</v>
      </c>
      <c r="K130" s="74">
        <f t="shared" ca="1" si="628"/>
        <v>-222689.54271865953</v>
      </c>
      <c r="L130" s="74">
        <f t="shared" ca="1" si="628"/>
        <v>-236826.10083246382</v>
      </c>
      <c r="M130" s="74">
        <f t="shared" ca="1" si="628"/>
        <v>-249626.74667941249</v>
      </c>
      <c r="N130" s="74">
        <f t="shared" ca="1" si="628"/>
        <v>-260920.60896720429</v>
      </c>
      <c r="O130" s="74">
        <f t="shared" ca="1" si="628"/>
        <v>-270519.84527022141</v>
      </c>
      <c r="P130" s="74">
        <f t="shared" ca="1" si="628"/>
        <v>-277822.67302068882</v>
      </c>
      <c r="Q130" s="74">
        <f t="shared" ca="1" si="628"/>
        <v>-282928.08301743655</v>
      </c>
      <c r="R130" s="74">
        <f t="shared" ca="1" si="628"/>
        <v>-285582.73344490444</v>
      </c>
      <c r="S130" s="74">
        <f t="shared" ca="1" si="628"/>
        <v>-285513.62659866799</v>
      </c>
      <c r="T130" s="74">
        <f t="shared" ca="1" si="628"/>
        <v>-282428.22408757609</v>
      </c>
      <c r="U130" s="74">
        <f t="shared" ca="1" si="628"/>
        <v>-276014.83447874308</v>
      </c>
      <c r="V130" s="74">
        <f t="shared" ca="1" si="628"/>
        <v>-265943.30344561458</v>
      </c>
      <c r="W130" s="74">
        <f t="shared" ca="1" si="628"/>
        <v>-251866.03414051374</v>
      </c>
      <c r="X130" s="74">
        <f t="shared" ca="1" si="628"/>
        <v>-233419.36222926795</v>
      </c>
      <c r="Y130" s="74">
        <f t="shared" ca="1" si="628"/>
        <v>-210225.30576807342</v>
      </c>
      <c r="Z130" s="74">
        <f t="shared" ca="1" si="628"/>
        <v>-181893.70486940211</v>
      </c>
      <c r="AA130" s="74">
        <f t="shared" ca="1" si="628"/>
        <v>-148024.75992182453</v>
      </c>
      <c r="AB130" s="74">
        <f t="shared" ca="1" si="628"/>
        <v>-107855.18304682788</v>
      </c>
      <c r="AC130" s="74">
        <f t="shared" ca="1" si="628"/>
        <v>-61265.121898855185</v>
      </c>
      <c r="AD130" s="74">
        <f t="shared" ca="1" si="628"/>
        <v>-7834.2622682961592</v>
      </c>
      <c r="AE130" s="74">
        <f t="shared" ca="1" si="628"/>
        <v>52854.699706719301</v>
      </c>
      <c r="AF130" s="74">
        <f t="shared" ca="1" si="628"/>
        <v>121211.78585157976</v>
      </c>
      <c r="AG130" s="74">
        <f t="shared" ca="1" si="628"/>
        <v>197635.18311748825</v>
      </c>
      <c r="AH130" s="74">
        <f t="shared" ca="1" si="628"/>
        <v>282506.45911852171</v>
      </c>
      <c r="AI130" s="74">
        <f t="shared" ca="1" si="628"/>
        <v>376185.6041466688</v>
      </c>
      <c r="AJ130" s="74">
        <f t="shared" ref="AJ130:BK130" ca="1" si="629">AJ129+AI130+CashInflux</f>
        <v>479005.96568734222</v>
      </c>
      <c r="AK130" s="74">
        <f t="shared" ca="1" si="629"/>
        <v>591269.14845782949</v>
      </c>
      <c r="AL130" s="74">
        <f t="shared" ca="1" si="629"/>
        <v>713239.95882117737</v>
      </c>
      <c r="AM130" s="74">
        <f t="shared" ca="1" si="629"/>
        <v>845141.47685478302</v>
      </c>
      <c r="AN130" s="74">
        <f t="shared" ca="1" si="629"/>
        <v>981489.51092175709</v>
      </c>
      <c r="AO130" s="74">
        <f t="shared" ca="1" si="629"/>
        <v>1122212.4288634255</v>
      </c>
      <c r="AP130" s="74">
        <f t="shared" ca="1" si="629"/>
        <v>1267204.532922881</v>
      </c>
      <c r="AQ130" s="74">
        <f t="shared" ca="1" si="629"/>
        <v>1416325.5106677962</v>
      </c>
      <c r="AR130" s="74">
        <f t="shared" ca="1" si="629"/>
        <v>1569400.3409733851</v>
      </c>
      <c r="AS130" s="74">
        <f t="shared" ca="1" si="629"/>
        <v>1726219.677126029</v>
      </c>
      <c r="AT130" s="74">
        <f t="shared" ca="1" si="629"/>
        <v>1886540.7201487762</v>
      </c>
      <c r="AU130" s="74">
        <f t="shared" ca="1" si="629"/>
        <v>2050088.5858033646</v>
      </c>
      <c r="AV130" s="74">
        <f t="shared" ca="1" si="629"/>
        <v>2216558.1586286766</v>
      </c>
      <c r="AW130" s="74">
        <f t="shared" ca="1" si="629"/>
        <v>2385616.4160949518</v>
      </c>
      <c r="AX130" s="74">
        <f t="shared" ca="1" si="629"/>
        <v>2556905.1957633412</v>
      </c>
      <c r="AY130" s="74">
        <f t="shared" ca="1" si="629"/>
        <v>2730044.3685243367</v>
      </c>
      <c r="AZ130" s="74">
        <f t="shared" ca="1" si="629"/>
        <v>2904635.3718247181</v>
      </c>
      <c r="BA130" s="74">
        <f t="shared" ca="1" si="629"/>
        <v>3080265.048546582</v>
      </c>
      <c r="BB130" s="74">
        <f t="shared" ca="1" si="629"/>
        <v>3256509.7301159305</v>
      </c>
      <c r="BC130" s="74">
        <f t="shared" ca="1" si="629"/>
        <v>3432939.4967032834</v>
      </c>
      <c r="BD130" s="74">
        <f t="shared" ca="1" si="629"/>
        <v>3609122.5432065986</v>
      </c>
      <c r="BE130" s="74">
        <f t="shared" ca="1" si="629"/>
        <v>3784629.5772035453</v>
      </c>
      <c r="BF130" s="74">
        <f t="shared" ca="1" si="629"/>
        <v>3959038.1743021049</v>
      </c>
      <c r="BG130" s="74">
        <f t="shared" ca="1" si="629"/>
        <v>4131937.0173285049</v>
      </c>
      <c r="BH130" s="74">
        <f t="shared" ca="1" si="629"/>
        <v>4302929.9485390438</v>
      </c>
      <c r="BI130" s="74">
        <f t="shared" ca="1" si="629"/>
        <v>4471639.7684437679</v>
      </c>
      <c r="BJ130" s="74">
        <f t="shared" ca="1" si="629"/>
        <v>4637711.720752392</v>
      </c>
      <c r="BK130" s="74">
        <f t="shared" ca="1" si="629"/>
        <v>4800816.6102183145</v>
      </c>
    </row>
  </sheetData>
  <sheetProtection sheet="1" objects="1" scenarios="1" formatCells="0" formatColumns="0" formatRows="0"/>
  <mergeCells count="4">
    <mergeCell ref="A34:A42"/>
    <mergeCell ref="A14:A32"/>
    <mergeCell ref="A43:A56"/>
    <mergeCell ref="A57:A126"/>
  </mergeCells>
  <conditionalFormatting sqref="C29">
    <cfRule type="cellIs" priority="4" operator="notEqual">
      <formula>SUM($D$127:$F$128)</formula>
    </cfRule>
  </conditionalFormatting>
  <conditionalFormatting sqref="C2:BK2">
    <cfRule type="cellIs" dxfId="2" priority="2" operator="equal">
      <formula>$B$7=""</formula>
    </cfRule>
    <cfRule type="containsText" dxfId="1" priority="3" operator="containsText" text=" ">
      <formula>NOT(ISERROR(SEARCH(" ",C2)))</formula>
    </cfRule>
  </conditionalFormatting>
  <conditionalFormatting sqref="C2:BK2">
    <cfRule type="cellIs" dxfId="0" priority="1" operator="equal">
      <formula>0</formula>
    </cfRule>
  </conditionalFormatting>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36"/>
  <sheetViews>
    <sheetView workbookViewId="0">
      <selection activeCell="D23" sqref="D23"/>
    </sheetView>
  </sheetViews>
  <sheetFormatPr baseColWidth="10" defaultColWidth="8.83203125" defaultRowHeight="15" x14ac:dyDescent="0.2"/>
  <cols>
    <col min="1" max="1" width="18" customWidth="1"/>
    <col min="2" max="2" width="22.5" customWidth="1"/>
    <col min="3" max="3" width="13.83203125" customWidth="1"/>
    <col min="4" max="5" width="10" customWidth="1"/>
    <col min="6" max="6" width="10.5" bestFit="1" customWidth="1"/>
    <col min="7" max="123" width="10" customWidth="1"/>
    <col min="124" max="124" width="10" bestFit="1" customWidth="1"/>
  </cols>
  <sheetData>
    <row r="1" spans="1:124" x14ac:dyDescent="0.2">
      <c r="B1" t="s">
        <v>19</v>
      </c>
      <c r="C1">
        <v>0</v>
      </c>
      <c r="D1">
        <v>1</v>
      </c>
      <c r="E1">
        <v>2</v>
      </c>
      <c r="F1">
        <v>3</v>
      </c>
      <c r="G1">
        <v>4</v>
      </c>
      <c r="H1">
        <v>5</v>
      </c>
      <c r="I1">
        <v>6</v>
      </c>
      <c r="J1">
        <v>7</v>
      </c>
      <c r="K1">
        <v>8</v>
      </c>
      <c r="L1">
        <v>9</v>
      </c>
      <c r="M1">
        <v>10</v>
      </c>
      <c r="N1">
        <v>11</v>
      </c>
      <c r="O1">
        <v>12</v>
      </c>
      <c r="P1">
        <v>13</v>
      </c>
      <c r="Q1">
        <v>14</v>
      </c>
      <c r="R1">
        <v>15</v>
      </c>
      <c r="S1">
        <v>16</v>
      </c>
      <c r="T1">
        <v>17</v>
      </c>
      <c r="U1">
        <v>18</v>
      </c>
      <c r="V1">
        <v>19</v>
      </c>
      <c r="W1">
        <v>20</v>
      </c>
      <c r="X1">
        <v>21</v>
      </c>
      <c r="Y1">
        <v>22</v>
      </c>
      <c r="Z1">
        <v>23</v>
      </c>
      <c r="AA1">
        <v>24</v>
      </c>
      <c r="AB1">
        <v>25</v>
      </c>
      <c r="AC1">
        <v>26</v>
      </c>
      <c r="AD1">
        <v>27</v>
      </c>
      <c r="AE1">
        <v>28</v>
      </c>
      <c r="AF1">
        <v>29</v>
      </c>
      <c r="AG1">
        <v>30</v>
      </c>
      <c r="AH1">
        <v>31</v>
      </c>
      <c r="AI1">
        <v>32</v>
      </c>
      <c r="AJ1">
        <v>33</v>
      </c>
      <c r="AK1">
        <v>34</v>
      </c>
      <c r="AL1">
        <v>35</v>
      </c>
      <c r="AM1">
        <v>36</v>
      </c>
      <c r="AN1">
        <v>37</v>
      </c>
      <c r="AO1">
        <v>38</v>
      </c>
      <c r="AP1">
        <v>39</v>
      </c>
      <c r="AQ1">
        <v>40</v>
      </c>
      <c r="AR1">
        <v>41</v>
      </c>
      <c r="AS1">
        <v>42</v>
      </c>
      <c r="AT1">
        <v>43</v>
      </c>
      <c r="AU1">
        <v>44</v>
      </c>
      <c r="AV1">
        <v>45</v>
      </c>
      <c r="AW1">
        <v>46</v>
      </c>
      <c r="AX1">
        <v>47</v>
      </c>
      <c r="AY1">
        <v>48</v>
      </c>
      <c r="AZ1">
        <v>49</v>
      </c>
      <c r="BA1">
        <v>50</v>
      </c>
      <c r="BB1">
        <v>51</v>
      </c>
      <c r="BC1">
        <v>52</v>
      </c>
      <c r="BD1">
        <v>53</v>
      </c>
      <c r="BE1">
        <v>54</v>
      </c>
      <c r="BF1">
        <v>55</v>
      </c>
      <c r="BG1">
        <v>56</v>
      </c>
      <c r="BH1">
        <v>57</v>
      </c>
      <c r="BI1">
        <v>58</v>
      </c>
      <c r="BJ1">
        <v>59</v>
      </c>
      <c r="BK1">
        <v>60</v>
      </c>
      <c r="BL1">
        <v>61</v>
      </c>
      <c r="BM1">
        <v>62</v>
      </c>
      <c r="BN1">
        <v>63</v>
      </c>
      <c r="BO1">
        <v>64</v>
      </c>
      <c r="BP1">
        <v>65</v>
      </c>
      <c r="BQ1">
        <v>66</v>
      </c>
      <c r="BR1">
        <v>67</v>
      </c>
      <c r="BS1">
        <v>68</v>
      </c>
      <c r="BT1">
        <v>69</v>
      </c>
      <c r="BU1">
        <v>70</v>
      </c>
      <c r="BV1">
        <v>71</v>
      </c>
      <c r="BW1">
        <v>72</v>
      </c>
      <c r="BX1">
        <v>73</v>
      </c>
      <c r="BY1">
        <v>74</v>
      </c>
      <c r="BZ1">
        <v>75</v>
      </c>
      <c r="CA1">
        <v>76</v>
      </c>
      <c r="CB1">
        <v>77</v>
      </c>
      <c r="CC1">
        <v>78</v>
      </c>
      <c r="CD1">
        <v>79</v>
      </c>
      <c r="CE1">
        <v>80</v>
      </c>
      <c r="CF1">
        <v>81</v>
      </c>
      <c r="CG1">
        <v>82</v>
      </c>
      <c r="CH1">
        <v>83</v>
      </c>
      <c r="CI1">
        <v>84</v>
      </c>
      <c r="CJ1">
        <v>85</v>
      </c>
      <c r="CK1">
        <v>86</v>
      </c>
      <c r="CL1">
        <v>87</v>
      </c>
      <c r="CM1">
        <v>88</v>
      </c>
      <c r="CN1">
        <v>89</v>
      </c>
      <c r="CO1">
        <v>90</v>
      </c>
      <c r="CP1">
        <v>91</v>
      </c>
      <c r="CQ1">
        <v>92</v>
      </c>
      <c r="CR1">
        <v>93</v>
      </c>
      <c r="CS1">
        <v>94</v>
      </c>
      <c r="CT1">
        <v>95</v>
      </c>
      <c r="CU1">
        <v>96</v>
      </c>
      <c r="CV1">
        <v>97</v>
      </c>
      <c r="CW1">
        <v>98</v>
      </c>
      <c r="CX1">
        <v>99</v>
      </c>
      <c r="CY1">
        <v>100</v>
      </c>
      <c r="CZ1">
        <v>101</v>
      </c>
      <c r="DA1">
        <v>102</v>
      </c>
      <c r="DB1">
        <v>103</v>
      </c>
      <c r="DC1">
        <v>104</v>
      </c>
      <c r="DD1">
        <v>105</v>
      </c>
      <c r="DE1">
        <v>106</v>
      </c>
      <c r="DF1">
        <v>107</v>
      </c>
      <c r="DG1">
        <v>108</v>
      </c>
      <c r="DH1">
        <v>109</v>
      </c>
      <c r="DI1">
        <v>110</v>
      </c>
      <c r="DJ1">
        <v>111</v>
      </c>
      <c r="DK1">
        <v>112</v>
      </c>
      <c r="DL1">
        <v>113</v>
      </c>
      <c r="DM1">
        <v>114</v>
      </c>
      <c r="DN1">
        <v>115</v>
      </c>
      <c r="DO1">
        <v>116</v>
      </c>
      <c r="DP1">
        <v>117</v>
      </c>
      <c r="DQ1">
        <v>118</v>
      </c>
      <c r="DR1">
        <v>119</v>
      </c>
      <c r="DS1">
        <v>120</v>
      </c>
    </row>
    <row r="2" spans="1:124" s="4" customFormat="1" x14ac:dyDescent="0.2">
      <c r="B2" s="12" t="s">
        <v>20</v>
      </c>
      <c r="C2" s="4">
        <f t="shared" ref="C2:AH2" si="0">GStart+(Index*GInterval)</f>
        <v>-3</v>
      </c>
      <c r="D2" s="4">
        <f t="shared" si="0"/>
        <v>-2.9416666666666669</v>
      </c>
      <c r="E2" s="4">
        <f t="shared" si="0"/>
        <v>-2.8833333333333333</v>
      </c>
      <c r="F2" s="4">
        <f t="shared" si="0"/>
        <v>-2.8250000000000002</v>
      </c>
      <c r="G2" s="4">
        <f t="shared" si="0"/>
        <v>-2.7666666666666666</v>
      </c>
      <c r="H2" s="4">
        <f t="shared" si="0"/>
        <v>-2.7083333333333335</v>
      </c>
      <c r="I2" s="4">
        <f t="shared" si="0"/>
        <v>-2.65</v>
      </c>
      <c r="J2" s="4">
        <f t="shared" si="0"/>
        <v>-2.5916666666666668</v>
      </c>
      <c r="K2" s="4">
        <f t="shared" si="0"/>
        <v>-2.5333333333333332</v>
      </c>
      <c r="L2" s="4">
        <f t="shared" si="0"/>
        <v>-2.4750000000000001</v>
      </c>
      <c r="M2" s="4">
        <f t="shared" si="0"/>
        <v>-2.4166666666666665</v>
      </c>
      <c r="N2" s="4">
        <f t="shared" si="0"/>
        <v>-2.3583333333333334</v>
      </c>
      <c r="O2" s="4">
        <f t="shared" si="0"/>
        <v>-2.2999999999999998</v>
      </c>
      <c r="P2" s="4">
        <f t="shared" si="0"/>
        <v>-2.2416666666666667</v>
      </c>
      <c r="Q2" s="4">
        <f t="shared" si="0"/>
        <v>-2.1833333333333336</v>
      </c>
      <c r="R2" s="4">
        <f t="shared" si="0"/>
        <v>-2.125</v>
      </c>
      <c r="S2" s="4">
        <f t="shared" si="0"/>
        <v>-2.0666666666666664</v>
      </c>
      <c r="T2" s="4">
        <f t="shared" si="0"/>
        <v>-2.0083333333333333</v>
      </c>
      <c r="U2" s="4">
        <f t="shared" si="0"/>
        <v>-1.95</v>
      </c>
      <c r="V2" s="4">
        <f t="shared" si="0"/>
        <v>-1.8916666666666666</v>
      </c>
      <c r="W2" s="4">
        <f t="shared" si="0"/>
        <v>-1.8333333333333333</v>
      </c>
      <c r="X2" s="4">
        <f t="shared" si="0"/>
        <v>-1.7749999999999999</v>
      </c>
      <c r="Y2" s="4">
        <f t="shared" si="0"/>
        <v>-1.7166666666666666</v>
      </c>
      <c r="Z2" s="4">
        <f t="shared" si="0"/>
        <v>-1.6583333333333332</v>
      </c>
      <c r="AA2" s="4">
        <f t="shared" si="0"/>
        <v>-1.6</v>
      </c>
      <c r="AB2" s="4">
        <f t="shared" si="0"/>
        <v>-1.5416666666666667</v>
      </c>
      <c r="AC2" s="4">
        <f t="shared" si="0"/>
        <v>-1.4833333333333334</v>
      </c>
      <c r="AD2" s="4">
        <f t="shared" si="0"/>
        <v>-1.425</v>
      </c>
      <c r="AE2" s="4">
        <f t="shared" si="0"/>
        <v>-1.3666666666666667</v>
      </c>
      <c r="AF2" s="4">
        <f t="shared" si="0"/>
        <v>-1.3083333333333333</v>
      </c>
      <c r="AG2" s="4">
        <f t="shared" si="0"/>
        <v>-1.25</v>
      </c>
      <c r="AH2" s="4">
        <f t="shared" si="0"/>
        <v>-1.1916666666666667</v>
      </c>
      <c r="AI2" s="4">
        <f t="shared" ref="AI2:BN2" si="1">GStart+(Index*GInterval)</f>
        <v>-1.1333333333333333</v>
      </c>
      <c r="AJ2" s="4">
        <f t="shared" si="1"/>
        <v>-1.075</v>
      </c>
      <c r="AK2" s="4">
        <f t="shared" si="1"/>
        <v>-1.0166666666666666</v>
      </c>
      <c r="AL2" s="4">
        <f t="shared" si="1"/>
        <v>-0.95833333333333348</v>
      </c>
      <c r="AM2" s="4">
        <f t="shared" si="1"/>
        <v>-0.89999999999999991</v>
      </c>
      <c r="AN2" s="4">
        <f t="shared" si="1"/>
        <v>-0.84166666666666679</v>
      </c>
      <c r="AO2" s="4">
        <f t="shared" si="1"/>
        <v>-0.78333333333333321</v>
      </c>
      <c r="AP2" s="4">
        <f t="shared" si="1"/>
        <v>-0.72500000000000009</v>
      </c>
      <c r="AQ2" s="4">
        <f t="shared" si="1"/>
        <v>-0.66666666666666652</v>
      </c>
      <c r="AR2" s="4">
        <f t="shared" si="1"/>
        <v>-0.60833333333333339</v>
      </c>
      <c r="AS2" s="4">
        <f t="shared" si="1"/>
        <v>-0.54999999999999982</v>
      </c>
      <c r="AT2" s="4">
        <f t="shared" si="1"/>
        <v>-0.4916666666666667</v>
      </c>
      <c r="AU2" s="4">
        <f t="shared" si="1"/>
        <v>-0.43333333333333313</v>
      </c>
      <c r="AV2" s="4">
        <f t="shared" si="1"/>
        <v>-0.375</v>
      </c>
      <c r="AW2" s="4">
        <f t="shared" si="1"/>
        <v>-0.31666666666666643</v>
      </c>
      <c r="AX2" s="4">
        <f t="shared" si="1"/>
        <v>-0.2583333333333333</v>
      </c>
      <c r="AY2" s="4">
        <f t="shared" si="1"/>
        <v>-0.20000000000000018</v>
      </c>
      <c r="AZ2" s="4">
        <f t="shared" si="1"/>
        <v>-0.14166666666666661</v>
      </c>
      <c r="BA2" s="4">
        <f t="shared" si="1"/>
        <v>-8.3333333333333481E-2</v>
      </c>
      <c r="BB2" s="4">
        <f t="shared" si="1"/>
        <v>-2.4999999999999911E-2</v>
      </c>
      <c r="BC2" s="4">
        <f t="shared" si="1"/>
        <v>3.3333333333333215E-2</v>
      </c>
      <c r="BD2" s="4">
        <f t="shared" si="1"/>
        <v>9.1666666666666785E-2</v>
      </c>
      <c r="BE2" s="4">
        <f t="shared" si="1"/>
        <v>0.14999999999999991</v>
      </c>
      <c r="BF2" s="4">
        <f t="shared" si="1"/>
        <v>0.20833333333333348</v>
      </c>
      <c r="BG2" s="4">
        <f t="shared" si="1"/>
        <v>0.26666666666666661</v>
      </c>
      <c r="BH2" s="4">
        <f t="shared" si="1"/>
        <v>0.32500000000000018</v>
      </c>
      <c r="BI2" s="4">
        <f t="shared" si="1"/>
        <v>0.3833333333333333</v>
      </c>
      <c r="BJ2" s="4">
        <f t="shared" si="1"/>
        <v>0.44166666666666687</v>
      </c>
      <c r="BK2" s="4">
        <f t="shared" si="1"/>
        <v>0.5</v>
      </c>
      <c r="BL2" s="4">
        <f t="shared" si="1"/>
        <v>0.55833333333333357</v>
      </c>
      <c r="BM2" s="4">
        <f t="shared" si="1"/>
        <v>0.6166666666666667</v>
      </c>
      <c r="BN2" s="4">
        <f t="shared" si="1"/>
        <v>0.67500000000000027</v>
      </c>
      <c r="BO2" s="4">
        <f t="shared" ref="BO2:CT2" si="2">GStart+(Index*GInterval)</f>
        <v>0.73333333333333339</v>
      </c>
      <c r="BP2" s="4">
        <f t="shared" si="2"/>
        <v>0.79166666666666652</v>
      </c>
      <c r="BQ2" s="4">
        <f t="shared" si="2"/>
        <v>0.85000000000000009</v>
      </c>
      <c r="BR2" s="4">
        <f t="shared" si="2"/>
        <v>0.90833333333333321</v>
      </c>
      <c r="BS2" s="4">
        <f t="shared" si="2"/>
        <v>0.96666666666666679</v>
      </c>
      <c r="BT2" s="4">
        <f t="shared" si="2"/>
        <v>1.0250000000000004</v>
      </c>
      <c r="BU2" s="4">
        <f t="shared" si="2"/>
        <v>1.083333333333333</v>
      </c>
      <c r="BV2" s="4">
        <f t="shared" si="2"/>
        <v>1.1416666666666666</v>
      </c>
      <c r="BW2" s="4">
        <f t="shared" si="2"/>
        <v>1.2000000000000002</v>
      </c>
      <c r="BX2" s="4">
        <f t="shared" si="2"/>
        <v>1.2583333333333337</v>
      </c>
      <c r="BY2" s="4">
        <f t="shared" si="2"/>
        <v>1.3166666666666664</v>
      </c>
      <c r="BZ2" s="4">
        <f t="shared" si="2"/>
        <v>1.375</v>
      </c>
      <c r="CA2" s="4">
        <f t="shared" si="2"/>
        <v>1.4333333333333336</v>
      </c>
      <c r="CB2" s="4">
        <f t="shared" si="2"/>
        <v>1.4916666666666671</v>
      </c>
      <c r="CC2" s="4">
        <f t="shared" si="2"/>
        <v>1.5499999999999998</v>
      </c>
      <c r="CD2" s="4">
        <f t="shared" si="2"/>
        <v>1.6083333333333334</v>
      </c>
      <c r="CE2" s="4">
        <f t="shared" si="2"/>
        <v>1.666666666666667</v>
      </c>
      <c r="CF2" s="4">
        <f t="shared" si="2"/>
        <v>1.7249999999999996</v>
      </c>
      <c r="CG2" s="4">
        <f t="shared" si="2"/>
        <v>1.7833333333333332</v>
      </c>
      <c r="CH2" s="4">
        <f t="shared" si="2"/>
        <v>1.8416666666666668</v>
      </c>
      <c r="CI2" s="4">
        <f t="shared" si="2"/>
        <v>1.9000000000000004</v>
      </c>
      <c r="CJ2" s="4">
        <f t="shared" si="2"/>
        <v>1.958333333333333</v>
      </c>
      <c r="CK2" s="4">
        <f t="shared" si="2"/>
        <v>2.0166666666666666</v>
      </c>
      <c r="CL2" s="4">
        <f t="shared" si="2"/>
        <v>2.0750000000000002</v>
      </c>
      <c r="CM2" s="4">
        <f t="shared" si="2"/>
        <v>2.1333333333333337</v>
      </c>
      <c r="CN2" s="4">
        <f t="shared" si="2"/>
        <v>2.1916666666666664</v>
      </c>
      <c r="CO2" s="4">
        <f t="shared" si="2"/>
        <v>2.25</v>
      </c>
      <c r="CP2" s="4">
        <f t="shared" si="2"/>
        <v>2.3083333333333336</v>
      </c>
      <c r="CQ2" s="4">
        <f t="shared" si="2"/>
        <v>2.3666666666666671</v>
      </c>
      <c r="CR2" s="4">
        <f t="shared" si="2"/>
        <v>2.4249999999999998</v>
      </c>
      <c r="CS2" s="4">
        <f t="shared" si="2"/>
        <v>2.4833333333333334</v>
      </c>
      <c r="CT2" s="4">
        <f t="shared" si="2"/>
        <v>2.541666666666667</v>
      </c>
      <c r="CU2" s="4">
        <f t="shared" ref="CU2:DS2" si="3">GStart+(Index*GInterval)</f>
        <v>2.5999999999999996</v>
      </c>
      <c r="CV2" s="4">
        <f t="shared" si="3"/>
        <v>2.6583333333333332</v>
      </c>
      <c r="CW2" s="4">
        <f t="shared" si="3"/>
        <v>2.7166666666666668</v>
      </c>
      <c r="CX2" s="4">
        <f t="shared" si="3"/>
        <v>2.7750000000000004</v>
      </c>
      <c r="CY2" s="4">
        <f t="shared" si="3"/>
        <v>2.833333333333333</v>
      </c>
      <c r="CZ2" s="4">
        <f t="shared" si="3"/>
        <v>2.8916666666666666</v>
      </c>
      <c r="DA2" s="4">
        <f t="shared" si="3"/>
        <v>2.95</v>
      </c>
      <c r="DB2" s="4">
        <f t="shared" si="3"/>
        <v>3.0083333333333337</v>
      </c>
      <c r="DC2" s="4">
        <f t="shared" si="3"/>
        <v>3.0666666666666664</v>
      </c>
      <c r="DD2" s="4">
        <f t="shared" si="3"/>
        <v>3.125</v>
      </c>
      <c r="DE2" s="4">
        <f t="shared" si="3"/>
        <v>3.1833333333333336</v>
      </c>
      <c r="DF2" s="4">
        <f t="shared" si="3"/>
        <v>3.2416666666666671</v>
      </c>
      <c r="DG2" s="4">
        <f t="shared" si="3"/>
        <v>3.3</v>
      </c>
      <c r="DH2" s="4">
        <f t="shared" si="3"/>
        <v>3.3583333333333334</v>
      </c>
      <c r="DI2" s="4">
        <f t="shared" si="3"/>
        <v>3.416666666666667</v>
      </c>
      <c r="DJ2" s="4">
        <f t="shared" si="3"/>
        <v>3.4750000000000005</v>
      </c>
      <c r="DK2" s="4">
        <f t="shared" si="3"/>
        <v>3.5333333333333332</v>
      </c>
      <c r="DL2" s="4">
        <f t="shared" si="3"/>
        <v>3.5916666666666668</v>
      </c>
      <c r="DM2" s="4">
        <f t="shared" si="3"/>
        <v>3.6500000000000004</v>
      </c>
      <c r="DN2" s="4">
        <f t="shared" si="3"/>
        <v>3.708333333333333</v>
      </c>
      <c r="DO2" s="4">
        <f t="shared" si="3"/>
        <v>3.7666666666666666</v>
      </c>
      <c r="DP2" s="4">
        <f t="shared" si="3"/>
        <v>3.8250000000000002</v>
      </c>
      <c r="DQ2" s="4">
        <f t="shared" si="3"/>
        <v>3.8833333333333337</v>
      </c>
      <c r="DR2" s="4">
        <f t="shared" si="3"/>
        <v>3.9416666666666664</v>
      </c>
      <c r="DS2" s="4">
        <f t="shared" si="3"/>
        <v>4</v>
      </c>
    </row>
    <row r="3" spans="1:124" x14ac:dyDescent="0.2">
      <c r="B3" t="s">
        <v>25</v>
      </c>
      <c r="C3" s="13">
        <f t="shared" ref="C3:AH3" si="4">_xlfn.NORM.S.DIST(ZScore,FALSE)</f>
        <v>4.4318484119380075E-3</v>
      </c>
      <c r="D3" s="13">
        <f t="shared" si="4"/>
        <v>5.2704479391829269E-3</v>
      </c>
      <c r="E3" s="13">
        <f t="shared" si="4"/>
        <v>6.2464368065540034E-3</v>
      </c>
      <c r="F3" s="13">
        <f t="shared" si="4"/>
        <v>7.37801214864679E-3</v>
      </c>
      <c r="G3" s="13">
        <f t="shared" si="4"/>
        <v>8.6849750207789057E-3</v>
      </c>
      <c r="H3" s="13">
        <f t="shared" si="4"/>
        <v>1.0188728126088639E-2</v>
      </c>
      <c r="I3" s="13">
        <f t="shared" si="4"/>
        <v>1.1912243607605179E-2</v>
      </c>
      <c r="J3" s="13">
        <f t="shared" si="4"/>
        <v>1.3879996323788798E-2</v>
      </c>
      <c r="K3" s="13">
        <f t="shared" si="4"/>
        <v>1.6117858113648992E-2</v>
      </c>
      <c r="L3" s="13">
        <f t="shared" si="4"/>
        <v>1.8652948792269905E-2</v>
      </c>
      <c r="M3" s="13">
        <f t="shared" si="4"/>
        <v>2.1513440016773657E-2</v>
      </c>
      <c r="N3" s="13">
        <f t="shared" si="4"/>
        <v>2.4728308740703059E-2</v>
      </c>
      <c r="O3" s="13">
        <f t="shared" si="4"/>
        <v>2.8327037741601186E-2</v>
      </c>
      <c r="P3" s="13">
        <f t="shared" si="4"/>
        <v>3.2339261667027469E-2</v>
      </c>
      <c r="Q3" s="13">
        <f t="shared" si="4"/>
        <v>3.6794358196913367E-2</v>
      </c>
      <c r="R3" s="13">
        <f t="shared" si="4"/>
        <v>4.1720985256338612E-2</v>
      </c>
      <c r="S3" s="13">
        <f t="shared" si="4"/>
        <v>4.7146566715871613E-2</v>
      </c>
      <c r="T3" s="13">
        <f t="shared" si="4"/>
        <v>5.3096730661470075E-2</v>
      </c>
      <c r="U3" s="13">
        <f t="shared" si="4"/>
        <v>5.9594706068816075E-2</v>
      </c>
      <c r="V3" s="13">
        <f t="shared" si="4"/>
        <v>6.6660685535563757E-2</v>
      </c>
      <c r="W3" s="13">
        <f t="shared" si="4"/>
        <v>7.4311163558993101E-2</v>
      </c>
      <c r="X3" s="13">
        <f t="shared" si="4"/>
        <v>8.2558261638591632E-2</v>
      </c>
      <c r="Y3" s="13">
        <f t="shared" si="4"/>
        <v>9.1409053170024249E-2</v>
      </c>
      <c r="Z3" s="13">
        <f t="shared" si="4"/>
        <v>0.10086490261175546</v>
      </c>
      <c r="AA3" s="13">
        <f t="shared" si="4"/>
        <v>0.11092083467945554</v>
      </c>
      <c r="AB3" s="13">
        <f t="shared" si="4"/>
        <v>0.12156495028818091</v>
      </c>
      <c r="AC3" s="13">
        <f t="shared" si="4"/>
        <v>0.1327779065535874</v>
      </c>
      <c r="AD3" s="13">
        <f t="shared" si="4"/>
        <v>0.14453247832293287</v>
      </c>
      <c r="AE3" s="13">
        <f t="shared" si="4"/>
        <v>0.15679321838550858</v>
      </c>
      <c r="AF3" s="13">
        <f t="shared" si="4"/>
        <v>0.16951623267377358</v>
      </c>
      <c r="AG3" s="13">
        <f t="shared" si="4"/>
        <v>0.18264908538902191</v>
      </c>
      <c r="AH3" s="13">
        <f t="shared" si="4"/>
        <v>0.19613084706412104</v>
      </c>
      <c r="AI3" s="13">
        <f t="shared" ref="AI3:BN3" si="5">_xlfn.NORM.S.DIST(ZScore,FALSE)</f>
        <v>0.20989229612472426</v>
      </c>
      <c r="AJ3" s="13">
        <f t="shared" si="5"/>
        <v>0.22385628156323947</v>
      </c>
      <c r="AK3" s="13">
        <f t="shared" si="5"/>
        <v>0.23793825095077797</v>
      </c>
      <c r="AL3" s="13">
        <f t="shared" si="5"/>
        <v>0.25204694425504515</v>
      </c>
      <c r="AM3" s="13">
        <f t="shared" si="5"/>
        <v>0.26608524989875487</v>
      </c>
      <c r="AN3" s="13">
        <f t="shared" si="5"/>
        <v>0.27995121529181161</v>
      </c>
      <c r="AO3" s="13">
        <f t="shared" si="5"/>
        <v>0.29353919982245646</v>
      </c>
      <c r="AP3" s="13">
        <f t="shared" si="5"/>
        <v>0.30674115412823999</v>
      </c>
      <c r="AQ3" s="13">
        <f t="shared" si="5"/>
        <v>0.31944800552235231</v>
      </c>
      <c r="AR3" s="13">
        <f t="shared" si="5"/>
        <v>0.33155112585962976</v>
      </c>
      <c r="AS3" s="13">
        <f t="shared" si="5"/>
        <v>0.3429438550193839</v>
      </c>
      <c r="AT3" s="13">
        <f t="shared" si="5"/>
        <v>0.35352305067844719</v>
      </c>
      <c r="AU3" s="13">
        <f t="shared" si="5"/>
        <v>0.36319063325141798</v>
      </c>
      <c r="AV3" s="13">
        <f t="shared" si="5"/>
        <v>0.37185509386976895</v>
      </c>
      <c r="AW3" s="13">
        <f t="shared" si="5"/>
        <v>0.37943293311694537</v>
      </c>
      <c r="AX3" s="13">
        <f t="shared" si="5"/>
        <v>0.38584999896526484</v>
      </c>
      <c r="AY3" s="13">
        <f t="shared" si="5"/>
        <v>0.39104269397545588</v>
      </c>
      <c r="AZ3" s="13">
        <f t="shared" si="5"/>
        <v>0.39495902429385171</v>
      </c>
      <c r="BA3" s="13">
        <f t="shared" si="5"/>
        <v>0.39755946625834193</v>
      </c>
      <c r="BB3" s="13">
        <f t="shared" si="5"/>
        <v>0.3988176304163818</v>
      </c>
      <c r="BC3" s="13">
        <f t="shared" si="5"/>
        <v>0.39872070735497706</v>
      </c>
      <c r="BD3" s="13">
        <f t="shared" si="5"/>
        <v>0.39726968480985436</v>
      </c>
      <c r="BE3" s="13">
        <f t="shared" si="5"/>
        <v>0.39447933090788895</v>
      </c>
      <c r="BF3" s="13">
        <f t="shared" si="5"/>
        <v>0.39037794394036235</v>
      </c>
      <c r="BG3" s="13">
        <f t="shared" si="5"/>
        <v>0.38500687459601396</v>
      </c>
      <c r="BH3" s="13">
        <f t="shared" si="5"/>
        <v>0.37841983193381945</v>
      </c>
      <c r="BI3" s="13">
        <f t="shared" si="5"/>
        <v>0.3706819893843854</v>
      </c>
      <c r="BJ3" s="13">
        <f t="shared" si="5"/>
        <v>0.36186891158684437</v>
      </c>
      <c r="BK3" s="13">
        <f t="shared" si="5"/>
        <v>0.35206532676429952</v>
      </c>
      <c r="BL3" s="13">
        <f t="shared" si="5"/>
        <v>0.34136377250700678</v>
      </c>
      <c r="BM3" s="13">
        <f t="shared" si="5"/>
        <v>0.3298631451867407</v>
      </c>
      <c r="BN3" s="13">
        <f t="shared" si="5"/>
        <v>0.31766718471514821</v>
      </c>
      <c r="BO3" s="13">
        <f t="shared" ref="BO3:CT3" si="6">_xlfn.NORM.S.DIST(ZScore,FALSE)</f>
        <v>0.30488292696051716</v>
      </c>
      <c r="BP3" s="13">
        <f t="shared" si="6"/>
        <v>0.29161915585865567</v>
      </c>
      <c r="BQ3" s="13">
        <f t="shared" si="6"/>
        <v>0.27798488613099642</v>
      </c>
      <c r="BR3" s="13">
        <f t="shared" si="6"/>
        <v>0.26408790561993201</v>
      </c>
      <c r="BS3" s="13">
        <f t="shared" si="6"/>
        <v>0.25003340365465843</v>
      </c>
      <c r="BT3" s="13">
        <f t="shared" si="6"/>
        <v>0.23592270867687243</v>
      </c>
      <c r="BU3" s="13">
        <f t="shared" si="6"/>
        <v>0.22185215470573602</v>
      </c>
      <c r="BV3" s="13">
        <f t="shared" si="6"/>
        <v>0.20791209223656712</v>
      </c>
      <c r="BW3" s="13">
        <f t="shared" si="6"/>
        <v>0.19418605498321292</v>
      </c>
      <c r="BX3" s="13">
        <f t="shared" si="6"/>
        <v>0.18075008962485567</v>
      </c>
      <c r="BY3" s="13">
        <f t="shared" si="6"/>
        <v>0.16767225153351559</v>
      </c>
      <c r="BZ3" s="13">
        <f t="shared" si="6"/>
        <v>0.15501226545829322</v>
      </c>
      <c r="CA3" s="13">
        <f t="shared" si="6"/>
        <v>0.14282134643251027</v>
      </c>
      <c r="CB3" s="13">
        <f t="shared" si="6"/>
        <v>0.13114217283991092</v>
      </c>
      <c r="CC3" s="13">
        <f t="shared" si="6"/>
        <v>0.12000900069698565</v>
      </c>
      <c r="CD3" s="13">
        <f t="shared" si="6"/>
        <v>0.1094479058314296</v>
      </c>
      <c r="CE3" s="13">
        <f t="shared" si="6"/>
        <v>9.9477138792748651E-2</v>
      </c>
      <c r="CF3" s="13">
        <f t="shared" si="6"/>
        <v>9.0107576031298167E-2</v>
      </c>
      <c r="CG3" s="13">
        <f t="shared" si="6"/>
        <v>8.1343250119279606E-2</v>
      </c>
      <c r="CH3" s="13">
        <f t="shared" si="6"/>
        <v>7.3181941537320438E-2</v>
      </c>
      <c r="CI3" s="13">
        <f t="shared" si="6"/>
        <v>6.5615814774676554E-2</v>
      </c>
      <c r="CJ3" s="13">
        <f t="shared" si="6"/>
        <v>5.86320821394846E-2</v>
      </c>
      <c r="CK3" s="13">
        <f t="shared" si="6"/>
        <v>5.22136796885561E-2</v>
      </c>
      <c r="CL3" s="13">
        <f t="shared" si="6"/>
        <v>4.6339940998709216E-2</v>
      </c>
      <c r="CM3" s="13">
        <f t="shared" si="6"/>
        <v>4.0987256045222159E-2</v>
      </c>
      <c r="CN3" s="13">
        <f t="shared" si="6"/>
        <v>3.6129704158980966E-2</v>
      </c>
      <c r="CO3" s="13">
        <f t="shared" si="6"/>
        <v>3.1739651835667418E-2</v>
      </c>
      <c r="CP3" s="13">
        <f t="shared" si="6"/>
        <v>2.7788308005509021E-2</v>
      </c>
      <c r="CQ3" s="13">
        <f t="shared" si="6"/>
        <v>2.4246231184227331E-2</v>
      </c>
      <c r="CR3" s="13">
        <f t="shared" si="6"/>
        <v>2.1083784665664119E-2</v>
      </c>
      <c r="CS3" s="13">
        <f t="shared" si="6"/>
        <v>1.8271537543024165E-2</v>
      </c>
      <c r="CT3" s="13">
        <f t="shared" si="6"/>
        <v>1.5780610826231858E-2</v>
      </c>
      <c r="CU3" s="13">
        <f t="shared" ref="CU3:DS3" si="7">_xlfn.NORM.S.DIST(ZScore,FALSE)</f>
        <v>1.3582969233685634E-2</v>
      </c>
      <c r="CV3" s="13">
        <f t="shared" si="7"/>
        <v>1.1651660362255303E-2</v>
      </c>
      <c r="CW3" s="13">
        <f t="shared" si="7"/>
        <v>9.961003872095921E-3</v>
      </c>
      <c r="CX3" s="13">
        <f t="shared" si="7"/>
        <v>8.48673406223871E-3</v>
      </c>
      <c r="CY3" s="13">
        <f t="shared" si="7"/>
        <v>7.2060997646092289E-3</v>
      </c>
      <c r="CZ3" s="13">
        <f t="shared" si="7"/>
        <v>6.0979258588680675E-3</v>
      </c>
      <c r="DA3" s="13">
        <f t="shared" si="7"/>
        <v>5.1426409230539392E-3</v>
      </c>
      <c r="DB3" s="13">
        <f t="shared" si="7"/>
        <v>4.3222756031505933E-3</v>
      </c>
      <c r="DC3" s="13">
        <f t="shared" si="7"/>
        <v>3.62043622801929E-3</v>
      </c>
      <c r="DD3" s="13">
        <f t="shared" si="7"/>
        <v>3.0222580351987561E-3</v>
      </c>
      <c r="DE3" s="13">
        <f t="shared" si="7"/>
        <v>2.5143421285332909E-3</v>
      </c>
      <c r="DF3" s="13">
        <f t="shared" si="7"/>
        <v>2.0846799804766975E-3</v>
      </c>
      <c r="DG3" s="13">
        <f t="shared" si="7"/>
        <v>1.7225689390536812E-3</v>
      </c>
      <c r="DH3" s="13">
        <f t="shared" si="7"/>
        <v>1.4185218189983377E-3</v>
      </c>
      <c r="DI3" s="13">
        <f t="shared" si="7"/>
        <v>1.1641732637163835E-3</v>
      </c>
      <c r="DJ3" s="13">
        <f t="shared" si="7"/>
        <v>9.5218517245626783E-4</v>
      </c>
      <c r="DK3" s="13">
        <f t="shared" si="7"/>
        <v>7.7615310620890888E-4</v>
      </c>
      <c r="DL3" s="13">
        <f t="shared" si="7"/>
        <v>6.3051522495079953E-4</v>
      </c>
      <c r="DM3" s="13">
        <f t="shared" si="7"/>
        <v>5.1046497434418473E-4</v>
      </c>
      <c r="DN3" s="13">
        <f t="shared" si="7"/>
        <v>4.1186843639058314E-4</v>
      </c>
      <c r="DO3" s="13">
        <f t="shared" si="7"/>
        <v>3.3118698852029261E-4</v>
      </c>
      <c r="DP3" s="13">
        <f t="shared" si="7"/>
        <v>2.6540568038022831E-4</v>
      </c>
      <c r="DQ3" s="13">
        <f t="shared" si="7"/>
        <v>2.1196753705985543E-4</v>
      </c>
      <c r="DR3" s="13">
        <f t="shared" si="7"/>
        <v>1.6871383053421681E-4</v>
      </c>
      <c r="DS3" s="13">
        <f t="shared" si="7"/>
        <v>1.3383022576488537E-4</v>
      </c>
    </row>
    <row r="4" spans="1:124" x14ac:dyDescent="0.2">
      <c r="B4" t="s">
        <v>26</v>
      </c>
      <c r="C4" s="13">
        <f t="shared" ref="C4:AH4" si="8">_xlfn.NORM.S.DIST(ZScore,TRUE)</f>
        <v>1.3498980316300933E-3</v>
      </c>
      <c r="D4" s="13">
        <f t="shared" si="8"/>
        <v>1.6322555899101771E-3</v>
      </c>
      <c r="E4" s="13">
        <f t="shared" si="8"/>
        <v>1.96745405771599E-3</v>
      </c>
      <c r="F4" s="13">
        <f t="shared" si="8"/>
        <v>2.3640308017029996E-3</v>
      </c>
      <c r="G4" s="13">
        <f t="shared" si="8"/>
        <v>2.8316314143945272E-3</v>
      </c>
      <c r="H4" s="13">
        <f t="shared" si="8"/>
        <v>3.3811033443229012E-3</v>
      </c>
      <c r="I4" s="13">
        <f t="shared" si="8"/>
        <v>4.0245885427583044E-3</v>
      </c>
      <c r="J4" s="13">
        <f t="shared" si="8"/>
        <v>4.7756132470905006E-3</v>
      </c>
      <c r="K4" s="13">
        <f t="shared" si="8"/>
        <v>5.6491727555606384E-3</v>
      </c>
      <c r="L4" s="13">
        <f t="shared" si="8"/>
        <v>6.6618087919826981E-3</v>
      </c>
      <c r="M4" s="13">
        <f t="shared" si="8"/>
        <v>7.8316768214487954E-3</v>
      </c>
      <c r="N4" s="13">
        <f t="shared" si="8"/>
        <v>9.1786004688065286E-3</v>
      </c>
      <c r="O4" s="13">
        <f t="shared" si="8"/>
        <v>1.0724110021675811E-2</v>
      </c>
      <c r="P4" s="13">
        <f t="shared" si="8"/>
        <v>1.2491461880120529E-2</v>
      </c>
      <c r="Q4" s="13">
        <f t="shared" si="8"/>
        <v>1.4505635757095884E-2</v>
      </c>
      <c r="R4" s="13">
        <f t="shared" si="8"/>
        <v>1.67933064484488E-2</v>
      </c>
      <c r="S4" s="13">
        <f t="shared" si="8"/>
        <v>1.9382787088818607E-2</v>
      </c>
      <c r="T4" s="13">
        <f t="shared" si="8"/>
        <v>2.2303940999312061E-2</v>
      </c>
      <c r="U4" s="13">
        <f t="shared" si="8"/>
        <v>2.5588059521638607E-2</v>
      </c>
      <c r="V4" s="13">
        <f t="shared" si="8"/>
        <v>2.9267703626598088E-2</v>
      </c>
      <c r="W4" s="13">
        <f t="shared" si="8"/>
        <v>3.337650758481725E-2</v>
      </c>
      <c r="X4" s="13">
        <f t="shared" si="8"/>
        <v>3.7948943593689125E-2</v>
      </c>
      <c r="Y4" s="13">
        <f t="shared" si="8"/>
        <v>4.3020046962314429E-2</v>
      </c>
      <c r="Z4" s="13">
        <f t="shared" si="8"/>
        <v>4.8625102257806939E-2</v>
      </c>
      <c r="AA4" s="13">
        <f t="shared" si="8"/>
        <v>5.4799291699557967E-2</v>
      </c>
      <c r="AB4" s="13">
        <f t="shared" si="8"/>
        <v>6.1577308036909376E-2</v>
      </c>
      <c r="AC4" s="13">
        <f t="shared" si="8"/>
        <v>6.8992935140227363E-2</v>
      </c>
      <c r="AD4" s="13">
        <f t="shared" si="8"/>
        <v>7.7078600552071871E-2</v>
      </c>
      <c r="AE4" s="13">
        <f t="shared" si="8"/>
        <v>8.586490525735585E-2</v>
      </c>
      <c r="AF4" s="13">
        <f t="shared" si="8"/>
        <v>9.5380136909912802E-2</v>
      </c>
      <c r="AG4" s="13">
        <f t="shared" si="8"/>
        <v>0.10564977366685525</v>
      </c>
      <c r="AH4" s="13">
        <f t="shared" si="8"/>
        <v>0.11669598659983706</v>
      </c>
      <c r="AI4" s="13">
        <f t="shared" ref="AI4:BN4" si="9">_xlfn.NORM.S.DIST(ZScore,TRUE)</f>
        <v>0.12853714934241495</v>
      </c>
      <c r="AJ4" s="13">
        <f t="shared" si="9"/>
        <v>0.14118736416512895</v>
      </c>
      <c r="AK4" s="13">
        <f t="shared" si="9"/>
        <v>0.15465601401722426</v>
      </c>
      <c r="AL4" s="13">
        <f t="shared" si="9"/>
        <v>0.16894735021240503</v>
      </c>
      <c r="AM4" s="13">
        <f t="shared" si="9"/>
        <v>0.1840601253467595</v>
      </c>
      <c r="AN4" s="13">
        <f t="shared" si="9"/>
        <v>0.19998728070700561</v>
      </c>
      <c r="AO4" s="13">
        <f t="shared" si="9"/>
        <v>0.21671569685016279</v>
      </c>
      <c r="AP4" s="13">
        <f t="shared" si="9"/>
        <v>0.23422601521269487</v>
      </c>
      <c r="AQ4" s="13">
        <f t="shared" si="9"/>
        <v>0.25249253754692291</v>
      </c>
      <c r="AR4" s="13">
        <f t="shared" si="9"/>
        <v>0.2714832087017871</v>
      </c>
      <c r="AS4" s="13">
        <f t="shared" si="9"/>
        <v>0.29115968678834636</v>
      </c>
      <c r="AT4" s="13">
        <f t="shared" si="9"/>
        <v>0.31147750312950329</v>
      </c>
      <c r="AU4" s="13">
        <f t="shared" si="9"/>
        <v>0.33238631262667512</v>
      </c>
      <c r="AV4" s="13">
        <f t="shared" si="9"/>
        <v>0.35383023332727614</v>
      </c>
      <c r="AW4" s="13">
        <f t="shared" si="9"/>
        <v>0.37574827209398765</v>
      </c>
      <c r="AX4" s="13">
        <f t="shared" si="9"/>
        <v>0.39807483141053696</v>
      </c>
      <c r="AY4" s="13">
        <f t="shared" si="9"/>
        <v>0.4207402905608969</v>
      </c>
      <c r="AZ4" s="13">
        <f t="shared" si="9"/>
        <v>0.4436716527404484</v>
      </c>
      <c r="BA4" s="13">
        <f t="shared" si="9"/>
        <v>0.46679324814737766</v>
      </c>
      <c r="BB4" s="13">
        <f t="shared" si="9"/>
        <v>0.49002748180476197</v>
      </c>
      <c r="BC4" s="13">
        <f t="shared" si="9"/>
        <v>0.5132956138170921</v>
      </c>
      <c r="BD4" s="13">
        <f t="shared" si="9"/>
        <v>0.53651855900084389</v>
      </c>
      <c r="BE4" s="13">
        <f t="shared" si="9"/>
        <v>0.5596176923702425</v>
      </c>
      <c r="BF4" s="13">
        <f t="shared" si="9"/>
        <v>0.58251564682052259</v>
      </c>
      <c r="BG4" s="13">
        <f t="shared" si="9"/>
        <v>0.60513708953597489</v>
      </c>
      <c r="BH4" s="13">
        <f t="shared" si="9"/>
        <v>0.62740946415328414</v>
      </c>
      <c r="BI4" s="13">
        <f t="shared" si="9"/>
        <v>0.64926368651678124</v>
      </c>
      <c r="BJ4" s="13">
        <f t="shared" si="9"/>
        <v>0.67063478294692669</v>
      </c>
      <c r="BK4" s="13">
        <f t="shared" si="9"/>
        <v>0.69146246127401312</v>
      </c>
      <c r="BL4" s="13">
        <f t="shared" si="9"/>
        <v>0.7116916064262131</v>
      </c>
      <c r="BM4" s="13">
        <f t="shared" si="9"/>
        <v>0.73127269405956041</v>
      </c>
      <c r="BN4" s="13">
        <f t="shared" si="9"/>
        <v>0.75016211752822315</v>
      </c>
      <c r="BO4" s="13">
        <f t="shared" ref="BO4:CT4" si="10">_xlfn.NORM.S.DIST(ZScore,TRUE)</f>
        <v>0.76832242536520179</v>
      </c>
      <c r="BP4" s="13">
        <f t="shared" si="10"/>
        <v>0.78572246832469039</v>
      </c>
      <c r="BQ4" s="13">
        <f t="shared" si="10"/>
        <v>0.80233745687730762</v>
      </c>
      <c r="BR4" s="13">
        <f t="shared" si="10"/>
        <v>0.81814893180076942</v>
      </c>
      <c r="BS4" s="13">
        <f t="shared" si="10"/>
        <v>0.83314465212821709</v>
      </c>
      <c r="BT4" s="13">
        <f t="shared" si="10"/>
        <v>0.84731840616688969</v>
      </c>
      <c r="BU4" s="13">
        <f t="shared" si="10"/>
        <v>0.86066975255037792</v>
      </c>
      <c r="BV4" s="13">
        <f t="shared" si="10"/>
        <v>0.8732036993148975</v>
      </c>
      <c r="BW4" s="13">
        <f t="shared" si="10"/>
        <v>0.88493032977829178</v>
      </c>
      <c r="BX4" s="13">
        <f t="shared" si="10"/>
        <v>0.89586438454210948</v>
      </c>
      <c r="BY4" s="13">
        <f t="shared" si="10"/>
        <v>0.90602480923215267</v>
      </c>
      <c r="BZ4" s="13">
        <f t="shared" si="10"/>
        <v>0.91543427764866436</v>
      </c>
      <c r="CA4" s="13">
        <f t="shared" si="10"/>
        <v>0.92411869982774197</v>
      </c>
      <c r="CB4" s="13">
        <f t="shared" si="10"/>
        <v>0.93210672414026796</v>
      </c>
      <c r="CC4" s="13">
        <f t="shared" si="10"/>
        <v>0.93942924199794098</v>
      </c>
      <c r="CD4" s="13">
        <f t="shared" si="10"/>
        <v>0.94611890302579726</v>
      </c>
      <c r="CE4" s="13">
        <f t="shared" si="10"/>
        <v>0.9522096477271853</v>
      </c>
      <c r="CF4" s="13">
        <f t="shared" si="10"/>
        <v>0.95773626374204757</v>
      </c>
      <c r="CG4" s="13">
        <f t="shared" si="10"/>
        <v>0.96273397081415768</v>
      </c>
      <c r="CH4" s="13">
        <f t="shared" si="10"/>
        <v>0.96723803856839063</v>
      </c>
      <c r="CI4" s="13">
        <f t="shared" si="10"/>
        <v>0.97128344018399826</v>
      </c>
      <c r="CJ4" s="13">
        <f t="shared" si="10"/>
        <v>0.97490454406048499</v>
      </c>
      <c r="CK4" s="13">
        <f t="shared" si="10"/>
        <v>0.97813484463207001</v>
      </c>
      <c r="CL4" s="13">
        <f t="shared" si="10"/>
        <v>0.98100673261426141</v>
      </c>
      <c r="CM4" s="13">
        <f t="shared" si="10"/>
        <v>0.98355130417725467</v>
      </c>
      <c r="CN4" s="13">
        <f t="shared" si="10"/>
        <v>0.98579820784715644</v>
      </c>
      <c r="CO4" s="13">
        <f t="shared" si="10"/>
        <v>0.98777552734495533</v>
      </c>
      <c r="CP4" s="13">
        <f t="shared" si="10"/>
        <v>0.98950969808844325</v>
      </c>
      <c r="CQ4" s="13">
        <f t="shared" si="10"/>
        <v>0.99102545470421699</v>
      </c>
      <c r="CR4" s="13">
        <f t="shared" si="10"/>
        <v>0.99234580662262672</v>
      </c>
      <c r="CS4" s="13">
        <f t="shared" si="10"/>
        <v>0.99349203865264735</v>
      </c>
      <c r="CT4" s="13">
        <f t="shared" si="10"/>
        <v>0.99448373334850715</v>
      </c>
      <c r="CU4" s="13">
        <f t="shared" ref="CU4:DS4" si="11">_xlfn.NORM.S.DIST(ZScore,TRUE)</f>
        <v>0.99533881197628127</v>
      </c>
      <c r="CV4" s="13">
        <f t="shared" si="11"/>
        <v>0.99607359095614822</v>
      </c>
      <c r="CW4" s="13">
        <f t="shared" si="11"/>
        <v>0.99670285078354248</v>
      </c>
      <c r="CX4" s="13">
        <f t="shared" si="11"/>
        <v>0.99723991460873751</v>
      </c>
      <c r="CY4" s="13">
        <f t="shared" si="11"/>
        <v>0.99769673386830415</v>
      </c>
      <c r="CZ4" s="13">
        <f t="shared" si="11"/>
        <v>0.9980839786027581</v>
      </c>
      <c r="DA4" s="13">
        <f t="shared" si="11"/>
        <v>0.99841113035263518</v>
      </c>
      <c r="DB4" s="13">
        <f t="shared" si="11"/>
        <v>0.9986865757912442</v>
      </c>
      <c r="DC4" s="13">
        <f t="shared" si="11"/>
        <v>0.99891769951860676</v>
      </c>
      <c r="DD4" s="13">
        <f t="shared" si="11"/>
        <v>0.99911097470089161</v>
      </c>
      <c r="DE4" s="13">
        <f t="shared" si="11"/>
        <v>0.9992720504875342</v>
      </c>
      <c r="DF4" s="13">
        <f t="shared" si="11"/>
        <v>0.99940583536989636</v>
      </c>
      <c r="DG4" s="13">
        <f t="shared" si="11"/>
        <v>0.99951657585761622</v>
      </c>
      <c r="DH4" s="13">
        <f t="shared" si="11"/>
        <v>0.99960793003963377</v>
      </c>
      <c r="DI4" s="13">
        <f t="shared" si="11"/>
        <v>0.99968303576508022</v>
      </c>
      <c r="DJ4" s="13">
        <f t="shared" si="11"/>
        <v>0.99974457332447142</v>
      </c>
      <c r="DK4" s="13">
        <f t="shared" si="11"/>
        <v>0.99979482263429487</v>
      </c>
      <c r="DL4" s="13">
        <f t="shared" si="11"/>
        <v>0.99983571502906332</v>
      </c>
      <c r="DM4" s="13">
        <f t="shared" si="11"/>
        <v>0.99986887984557948</v>
      </c>
      <c r="DN4" s="13">
        <f t="shared" si="11"/>
        <v>0.99989568604619794</v>
      </c>
      <c r="DO4" s="13">
        <f t="shared" si="11"/>
        <v>0.9999172791731743</v>
      </c>
      <c r="DP4" s="13">
        <f t="shared" si="11"/>
        <v>0.99993461395675731</v>
      </c>
      <c r="DQ4" s="13">
        <f t="shared" si="11"/>
        <v>0.99994848291753291</v>
      </c>
      <c r="DR4" s="13">
        <f t="shared" si="11"/>
        <v>0.99995954131068421</v>
      </c>
      <c r="DS4" s="13">
        <f t="shared" si="11"/>
        <v>0.99996832875816688</v>
      </c>
    </row>
    <row r="5" spans="1:124" x14ac:dyDescent="0.2">
      <c r="B5" t="s">
        <v>27</v>
      </c>
      <c r="D5" s="14">
        <f>D4-C4</f>
        <v>2.8235755828008384E-4</v>
      </c>
      <c r="E5" s="14">
        <f t="shared" ref="E5:BP5" si="12">E4-D4</f>
        <v>3.3519846780581284E-4</v>
      </c>
      <c r="F5" s="14">
        <f t="shared" si="12"/>
        <v>3.9657674398700963E-4</v>
      </c>
      <c r="G5" s="14">
        <f t="shared" si="12"/>
        <v>4.6760061269152759E-4</v>
      </c>
      <c r="H5" s="14">
        <f t="shared" si="12"/>
        <v>5.4947192992837405E-4</v>
      </c>
      <c r="I5" s="14">
        <f t="shared" si="12"/>
        <v>6.4348519843540316E-4</v>
      </c>
      <c r="J5" s="14">
        <f t="shared" si="12"/>
        <v>7.5102470433219617E-4</v>
      </c>
      <c r="K5" s="14">
        <f t="shared" si="12"/>
        <v>8.7355950847013784E-4</v>
      </c>
      <c r="L5" s="14">
        <f t="shared" si="12"/>
        <v>1.0126360364220597E-3</v>
      </c>
      <c r="M5" s="14">
        <f t="shared" si="12"/>
        <v>1.1698680294660972E-3</v>
      </c>
      <c r="N5" s="14">
        <f t="shared" si="12"/>
        <v>1.3469236473577333E-3</v>
      </c>
      <c r="O5" s="14">
        <f t="shared" si="12"/>
        <v>1.5455095528692821E-3</v>
      </c>
      <c r="P5" s="14">
        <f t="shared" si="12"/>
        <v>1.7673518584447184E-3</v>
      </c>
      <c r="Q5" s="14">
        <f t="shared" si="12"/>
        <v>2.0141738769753545E-3</v>
      </c>
      <c r="R5" s="14">
        <f t="shared" si="12"/>
        <v>2.2876706913529162E-3</v>
      </c>
      <c r="S5" s="14">
        <f t="shared" si="12"/>
        <v>2.5894806403698074E-3</v>
      </c>
      <c r="T5" s="14">
        <f t="shared" si="12"/>
        <v>2.9211539104934542E-3</v>
      </c>
      <c r="U5" s="14">
        <f t="shared" si="12"/>
        <v>3.2841185223265457E-3</v>
      </c>
      <c r="V5" s="14">
        <f t="shared" si="12"/>
        <v>3.6796441049594814E-3</v>
      </c>
      <c r="W5" s="14">
        <f t="shared" si="12"/>
        <v>4.1088039582191614E-3</v>
      </c>
      <c r="X5" s="14">
        <f t="shared" si="12"/>
        <v>4.5724360088718746E-3</v>
      </c>
      <c r="Y5" s="14">
        <f t="shared" si="12"/>
        <v>5.0711033686253043E-3</v>
      </c>
      <c r="Z5" s="14">
        <f t="shared" si="12"/>
        <v>5.6050552954925101E-3</v>
      </c>
      <c r="AA5" s="14">
        <f t="shared" si="12"/>
        <v>6.1741894417510282E-3</v>
      </c>
      <c r="AB5" s="14">
        <f t="shared" si="12"/>
        <v>6.7780163373514085E-3</v>
      </c>
      <c r="AC5" s="14">
        <f t="shared" si="12"/>
        <v>7.4156271033179871E-3</v>
      </c>
      <c r="AD5" s="14">
        <f t="shared" si="12"/>
        <v>8.0856654118445087E-3</v>
      </c>
      <c r="AE5" s="14">
        <f t="shared" si="12"/>
        <v>8.7863047052839788E-3</v>
      </c>
      <c r="AF5" s="14">
        <f t="shared" si="12"/>
        <v>9.5152316525569519E-3</v>
      </c>
      <c r="AG5" s="14">
        <f t="shared" si="12"/>
        <v>1.0269636756942452E-2</v>
      </c>
      <c r="AH5" s="14">
        <f t="shared" si="12"/>
        <v>1.1046212932981803E-2</v>
      </c>
      <c r="AI5" s="14">
        <f t="shared" si="12"/>
        <v>1.184116274257789E-2</v>
      </c>
      <c r="AJ5" s="14">
        <f t="shared" si="12"/>
        <v>1.2650214822714001E-2</v>
      </c>
      <c r="AK5" s="14">
        <f t="shared" si="12"/>
        <v>1.346864985209531E-2</v>
      </c>
      <c r="AL5" s="14">
        <f t="shared" si="12"/>
        <v>1.4291336195180776E-2</v>
      </c>
      <c r="AM5" s="14">
        <f t="shared" si="12"/>
        <v>1.5112775134354467E-2</v>
      </c>
      <c r="AN5" s="14">
        <f t="shared" si="12"/>
        <v>1.5927155360246109E-2</v>
      </c>
      <c r="AO5" s="14">
        <f t="shared" si="12"/>
        <v>1.6728416143157177E-2</v>
      </c>
      <c r="AP5" s="14">
        <f t="shared" si="12"/>
        <v>1.7510318362532085E-2</v>
      </c>
      <c r="AQ5" s="14">
        <f t="shared" si="12"/>
        <v>1.8266522334228041E-2</v>
      </c>
      <c r="AR5" s="14">
        <f t="shared" si="12"/>
        <v>1.8990671154864192E-2</v>
      </c>
      <c r="AS5" s="14">
        <f t="shared" si="12"/>
        <v>1.9676478086559257E-2</v>
      </c>
      <c r="AT5" s="14">
        <f t="shared" si="12"/>
        <v>2.0317816341156925E-2</v>
      </c>
      <c r="AU5" s="14">
        <f t="shared" si="12"/>
        <v>2.0908809497171832E-2</v>
      </c>
      <c r="AV5" s="14">
        <f t="shared" si="12"/>
        <v>2.1443920700601027E-2</v>
      </c>
      <c r="AW5" s="14">
        <f t="shared" si="12"/>
        <v>2.1918038766711501E-2</v>
      </c>
      <c r="AX5" s="14">
        <f t="shared" si="12"/>
        <v>2.232655931654931E-2</v>
      </c>
      <c r="AY5" s="14">
        <f t="shared" si="12"/>
        <v>2.2665459150359946E-2</v>
      </c>
      <c r="AZ5" s="14">
        <f t="shared" si="12"/>
        <v>2.2931362179551495E-2</v>
      </c>
      <c r="BA5" s="14">
        <f t="shared" si="12"/>
        <v>2.3121595406929263E-2</v>
      </c>
      <c r="BB5" s="14">
        <f t="shared" si="12"/>
        <v>2.3234233657384307E-2</v>
      </c>
      <c r="BC5" s="14">
        <f t="shared" si="12"/>
        <v>2.3268132012330134E-2</v>
      </c>
      <c r="BD5" s="14">
        <f t="shared" si="12"/>
        <v>2.3222945183751786E-2</v>
      </c>
      <c r="BE5" s="14">
        <f t="shared" si="12"/>
        <v>2.3099133369398617E-2</v>
      </c>
      <c r="BF5" s="14">
        <f t="shared" si="12"/>
        <v>2.2897954450280089E-2</v>
      </c>
      <c r="BG5" s="14">
        <f t="shared" si="12"/>
        <v>2.26214427154523E-2</v>
      </c>
      <c r="BH5" s="14">
        <f t="shared" si="12"/>
        <v>2.2272374617309243E-2</v>
      </c>
      <c r="BI5" s="14">
        <f t="shared" si="12"/>
        <v>2.18542223634971E-2</v>
      </c>
      <c r="BJ5" s="14">
        <f t="shared" si="12"/>
        <v>2.1371096430145453E-2</v>
      </c>
      <c r="BK5" s="14">
        <f t="shared" si="12"/>
        <v>2.082767832708643E-2</v>
      </c>
      <c r="BL5" s="14">
        <f t="shared" si="12"/>
        <v>2.0229145152199979E-2</v>
      </c>
      <c r="BM5" s="14">
        <f t="shared" si="12"/>
        <v>1.9581087633347316E-2</v>
      </c>
      <c r="BN5" s="14">
        <f t="shared" si="12"/>
        <v>1.8889423468662736E-2</v>
      </c>
      <c r="BO5" s="14">
        <f t="shared" si="12"/>
        <v>1.816030783697864E-2</v>
      </c>
      <c r="BP5" s="14">
        <f t="shared" si="12"/>
        <v>1.7400042959488604E-2</v>
      </c>
      <c r="BQ5" s="14">
        <f t="shared" ref="BQ5:DS5" si="13">BQ4-BP4</f>
        <v>1.6614988552617227E-2</v>
      </c>
      <c r="BR5" s="14">
        <f t="shared" si="13"/>
        <v>1.5811474923461799E-2</v>
      </c>
      <c r="BS5" s="14">
        <f t="shared" si="13"/>
        <v>1.499572032744767E-2</v>
      </c>
      <c r="BT5" s="14">
        <f t="shared" si="13"/>
        <v>1.4173754038672604E-2</v>
      </c>
      <c r="BU5" s="14">
        <f t="shared" si="13"/>
        <v>1.3351346383488227E-2</v>
      </c>
      <c r="BV5" s="14">
        <f t="shared" si="13"/>
        <v>1.2533946764519577E-2</v>
      </c>
      <c r="BW5" s="14">
        <f t="shared" si="13"/>
        <v>1.1726630463394283E-2</v>
      </c>
      <c r="BX5" s="14">
        <f t="shared" si="13"/>
        <v>1.0934054763817702E-2</v>
      </c>
      <c r="BY5" s="14">
        <f t="shared" si="13"/>
        <v>1.016042469004319E-2</v>
      </c>
      <c r="BZ5" s="14">
        <f t="shared" si="13"/>
        <v>9.4094684165116904E-3</v>
      </c>
      <c r="CA5" s="14">
        <f t="shared" si="13"/>
        <v>8.684422179077611E-3</v>
      </c>
      <c r="CB5" s="14">
        <f t="shared" si="13"/>
        <v>7.9880243125259875E-3</v>
      </c>
      <c r="CC5" s="14">
        <f t="shared" si="13"/>
        <v>7.3225178576730166E-3</v>
      </c>
      <c r="CD5" s="14">
        <f t="shared" si="13"/>
        <v>6.6896610278562862E-3</v>
      </c>
      <c r="CE5" s="14">
        <f t="shared" si="13"/>
        <v>6.09074470138804E-3</v>
      </c>
      <c r="CF5" s="14">
        <f t="shared" si="13"/>
        <v>5.5266160148622623E-3</v>
      </c>
      <c r="CG5" s="14">
        <f t="shared" si="13"/>
        <v>4.9977070721101136E-3</v>
      </c>
      <c r="CH5" s="14">
        <f t="shared" si="13"/>
        <v>4.5040677542329544E-3</v>
      </c>
      <c r="CI5" s="14">
        <f t="shared" si="13"/>
        <v>4.0454016156076245E-3</v>
      </c>
      <c r="CJ5" s="14">
        <f t="shared" si="13"/>
        <v>3.6211038764867309E-3</v>
      </c>
      <c r="CK5" s="14">
        <f t="shared" si="13"/>
        <v>3.2303005715850208E-3</v>
      </c>
      <c r="CL5" s="14">
        <f t="shared" si="13"/>
        <v>2.8718879821914012E-3</v>
      </c>
      <c r="CM5" s="14">
        <f t="shared" si="13"/>
        <v>2.5445715629932586E-3</v>
      </c>
      <c r="CN5" s="14">
        <f t="shared" si="13"/>
        <v>2.2469036699017675E-3</v>
      </c>
      <c r="CO5" s="14">
        <f t="shared" si="13"/>
        <v>1.9773194977988906E-3</v>
      </c>
      <c r="CP5" s="14">
        <f t="shared" si="13"/>
        <v>1.7341707434879172E-3</v>
      </c>
      <c r="CQ5" s="14">
        <f t="shared" si="13"/>
        <v>1.5157566157737445E-3</v>
      </c>
      <c r="CR5" s="14">
        <f t="shared" si="13"/>
        <v>1.3203519184097345E-3</v>
      </c>
      <c r="CS5" s="14">
        <f t="shared" si="13"/>
        <v>1.1462320300206219E-3</v>
      </c>
      <c r="CT5" s="14">
        <f t="shared" si="13"/>
        <v>9.9169469585980163E-4</v>
      </c>
      <c r="CU5" s="14">
        <f t="shared" si="13"/>
        <v>8.5507862777411958E-4</v>
      </c>
      <c r="CV5" s="14">
        <f t="shared" si="13"/>
        <v>7.3477897986695684E-4</v>
      </c>
      <c r="CW5" s="14">
        <f t="shared" si="13"/>
        <v>6.2925982739425734E-4</v>
      </c>
      <c r="CX5" s="14">
        <f t="shared" si="13"/>
        <v>5.3706382519502771E-4</v>
      </c>
      <c r="CY5" s="14">
        <f t="shared" si="13"/>
        <v>4.5681925956664315E-4</v>
      </c>
      <c r="CZ5" s="14">
        <f t="shared" si="13"/>
        <v>3.8724473445395091E-4</v>
      </c>
      <c r="DA5" s="14">
        <f t="shared" si="13"/>
        <v>3.2715174987707485E-4</v>
      </c>
      <c r="DB5" s="14">
        <f t="shared" si="13"/>
        <v>2.7544543860902326E-4</v>
      </c>
      <c r="DC5" s="14">
        <f t="shared" si="13"/>
        <v>2.3112372736255882E-4</v>
      </c>
      <c r="DD5" s="14">
        <f t="shared" si="13"/>
        <v>1.9327518228484664E-4</v>
      </c>
      <c r="DE5" s="14">
        <f t="shared" si="13"/>
        <v>1.6107578664259492E-4</v>
      </c>
      <c r="DF5" s="14">
        <f t="shared" si="13"/>
        <v>1.3378488236215347E-4</v>
      </c>
      <c r="DG5" s="14">
        <f t="shared" si="13"/>
        <v>1.1074048771986256E-4</v>
      </c>
      <c r="DH5" s="14">
        <f t="shared" si="13"/>
        <v>9.135418201755563E-5</v>
      </c>
      <c r="DI5" s="14">
        <f t="shared" si="13"/>
        <v>7.5105725446444893E-5</v>
      </c>
      <c r="DJ5" s="14">
        <f t="shared" si="13"/>
        <v>6.1537559391200425E-5</v>
      </c>
      <c r="DK5" s="14">
        <f t="shared" si="13"/>
        <v>5.0249309823446886E-5</v>
      </c>
      <c r="DL5" s="14">
        <f t="shared" si="13"/>
        <v>4.0892394768454743E-5</v>
      </c>
      <c r="DM5" s="14">
        <f t="shared" si="13"/>
        <v>3.3164816516162432E-5</v>
      </c>
      <c r="DN5" s="14">
        <f t="shared" si="13"/>
        <v>2.6806200618456621E-5</v>
      </c>
      <c r="DO5" s="14">
        <f t="shared" si="13"/>
        <v>2.1593126976360288E-5</v>
      </c>
      <c r="DP5" s="14">
        <f t="shared" si="13"/>
        <v>1.733478358301177E-5</v>
      </c>
      <c r="DQ5" s="14">
        <f t="shared" si="13"/>
        <v>1.3868960775598183E-5</v>
      </c>
      <c r="DR5" s="14">
        <f t="shared" si="13"/>
        <v>1.105839315129753E-5</v>
      </c>
      <c r="DS5" s="14">
        <f t="shared" si="13"/>
        <v>8.7874474826721283E-6</v>
      </c>
      <c r="DT5" s="14">
        <f>SUM(MonthlySold)+C4</f>
        <v>0.99996832875816688</v>
      </c>
    </row>
    <row r="6" spans="1:124" x14ac:dyDescent="0.2">
      <c r="B6" t="s">
        <v>33</v>
      </c>
      <c r="D6" s="37">
        <f>D$5*TotalUnitsSold1</f>
        <v>28.235755828008383</v>
      </c>
      <c r="E6" s="37">
        <f>E$5*TotalUnitsSold1</f>
        <v>33.519846780581283</v>
      </c>
      <c r="F6" s="37">
        <f t="shared" ref="F6:AK6" si="14">F5*TotalUnitsSold1</f>
        <v>39.657674398700962</v>
      </c>
      <c r="G6" s="37">
        <f t="shared" si="14"/>
        <v>46.760061269152757</v>
      </c>
      <c r="H6" s="37">
        <f t="shared" si="14"/>
        <v>54.947192992837408</v>
      </c>
      <c r="I6" s="37">
        <f t="shared" si="14"/>
        <v>64.348519843540316</v>
      </c>
      <c r="J6" s="37">
        <f t="shared" si="14"/>
        <v>75.102470433219622</v>
      </c>
      <c r="K6" s="37">
        <f t="shared" si="14"/>
        <v>87.355950847013787</v>
      </c>
      <c r="L6" s="37">
        <f t="shared" si="14"/>
        <v>101.26360364220598</v>
      </c>
      <c r="M6" s="37">
        <f t="shared" si="14"/>
        <v>116.98680294660973</v>
      </c>
      <c r="N6" s="37">
        <f t="shared" si="14"/>
        <v>134.69236473577334</v>
      </c>
      <c r="O6" s="37">
        <f t="shared" si="14"/>
        <v>154.5509552869282</v>
      </c>
      <c r="P6" s="37">
        <f t="shared" si="14"/>
        <v>176.73518584447183</v>
      </c>
      <c r="Q6" s="37">
        <f t="shared" si="14"/>
        <v>201.41738769753545</v>
      </c>
      <c r="R6" s="37">
        <f t="shared" si="14"/>
        <v>228.76706913529162</v>
      </c>
      <c r="S6" s="37">
        <f t="shared" si="14"/>
        <v>258.94806403698072</v>
      </c>
      <c r="T6" s="37">
        <f t="shared" si="14"/>
        <v>292.11539104934542</v>
      </c>
      <c r="U6" s="37">
        <f t="shared" si="14"/>
        <v>328.41185223265455</v>
      </c>
      <c r="V6" s="37">
        <f t="shared" si="14"/>
        <v>367.96441049594813</v>
      </c>
      <c r="W6" s="37">
        <f t="shared" si="14"/>
        <v>410.88039582191612</v>
      </c>
      <c r="X6" s="37">
        <f t="shared" si="14"/>
        <v>457.24360088718748</v>
      </c>
      <c r="Y6" s="37">
        <f t="shared" si="14"/>
        <v>507.1103368625304</v>
      </c>
      <c r="Z6" s="37">
        <f t="shared" si="14"/>
        <v>560.50552954925104</v>
      </c>
      <c r="AA6" s="37">
        <f t="shared" si="14"/>
        <v>617.41894417510287</v>
      </c>
      <c r="AB6" s="37">
        <f t="shared" si="14"/>
        <v>677.80163373514085</v>
      </c>
      <c r="AC6" s="37">
        <f t="shared" si="14"/>
        <v>741.56271033179871</v>
      </c>
      <c r="AD6" s="37">
        <f t="shared" si="14"/>
        <v>808.5665411844509</v>
      </c>
      <c r="AE6" s="37">
        <f t="shared" si="14"/>
        <v>878.63047052839784</v>
      </c>
      <c r="AF6" s="37">
        <f t="shared" si="14"/>
        <v>951.52316525569518</v>
      </c>
      <c r="AG6" s="37">
        <f t="shared" si="14"/>
        <v>1026.9636756942452</v>
      </c>
      <c r="AH6" s="37">
        <f t="shared" si="14"/>
        <v>1104.6212932981803</v>
      </c>
      <c r="AI6" s="37">
        <f t="shared" si="14"/>
        <v>1184.116274257789</v>
      </c>
      <c r="AJ6" s="37">
        <f t="shared" si="14"/>
        <v>1265.0214822714001</v>
      </c>
      <c r="AK6" s="37">
        <f t="shared" si="14"/>
        <v>1346.8649852095309</v>
      </c>
      <c r="AL6" s="37">
        <f t="shared" ref="AL6:BQ6" si="15">AL5*TotalUnitsSold1</f>
        <v>1429.1336195180777</v>
      </c>
      <c r="AM6" s="37">
        <f t="shared" si="15"/>
        <v>1511.2775134354467</v>
      </c>
      <c r="AN6" s="37">
        <f t="shared" si="15"/>
        <v>1592.7155360246109</v>
      </c>
      <c r="AO6" s="37">
        <f t="shared" si="15"/>
        <v>1672.8416143157176</v>
      </c>
      <c r="AP6" s="37">
        <f t="shared" si="15"/>
        <v>1751.0318362532084</v>
      </c>
      <c r="AQ6" s="37">
        <f t="shared" si="15"/>
        <v>1826.6522334228041</v>
      </c>
      <c r="AR6" s="37">
        <f t="shared" si="15"/>
        <v>1899.0671154864192</v>
      </c>
      <c r="AS6" s="37">
        <f t="shared" si="15"/>
        <v>1967.6478086559257</v>
      </c>
      <c r="AT6" s="37">
        <f t="shared" si="15"/>
        <v>2031.7816341156924</v>
      </c>
      <c r="AU6" s="37">
        <f t="shared" si="15"/>
        <v>2090.8809497171833</v>
      </c>
      <c r="AV6" s="37">
        <f t="shared" si="15"/>
        <v>2144.3920700601025</v>
      </c>
      <c r="AW6" s="37">
        <f t="shared" si="15"/>
        <v>2191.8038766711502</v>
      </c>
      <c r="AX6" s="37">
        <f t="shared" si="15"/>
        <v>2232.655931654931</v>
      </c>
      <c r="AY6" s="37">
        <f t="shared" si="15"/>
        <v>2266.5459150359948</v>
      </c>
      <c r="AZ6" s="37">
        <f t="shared" si="15"/>
        <v>2293.1362179551497</v>
      </c>
      <c r="BA6" s="37">
        <f t="shared" si="15"/>
        <v>2312.1595406929264</v>
      </c>
      <c r="BB6" s="37">
        <f t="shared" si="15"/>
        <v>2323.4233657384307</v>
      </c>
      <c r="BC6" s="37">
        <f t="shared" si="15"/>
        <v>2326.8132012330134</v>
      </c>
      <c r="BD6" s="37">
        <f t="shared" si="15"/>
        <v>2322.2945183751785</v>
      </c>
      <c r="BE6" s="37">
        <f t="shared" si="15"/>
        <v>2309.9133369398619</v>
      </c>
      <c r="BF6" s="37">
        <f t="shared" si="15"/>
        <v>2289.795445028009</v>
      </c>
      <c r="BG6" s="37">
        <f t="shared" si="15"/>
        <v>2262.1442715452299</v>
      </c>
      <c r="BH6" s="37">
        <f t="shared" si="15"/>
        <v>2227.2374617309242</v>
      </c>
      <c r="BI6" s="37">
        <f t="shared" si="15"/>
        <v>2185.4222363497101</v>
      </c>
      <c r="BJ6" s="37">
        <f t="shared" si="15"/>
        <v>2137.1096430145453</v>
      </c>
      <c r="BK6" s="37">
        <f t="shared" si="15"/>
        <v>2082.7678327086428</v>
      </c>
      <c r="BL6" s="37">
        <f t="shared" si="15"/>
        <v>2022.9145152199978</v>
      </c>
      <c r="BM6" s="37">
        <f t="shared" si="15"/>
        <v>1958.1087633347315</v>
      </c>
      <c r="BN6" s="37">
        <f t="shared" si="15"/>
        <v>1888.9423468662735</v>
      </c>
      <c r="BO6" s="37">
        <f t="shared" si="15"/>
        <v>1816.0307836978641</v>
      </c>
      <c r="BP6" s="37">
        <f t="shared" si="15"/>
        <v>1740.0042959488603</v>
      </c>
      <c r="BQ6" s="37">
        <f t="shared" si="15"/>
        <v>1661.4988552617226</v>
      </c>
      <c r="BR6" s="37">
        <f t="shared" ref="BR6:CW6" si="16">BR5*TotalUnitsSold1</f>
        <v>1581.1474923461799</v>
      </c>
      <c r="BS6" s="37">
        <f t="shared" si="16"/>
        <v>1499.5720327447671</v>
      </c>
      <c r="BT6" s="37">
        <f t="shared" si="16"/>
        <v>1417.3754038672603</v>
      </c>
      <c r="BU6" s="37">
        <f t="shared" si="16"/>
        <v>1335.1346383488228</v>
      </c>
      <c r="BV6" s="37">
        <f t="shared" si="16"/>
        <v>1253.3946764519576</v>
      </c>
      <c r="BW6" s="37">
        <f t="shared" si="16"/>
        <v>1172.6630463394283</v>
      </c>
      <c r="BX6" s="37">
        <f t="shared" si="16"/>
        <v>1093.4054763817703</v>
      </c>
      <c r="BY6" s="37">
        <f t="shared" si="16"/>
        <v>1016.0424690043191</v>
      </c>
      <c r="BZ6" s="37">
        <f t="shared" si="16"/>
        <v>940.94684165116905</v>
      </c>
      <c r="CA6" s="37">
        <f t="shared" si="16"/>
        <v>868.44221790776112</v>
      </c>
      <c r="CB6" s="37">
        <f t="shared" si="16"/>
        <v>798.80243125259881</v>
      </c>
      <c r="CC6" s="37">
        <f t="shared" si="16"/>
        <v>732.25178576730161</v>
      </c>
      <c r="CD6" s="37">
        <f t="shared" si="16"/>
        <v>668.96610278562866</v>
      </c>
      <c r="CE6" s="37">
        <f t="shared" si="16"/>
        <v>609.07447013880403</v>
      </c>
      <c r="CF6" s="37">
        <f t="shared" si="16"/>
        <v>552.66160148622623</v>
      </c>
      <c r="CG6" s="37">
        <f t="shared" si="16"/>
        <v>499.77070721101137</v>
      </c>
      <c r="CH6" s="37">
        <f t="shared" si="16"/>
        <v>450.40677542329541</v>
      </c>
      <c r="CI6" s="37">
        <f t="shared" si="16"/>
        <v>404.54016156076244</v>
      </c>
      <c r="CJ6" s="37">
        <f t="shared" si="16"/>
        <v>362.11038764867311</v>
      </c>
      <c r="CK6" s="37">
        <f t="shared" si="16"/>
        <v>323.03005715850207</v>
      </c>
      <c r="CL6" s="37">
        <f t="shared" si="16"/>
        <v>287.1887982191401</v>
      </c>
      <c r="CM6" s="37">
        <f t="shared" si="16"/>
        <v>254.45715629932585</v>
      </c>
      <c r="CN6" s="37">
        <f t="shared" si="16"/>
        <v>224.69036699017676</v>
      </c>
      <c r="CO6" s="37">
        <f t="shared" si="16"/>
        <v>197.73194977988905</v>
      </c>
      <c r="CP6" s="37">
        <f t="shared" si="16"/>
        <v>173.41707434879172</v>
      </c>
      <c r="CQ6" s="37">
        <f t="shared" si="16"/>
        <v>151.57566157737446</v>
      </c>
      <c r="CR6" s="37">
        <f t="shared" si="16"/>
        <v>132.03519184097345</v>
      </c>
      <c r="CS6" s="37">
        <f t="shared" si="16"/>
        <v>114.62320300206218</v>
      </c>
      <c r="CT6" s="37">
        <f t="shared" si="16"/>
        <v>99.169469585980167</v>
      </c>
      <c r="CU6" s="37">
        <f t="shared" si="16"/>
        <v>85.507862777411958</v>
      </c>
      <c r="CV6" s="37">
        <f t="shared" si="16"/>
        <v>73.47789798669568</v>
      </c>
      <c r="CW6" s="37">
        <f t="shared" si="16"/>
        <v>62.925982739425734</v>
      </c>
      <c r="CX6" s="37">
        <f t="shared" ref="CX6:DS6" si="17">CX5*TotalUnitsSold1</f>
        <v>53.706382519502768</v>
      </c>
      <c r="CY6" s="37">
        <f t="shared" si="17"/>
        <v>45.681925956664315</v>
      </c>
      <c r="CZ6" s="37">
        <f t="shared" si="17"/>
        <v>38.724473445395091</v>
      </c>
      <c r="DA6" s="37">
        <f t="shared" si="17"/>
        <v>32.715174987707485</v>
      </c>
      <c r="DB6" s="37">
        <f t="shared" si="17"/>
        <v>27.544543860902326</v>
      </c>
      <c r="DC6" s="37">
        <f t="shared" si="17"/>
        <v>23.112372736255882</v>
      </c>
      <c r="DD6" s="37">
        <f t="shared" si="17"/>
        <v>19.327518228484664</v>
      </c>
      <c r="DE6" s="37">
        <f t="shared" si="17"/>
        <v>16.107578664259492</v>
      </c>
      <c r="DF6" s="37">
        <f t="shared" si="17"/>
        <v>13.378488236215347</v>
      </c>
      <c r="DG6" s="37">
        <f t="shared" si="17"/>
        <v>11.074048771986256</v>
      </c>
      <c r="DH6" s="37">
        <f t="shared" si="17"/>
        <v>9.135418201755563</v>
      </c>
      <c r="DI6" s="37">
        <f t="shared" si="17"/>
        <v>7.5105725446444893</v>
      </c>
      <c r="DJ6" s="37">
        <f t="shared" si="17"/>
        <v>6.1537559391200425</v>
      </c>
      <c r="DK6" s="37">
        <f t="shared" si="17"/>
        <v>5.0249309823446886</v>
      </c>
      <c r="DL6" s="37">
        <f t="shared" si="17"/>
        <v>4.0892394768454743</v>
      </c>
      <c r="DM6" s="37">
        <f t="shared" si="17"/>
        <v>3.3164816516162432</v>
      </c>
      <c r="DN6" s="37">
        <f t="shared" si="17"/>
        <v>2.6806200618456621</v>
      </c>
      <c r="DO6" s="37">
        <f t="shared" si="17"/>
        <v>2.1593126976360288</v>
      </c>
      <c r="DP6" s="37">
        <f t="shared" si="17"/>
        <v>1.733478358301177</v>
      </c>
      <c r="DQ6" s="37">
        <f t="shared" si="17"/>
        <v>1.3868960775598183</v>
      </c>
      <c r="DR6" s="37">
        <f t="shared" si="17"/>
        <v>1.105839315129753</v>
      </c>
      <c r="DS6" s="37">
        <f t="shared" si="17"/>
        <v>0.87874474826721283</v>
      </c>
    </row>
    <row r="7" spans="1:124" x14ac:dyDescent="0.2">
      <c r="D7" s="37">
        <f t="shared" ref="D7:AI7" si="18">D$5*TotalUnitsSold2</f>
        <v>14.117877914004191</v>
      </c>
      <c r="E7" s="37">
        <f t="shared" si="18"/>
        <v>16.759923390290641</v>
      </c>
      <c r="F7" s="37">
        <f t="shared" si="18"/>
        <v>19.828837199350481</v>
      </c>
      <c r="G7" s="37">
        <f t="shared" si="18"/>
        <v>23.380030634576379</v>
      </c>
      <c r="H7" s="37">
        <f t="shared" si="18"/>
        <v>27.473596496418704</v>
      </c>
      <c r="I7" s="37">
        <f t="shared" si="18"/>
        <v>32.174259921770158</v>
      </c>
      <c r="J7" s="37">
        <f t="shared" si="18"/>
        <v>37.551235216609811</v>
      </c>
      <c r="K7" s="37">
        <f t="shared" si="18"/>
        <v>43.677975423506894</v>
      </c>
      <c r="L7" s="37">
        <f t="shared" si="18"/>
        <v>50.631801821102989</v>
      </c>
      <c r="M7" s="37">
        <f t="shared" si="18"/>
        <v>58.493401473304864</v>
      </c>
      <c r="N7" s="37">
        <f t="shared" si="18"/>
        <v>67.346182367886669</v>
      </c>
      <c r="O7" s="37">
        <f t="shared" si="18"/>
        <v>77.2754776434641</v>
      </c>
      <c r="P7" s="37">
        <f t="shared" si="18"/>
        <v>88.367592922235914</v>
      </c>
      <c r="Q7" s="37">
        <f t="shared" si="18"/>
        <v>100.70869384876772</v>
      </c>
      <c r="R7" s="37">
        <f t="shared" si="18"/>
        <v>114.38353456764581</v>
      </c>
      <c r="S7" s="37">
        <f t="shared" si="18"/>
        <v>129.47403201849036</v>
      </c>
      <c r="T7" s="37">
        <f t="shared" si="18"/>
        <v>146.05769552467271</v>
      </c>
      <c r="U7" s="37">
        <f t="shared" si="18"/>
        <v>164.20592611632728</v>
      </c>
      <c r="V7" s="37">
        <f t="shared" si="18"/>
        <v>183.98220524797406</v>
      </c>
      <c r="W7" s="37">
        <f t="shared" si="18"/>
        <v>205.44019791095806</v>
      </c>
      <c r="X7" s="37">
        <f t="shared" si="18"/>
        <v>228.62180044359374</v>
      </c>
      <c r="Y7" s="37">
        <f t="shared" si="18"/>
        <v>253.5551684312652</v>
      </c>
      <c r="Z7" s="37">
        <f t="shared" si="18"/>
        <v>280.25276477462552</v>
      </c>
      <c r="AA7" s="37">
        <f t="shared" si="18"/>
        <v>308.70947208755143</v>
      </c>
      <c r="AB7" s="37">
        <f t="shared" si="18"/>
        <v>338.90081686757043</v>
      </c>
      <c r="AC7" s="37">
        <f t="shared" si="18"/>
        <v>370.78135516589936</v>
      </c>
      <c r="AD7" s="37">
        <f t="shared" si="18"/>
        <v>404.28327059222545</v>
      </c>
      <c r="AE7" s="37">
        <f t="shared" si="18"/>
        <v>439.31523526419892</v>
      </c>
      <c r="AF7" s="37">
        <f t="shared" si="18"/>
        <v>475.76158262784759</v>
      </c>
      <c r="AG7" s="37">
        <f t="shared" si="18"/>
        <v>513.48183784712262</v>
      </c>
      <c r="AH7" s="37">
        <f t="shared" si="18"/>
        <v>552.31064664909013</v>
      </c>
      <c r="AI7" s="37">
        <f t="shared" si="18"/>
        <v>592.05813712889449</v>
      </c>
      <c r="AJ7" s="37">
        <f t="shared" ref="AJ7:BO7" si="19">AJ$5*TotalUnitsSold2</f>
        <v>632.51074113570007</v>
      </c>
      <c r="AK7" s="37">
        <f t="shared" si="19"/>
        <v>673.43249260476546</v>
      </c>
      <c r="AL7" s="37">
        <f t="shared" si="19"/>
        <v>714.56680975903885</v>
      </c>
      <c r="AM7" s="37">
        <f t="shared" si="19"/>
        <v>755.63875671772337</v>
      </c>
      <c r="AN7" s="37">
        <f t="shared" si="19"/>
        <v>796.35776801230543</v>
      </c>
      <c r="AO7" s="37">
        <f t="shared" si="19"/>
        <v>836.4208071578588</v>
      </c>
      <c r="AP7" s="37">
        <f t="shared" si="19"/>
        <v>875.51591812660422</v>
      </c>
      <c r="AQ7" s="37">
        <f t="shared" si="19"/>
        <v>913.32611671140205</v>
      </c>
      <c r="AR7" s="37">
        <f t="shared" si="19"/>
        <v>949.5335577432096</v>
      </c>
      <c r="AS7" s="37">
        <f t="shared" si="19"/>
        <v>983.82390432796285</v>
      </c>
      <c r="AT7" s="37">
        <f t="shared" si="19"/>
        <v>1015.8908170578462</v>
      </c>
      <c r="AU7" s="37">
        <f t="shared" si="19"/>
        <v>1045.4404748585916</v>
      </c>
      <c r="AV7" s="37">
        <f t="shared" si="19"/>
        <v>1072.1960350300512</v>
      </c>
      <c r="AW7" s="37">
        <f t="shared" si="19"/>
        <v>1095.9019383355751</v>
      </c>
      <c r="AX7" s="37">
        <f t="shared" si="19"/>
        <v>1116.3279658274655</v>
      </c>
      <c r="AY7" s="37">
        <f t="shared" si="19"/>
        <v>1133.2729575179974</v>
      </c>
      <c r="AZ7" s="37">
        <f t="shared" si="19"/>
        <v>1146.5681089775749</v>
      </c>
      <c r="BA7" s="37">
        <f t="shared" si="19"/>
        <v>1156.0797703464632</v>
      </c>
      <c r="BB7" s="37">
        <f t="shared" si="19"/>
        <v>1161.7116828692153</v>
      </c>
      <c r="BC7" s="37">
        <f t="shared" si="19"/>
        <v>1163.4066006165067</v>
      </c>
      <c r="BD7" s="37">
        <f t="shared" si="19"/>
        <v>1161.1472591875893</v>
      </c>
      <c r="BE7" s="37">
        <f t="shared" si="19"/>
        <v>1154.9566684699309</v>
      </c>
      <c r="BF7" s="37">
        <f t="shared" si="19"/>
        <v>1144.8977225140045</v>
      </c>
      <c r="BG7" s="37">
        <f t="shared" si="19"/>
        <v>1131.072135772615</v>
      </c>
      <c r="BH7" s="37">
        <f t="shared" si="19"/>
        <v>1113.6187308654621</v>
      </c>
      <c r="BI7" s="37">
        <f t="shared" si="19"/>
        <v>1092.7111181748551</v>
      </c>
      <c r="BJ7" s="37">
        <f t="shared" si="19"/>
        <v>1068.5548215072727</v>
      </c>
      <c r="BK7" s="37">
        <f t="shared" si="19"/>
        <v>1041.3839163543214</v>
      </c>
      <c r="BL7" s="37">
        <f t="shared" si="19"/>
        <v>1011.4572576099989</v>
      </c>
      <c r="BM7" s="37">
        <f t="shared" si="19"/>
        <v>979.05438166736576</v>
      </c>
      <c r="BN7" s="37">
        <f t="shared" si="19"/>
        <v>944.47117343313676</v>
      </c>
      <c r="BO7" s="37">
        <f t="shared" si="19"/>
        <v>908.01539184893204</v>
      </c>
      <c r="BP7" s="37">
        <f t="shared" ref="BP7:CU7" si="20">BP$5*TotalUnitsSold2</f>
        <v>870.00214797443016</v>
      </c>
      <c r="BQ7" s="37">
        <f t="shared" si="20"/>
        <v>830.74942763086131</v>
      </c>
      <c r="BR7" s="37">
        <f t="shared" si="20"/>
        <v>790.57374617308994</v>
      </c>
      <c r="BS7" s="37">
        <f t="shared" si="20"/>
        <v>749.78601637238353</v>
      </c>
      <c r="BT7" s="37">
        <f t="shared" si="20"/>
        <v>708.68770193363014</v>
      </c>
      <c r="BU7" s="37">
        <f t="shared" si="20"/>
        <v>667.56731917441141</v>
      </c>
      <c r="BV7" s="37">
        <f t="shared" si="20"/>
        <v>626.6973382259788</v>
      </c>
      <c r="BW7" s="37">
        <f t="shared" si="20"/>
        <v>586.33152316971416</v>
      </c>
      <c r="BX7" s="37">
        <f t="shared" si="20"/>
        <v>546.70273819088516</v>
      </c>
      <c r="BY7" s="37">
        <f t="shared" si="20"/>
        <v>508.02123450215953</v>
      </c>
      <c r="BZ7" s="37">
        <f t="shared" si="20"/>
        <v>470.47342082558453</v>
      </c>
      <c r="CA7" s="37">
        <f t="shared" si="20"/>
        <v>434.22110895388056</v>
      </c>
      <c r="CB7" s="37">
        <f t="shared" si="20"/>
        <v>399.4012156262994</v>
      </c>
      <c r="CC7" s="37">
        <f t="shared" si="20"/>
        <v>366.12589288365081</v>
      </c>
      <c r="CD7" s="37">
        <f t="shared" si="20"/>
        <v>334.48305139281433</v>
      </c>
      <c r="CE7" s="37">
        <f t="shared" si="20"/>
        <v>304.53723506940202</v>
      </c>
      <c r="CF7" s="37">
        <f t="shared" si="20"/>
        <v>276.33080074311312</v>
      </c>
      <c r="CG7" s="37">
        <f t="shared" si="20"/>
        <v>249.88535360550568</v>
      </c>
      <c r="CH7" s="37">
        <f t="shared" si="20"/>
        <v>225.20338771164771</v>
      </c>
      <c r="CI7" s="37">
        <f t="shared" si="20"/>
        <v>202.27008078038122</v>
      </c>
      <c r="CJ7" s="37">
        <f t="shared" si="20"/>
        <v>181.05519382433656</v>
      </c>
      <c r="CK7" s="37">
        <f t="shared" si="20"/>
        <v>161.51502857925104</v>
      </c>
      <c r="CL7" s="37">
        <f t="shared" si="20"/>
        <v>143.59439910957005</v>
      </c>
      <c r="CM7" s="37">
        <f t="shared" si="20"/>
        <v>127.22857814966292</v>
      </c>
      <c r="CN7" s="37">
        <f t="shared" si="20"/>
        <v>112.34518349508838</v>
      </c>
      <c r="CO7" s="37">
        <f t="shared" si="20"/>
        <v>98.865974889944525</v>
      </c>
      <c r="CP7" s="37">
        <f t="shared" si="20"/>
        <v>86.708537174395858</v>
      </c>
      <c r="CQ7" s="37">
        <f t="shared" si="20"/>
        <v>75.787830788687231</v>
      </c>
      <c r="CR7" s="37">
        <f t="shared" si="20"/>
        <v>66.017595920486727</v>
      </c>
      <c r="CS7" s="37">
        <f t="shared" si="20"/>
        <v>57.311601501031092</v>
      </c>
      <c r="CT7" s="37">
        <f t="shared" si="20"/>
        <v>49.584734792990083</v>
      </c>
      <c r="CU7" s="37">
        <f t="shared" si="20"/>
        <v>42.753931388705979</v>
      </c>
      <c r="CV7" s="37">
        <f t="shared" ref="CV7:DS7" si="21">CV$5*TotalUnitsSold2</f>
        <v>36.73894899334784</v>
      </c>
      <c r="CW7" s="37">
        <f t="shared" si="21"/>
        <v>31.462991369712867</v>
      </c>
      <c r="CX7" s="37">
        <f t="shared" si="21"/>
        <v>26.853191259751384</v>
      </c>
      <c r="CY7" s="37">
        <f t="shared" si="21"/>
        <v>22.840962978332158</v>
      </c>
      <c r="CZ7" s="37">
        <f t="shared" si="21"/>
        <v>19.362236722697546</v>
      </c>
      <c r="DA7" s="37">
        <f t="shared" si="21"/>
        <v>16.357587493853742</v>
      </c>
      <c r="DB7" s="37">
        <f t="shared" si="21"/>
        <v>13.772271930451163</v>
      </c>
      <c r="DC7" s="37">
        <f t="shared" si="21"/>
        <v>11.556186368127941</v>
      </c>
      <c r="DD7" s="37">
        <f t="shared" si="21"/>
        <v>9.6637591142423318</v>
      </c>
      <c r="DE7" s="37">
        <f t="shared" si="21"/>
        <v>8.053789332129746</v>
      </c>
      <c r="DF7" s="37">
        <f t="shared" si="21"/>
        <v>6.6892441181076734</v>
      </c>
      <c r="DG7" s="37">
        <f t="shared" si="21"/>
        <v>5.5370243859931279</v>
      </c>
      <c r="DH7" s="37">
        <f t="shared" si="21"/>
        <v>4.5677091008777815</v>
      </c>
      <c r="DI7" s="37">
        <f t="shared" si="21"/>
        <v>3.7552862723222447</v>
      </c>
      <c r="DJ7" s="37">
        <f t="shared" si="21"/>
        <v>3.0768779695600212</v>
      </c>
      <c r="DK7" s="37">
        <f t="shared" si="21"/>
        <v>2.5124654911723443</v>
      </c>
      <c r="DL7" s="37">
        <f t="shared" si="21"/>
        <v>2.0446197384227371</v>
      </c>
      <c r="DM7" s="37">
        <f t="shared" si="21"/>
        <v>1.6582408258081216</v>
      </c>
      <c r="DN7" s="37">
        <f t="shared" si="21"/>
        <v>1.3403100309228311</v>
      </c>
      <c r="DO7" s="37">
        <f t="shared" si="21"/>
        <v>1.0796563488180144</v>
      </c>
      <c r="DP7" s="37">
        <f t="shared" si="21"/>
        <v>0.86673917915058851</v>
      </c>
      <c r="DQ7" s="37">
        <f t="shared" si="21"/>
        <v>0.69344803877990913</v>
      </c>
      <c r="DR7" s="37">
        <f t="shared" si="21"/>
        <v>0.55291965756487649</v>
      </c>
      <c r="DS7" s="37">
        <f t="shared" si="21"/>
        <v>0.43937237413360641</v>
      </c>
    </row>
    <row r="8" spans="1:124" x14ac:dyDescent="0.2">
      <c r="A8" s="11" t="s">
        <v>22</v>
      </c>
      <c r="B8" s="78">
        <v>-3</v>
      </c>
      <c r="D8" s="37">
        <f t="shared" ref="D8:AI8" si="22">D$5*TotalUnitsSold3</f>
        <v>56.471511656016766</v>
      </c>
      <c r="E8" s="37">
        <f t="shared" si="22"/>
        <v>67.039693561162565</v>
      </c>
      <c r="F8" s="37">
        <f t="shared" si="22"/>
        <v>79.315348797401924</v>
      </c>
      <c r="G8" s="37">
        <f t="shared" si="22"/>
        <v>93.520122538305515</v>
      </c>
      <c r="H8" s="37">
        <f t="shared" si="22"/>
        <v>109.89438598567482</v>
      </c>
      <c r="I8" s="37">
        <f t="shared" si="22"/>
        <v>128.69703968708063</v>
      </c>
      <c r="J8" s="37">
        <f t="shared" si="22"/>
        <v>150.20494086643924</v>
      </c>
      <c r="K8" s="37">
        <f t="shared" si="22"/>
        <v>174.71190169402757</v>
      </c>
      <c r="L8" s="37">
        <f t="shared" si="22"/>
        <v>202.52720728441196</v>
      </c>
      <c r="M8" s="37">
        <f t="shared" si="22"/>
        <v>233.97360589321946</v>
      </c>
      <c r="N8" s="37">
        <f t="shared" si="22"/>
        <v>269.38472947154668</v>
      </c>
      <c r="O8" s="37">
        <f t="shared" si="22"/>
        <v>309.1019105738564</v>
      </c>
      <c r="P8" s="37">
        <f t="shared" si="22"/>
        <v>353.47037168894366</v>
      </c>
      <c r="Q8" s="37">
        <f t="shared" si="22"/>
        <v>402.83477539507089</v>
      </c>
      <c r="R8" s="37">
        <f t="shared" si="22"/>
        <v>457.53413827058324</v>
      </c>
      <c r="S8" s="37">
        <f t="shared" si="22"/>
        <v>517.89612807396145</v>
      </c>
      <c r="T8" s="37">
        <f t="shared" si="22"/>
        <v>584.23078209869084</v>
      </c>
      <c r="U8" s="37">
        <f t="shared" si="22"/>
        <v>656.82370446530911</v>
      </c>
      <c r="V8" s="37">
        <f t="shared" si="22"/>
        <v>735.92882099189626</v>
      </c>
      <c r="W8" s="37">
        <f t="shared" si="22"/>
        <v>821.76079164383225</v>
      </c>
      <c r="X8" s="37">
        <f t="shared" si="22"/>
        <v>914.48720177437497</v>
      </c>
      <c r="Y8" s="37">
        <f t="shared" si="22"/>
        <v>1014.2206737250608</v>
      </c>
      <c r="Z8" s="37">
        <f t="shared" si="22"/>
        <v>1121.0110590985021</v>
      </c>
      <c r="AA8" s="37">
        <f t="shared" si="22"/>
        <v>1234.8378883502057</v>
      </c>
      <c r="AB8" s="37">
        <f t="shared" si="22"/>
        <v>1355.6032674702817</v>
      </c>
      <c r="AC8" s="37">
        <f t="shared" si="22"/>
        <v>1483.1254206635974</v>
      </c>
      <c r="AD8" s="37">
        <f t="shared" si="22"/>
        <v>1617.1330823689018</v>
      </c>
      <c r="AE8" s="37">
        <f t="shared" si="22"/>
        <v>1757.2609410567957</v>
      </c>
      <c r="AF8" s="37">
        <f t="shared" si="22"/>
        <v>1903.0463305113904</v>
      </c>
      <c r="AG8" s="37">
        <f t="shared" si="22"/>
        <v>2053.9273513884905</v>
      </c>
      <c r="AH8" s="37">
        <f t="shared" si="22"/>
        <v>2209.2425865963605</v>
      </c>
      <c r="AI8" s="37">
        <f t="shared" si="22"/>
        <v>2368.2325485155779</v>
      </c>
      <c r="AJ8" s="37">
        <f t="shared" ref="AJ8:BO8" si="23">AJ$5*TotalUnitsSold3</f>
        <v>2530.0429645428003</v>
      </c>
      <c r="AK8" s="37">
        <f t="shared" si="23"/>
        <v>2693.7299704190618</v>
      </c>
      <c r="AL8" s="37">
        <f t="shared" si="23"/>
        <v>2858.2672390361554</v>
      </c>
      <c r="AM8" s="37">
        <f t="shared" si="23"/>
        <v>3022.5550268708935</v>
      </c>
      <c r="AN8" s="37">
        <f t="shared" si="23"/>
        <v>3185.4310720492217</v>
      </c>
      <c r="AO8" s="37">
        <f t="shared" si="23"/>
        <v>3345.6832286314352</v>
      </c>
      <c r="AP8" s="37">
        <f t="shared" si="23"/>
        <v>3502.0636725064169</v>
      </c>
      <c r="AQ8" s="37">
        <f t="shared" si="23"/>
        <v>3653.3044668456082</v>
      </c>
      <c r="AR8" s="37">
        <f t="shared" si="23"/>
        <v>3798.1342309728384</v>
      </c>
      <c r="AS8" s="37">
        <f t="shared" si="23"/>
        <v>3935.2956173118514</v>
      </c>
      <c r="AT8" s="37">
        <f t="shared" si="23"/>
        <v>4063.5632682313849</v>
      </c>
      <c r="AU8" s="37">
        <f t="shared" si="23"/>
        <v>4181.7618994343666</v>
      </c>
      <c r="AV8" s="37">
        <f t="shared" si="23"/>
        <v>4288.7841401202049</v>
      </c>
      <c r="AW8" s="37">
        <f t="shared" si="23"/>
        <v>4383.6077533423004</v>
      </c>
      <c r="AX8" s="37">
        <f t="shared" si="23"/>
        <v>4465.311863309862</v>
      </c>
      <c r="AY8" s="37">
        <f t="shared" si="23"/>
        <v>4533.0918300719895</v>
      </c>
      <c r="AZ8" s="37">
        <f t="shared" si="23"/>
        <v>4586.2724359102995</v>
      </c>
      <c r="BA8" s="37">
        <f t="shared" si="23"/>
        <v>4624.3190813858528</v>
      </c>
      <c r="BB8" s="37">
        <f t="shared" si="23"/>
        <v>4646.8467314768614</v>
      </c>
      <c r="BC8" s="37">
        <f t="shared" si="23"/>
        <v>4653.6264024660268</v>
      </c>
      <c r="BD8" s="37">
        <f t="shared" si="23"/>
        <v>4644.5890367503571</v>
      </c>
      <c r="BE8" s="37">
        <f t="shared" si="23"/>
        <v>4619.8266738797238</v>
      </c>
      <c r="BF8" s="37">
        <f t="shared" si="23"/>
        <v>4579.590890056018</v>
      </c>
      <c r="BG8" s="37">
        <f t="shared" si="23"/>
        <v>4524.2885430904598</v>
      </c>
      <c r="BH8" s="37">
        <f t="shared" si="23"/>
        <v>4454.4749234618484</v>
      </c>
      <c r="BI8" s="37">
        <f t="shared" si="23"/>
        <v>4370.8444726994203</v>
      </c>
      <c r="BJ8" s="37">
        <f t="shared" si="23"/>
        <v>4274.2192860290907</v>
      </c>
      <c r="BK8" s="37">
        <f t="shared" si="23"/>
        <v>4165.5356654172856</v>
      </c>
      <c r="BL8" s="37">
        <f t="shared" si="23"/>
        <v>4045.8290304399957</v>
      </c>
      <c r="BM8" s="37">
        <f t="shared" si="23"/>
        <v>3916.217526669463</v>
      </c>
      <c r="BN8" s="37">
        <f t="shared" si="23"/>
        <v>3777.884693732547</v>
      </c>
      <c r="BO8" s="37">
        <f t="shared" si="23"/>
        <v>3632.0615673957282</v>
      </c>
      <c r="BP8" s="37">
        <f t="shared" ref="BP8:CU8" si="24">BP$5*TotalUnitsSold3</f>
        <v>3480.0085918977206</v>
      </c>
      <c r="BQ8" s="37">
        <f t="shared" si="24"/>
        <v>3322.9977105234452</v>
      </c>
      <c r="BR8" s="37">
        <f t="shared" si="24"/>
        <v>3162.2949846923598</v>
      </c>
      <c r="BS8" s="37">
        <f t="shared" si="24"/>
        <v>2999.1440654895341</v>
      </c>
      <c r="BT8" s="37">
        <f t="shared" si="24"/>
        <v>2834.7508077345205</v>
      </c>
      <c r="BU8" s="37">
        <f t="shared" si="24"/>
        <v>2670.2692766976456</v>
      </c>
      <c r="BV8" s="37">
        <f t="shared" si="24"/>
        <v>2506.7893529039152</v>
      </c>
      <c r="BW8" s="37">
        <f t="shared" si="24"/>
        <v>2345.3260926788566</v>
      </c>
      <c r="BX8" s="37">
        <f t="shared" si="24"/>
        <v>2186.8109527635406</v>
      </c>
      <c r="BY8" s="37">
        <f t="shared" si="24"/>
        <v>2032.0849380086381</v>
      </c>
      <c r="BZ8" s="37">
        <f t="shared" si="24"/>
        <v>1881.8936833023381</v>
      </c>
      <c r="CA8" s="37">
        <f t="shared" si="24"/>
        <v>1736.8844358155222</v>
      </c>
      <c r="CB8" s="37">
        <f t="shared" si="24"/>
        <v>1597.6048625051976</v>
      </c>
      <c r="CC8" s="37">
        <f t="shared" si="24"/>
        <v>1464.5035715346032</v>
      </c>
      <c r="CD8" s="37">
        <f t="shared" si="24"/>
        <v>1337.9322055712573</v>
      </c>
      <c r="CE8" s="37">
        <f t="shared" si="24"/>
        <v>1218.1489402776081</v>
      </c>
      <c r="CF8" s="37">
        <f t="shared" si="24"/>
        <v>1105.3232029724525</v>
      </c>
      <c r="CG8" s="37">
        <f t="shared" si="24"/>
        <v>999.54141442202274</v>
      </c>
      <c r="CH8" s="37">
        <f t="shared" si="24"/>
        <v>900.81355084659083</v>
      </c>
      <c r="CI8" s="37">
        <f t="shared" si="24"/>
        <v>809.08032312152488</v>
      </c>
      <c r="CJ8" s="37">
        <f t="shared" si="24"/>
        <v>724.22077529734622</v>
      </c>
      <c r="CK8" s="37">
        <f t="shared" si="24"/>
        <v>646.06011431700415</v>
      </c>
      <c r="CL8" s="37">
        <f t="shared" si="24"/>
        <v>574.37759643828019</v>
      </c>
      <c r="CM8" s="37">
        <f t="shared" si="24"/>
        <v>508.91431259865169</v>
      </c>
      <c r="CN8" s="37">
        <f t="shared" si="24"/>
        <v>449.38073398035351</v>
      </c>
      <c r="CO8" s="37">
        <f t="shared" si="24"/>
        <v>395.4638995597781</v>
      </c>
      <c r="CP8" s="37">
        <f t="shared" si="24"/>
        <v>346.83414869758343</v>
      </c>
      <c r="CQ8" s="37">
        <f t="shared" si="24"/>
        <v>303.15132315474892</v>
      </c>
      <c r="CR8" s="37">
        <f t="shared" si="24"/>
        <v>264.07038368194691</v>
      </c>
      <c r="CS8" s="37">
        <f t="shared" si="24"/>
        <v>229.24640600412437</v>
      </c>
      <c r="CT8" s="37">
        <f t="shared" si="24"/>
        <v>198.33893917196033</v>
      </c>
      <c r="CU8" s="37">
        <f t="shared" si="24"/>
        <v>171.01572555482392</v>
      </c>
      <c r="CV8" s="37">
        <f t="shared" ref="CV8:DS8" si="25">CV$5*TotalUnitsSold3</f>
        <v>146.95579597339136</v>
      </c>
      <c r="CW8" s="37">
        <f t="shared" si="25"/>
        <v>125.85196547885147</v>
      </c>
      <c r="CX8" s="37">
        <f t="shared" si="25"/>
        <v>107.41276503900554</v>
      </c>
      <c r="CY8" s="37">
        <f t="shared" si="25"/>
        <v>91.363851913328631</v>
      </c>
      <c r="CZ8" s="37">
        <f t="shared" si="25"/>
        <v>77.448946890790182</v>
      </c>
      <c r="DA8" s="37">
        <f t="shared" si="25"/>
        <v>65.43034997541497</v>
      </c>
      <c r="DB8" s="37">
        <f t="shared" si="25"/>
        <v>55.089087721804653</v>
      </c>
      <c r="DC8" s="37">
        <f t="shared" si="25"/>
        <v>46.224745472511763</v>
      </c>
      <c r="DD8" s="37">
        <f t="shared" si="25"/>
        <v>38.655036456969327</v>
      </c>
      <c r="DE8" s="37">
        <f t="shared" si="25"/>
        <v>32.215157328518984</v>
      </c>
      <c r="DF8" s="37">
        <f t="shared" si="25"/>
        <v>26.756976472430694</v>
      </c>
      <c r="DG8" s="37">
        <f t="shared" si="25"/>
        <v>22.148097543972511</v>
      </c>
      <c r="DH8" s="37">
        <f t="shared" si="25"/>
        <v>18.270836403511126</v>
      </c>
      <c r="DI8" s="37">
        <f t="shared" si="25"/>
        <v>15.021145089288979</v>
      </c>
      <c r="DJ8" s="37">
        <f t="shared" si="25"/>
        <v>12.307511878240085</v>
      </c>
      <c r="DK8" s="37">
        <f t="shared" si="25"/>
        <v>10.049861964689377</v>
      </c>
      <c r="DL8" s="37">
        <f t="shared" si="25"/>
        <v>8.1784789536909486</v>
      </c>
      <c r="DM8" s="37">
        <f t="shared" si="25"/>
        <v>6.6329633032324864</v>
      </c>
      <c r="DN8" s="37">
        <f t="shared" si="25"/>
        <v>5.3612401236913243</v>
      </c>
      <c r="DO8" s="37">
        <f t="shared" si="25"/>
        <v>4.3186253952720577</v>
      </c>
      <c r="DP8" s="37">
        <f t="shared" si="25"/>
        <v>3.466956716602354</v>
      </c>
      <c r="DQ8" s="37">
        <f t="shared" si="25"/>
        <v>2.7737921551196365</v>
      </c>
      <c r="DR8" s="37">
        <f t="shared" si="25"/>
        <v>2.211678630259506</v>
      </c>
      <c r="DS8" s="37">
        <f t="shared" si="25"/>
        <v>1.7574894965344257</v>
      </c>
    </row>
    <row r="9" spans="1:124" x14ac:dyDescent="0.2">
      <c r="A9" s="11" t="s">
        <v>23</v>
      </c>
      <c r="B9" s="78">
        <v>4</v>
      </c>
      <c r="D9" s="37">
        <f t="shared" ref="D9:AI9" si="26">D$5*TotalUnitsSold4</f>
        <v>0</v>
      </c>
      <c r="E9" s="37">
        <f t="shared" si="26"/>
        <v>0</v>
      </c>
      <c r="F9" s="37">
        <f t="shared" si="26"/>
        <v>0</v>
      </c>
      <c r="G9" s="37">
        <f t="shared" si="26"/>
        <v>0</v>
      </c>
      <c r="H9" s="37">
        <f t="shared" si="26"/>
        <v>0</v>
      </c>
      <c r="I9" s="37">
        <f t="shared" si="26"/>
        <v>0</v>
      </c>
      <c r="J9" s="37">
        <f t="shared" si="26"/>
        <v>0</v>
      </c>
      <c r="K9" s="37">
        <f t="shared" si="26"/>
        <v>0</v>
      </c>
      <c r="L9" s="37">
        <f t="shared" si="26"/>
        <v>0</v>
      </c>
      <c r="M9" s="37">
        <f t="shared" si="26"/>
        <v>0</v>
      </c>
      <c r="N9" s="37">
        <f t="shared" si="26"/>
        <v>0</v>
      </c>
      <c r="O9" s="37">
        <f t="shared" si="26"/>
        <v>0</v>
      </c>
      <c r="P9" s="37">
        <f t="shared" si="26"/>
        <v>0</v>
      </c>
      <c r="Q9" s="37">
        <f t="shared" si="26"/>
        <v>0</v>
      </c>
      <c r="R9" s="37">
        <f t="shared" si="26"/>
        <v>0</v>
      </c>
      <c r="S9" s="37">
        <f t="shared" si="26"/>
        <v>0</v>
      </c>
      <c r="T9" s="37">
        <f t="shared" si="26"/>
        <v>0</v>
      </c>
      <c r="U9" s="37">
        <f t="shared" si="26"/>
        <v>0</v>
      </c>
      <c r="V9" s="37">
        <f t="shared" si="26"/>
        <v>0</v>
      </c>
      <c r="W9" s="37">
        <f t="shared" si="26"/>
        <v>0</v>
      </c>
      <c r="X9" s="37">
        <f t="shared" si="26"/>
        <v>0</v>
      </c>
      <c r="Y9" s="37">
        <f t="shared" si="26"/>
        <v>0</v>
      </c>
      <c r="Z9" s="37">
        <f t="shared" si="26"/>
        <v>0</v>
      </c>
      <c r="AA9" s="37">
        <f t="shared" si="26"/>
        <v>0</v>
      </c>
      <c r="AB9" s="37">
        <f t="shared" si="26"/>
        <v>0</v>
      </c>
      <c r="AC9" s="37">
        <f t="shared" si="26"/>
        <v>0</v>
      </c>
      <c r="AD9" s="37">
        <f t="shared" si="26"/>
        <v>0</v>
      </c>
      <c r="AE9" s="37">
        <f t="shared" si="26"/>
        <v>0</v>
      </c>
      <c r="AF9" s="37">
        <f t="shared" si="26"/>
        <v>0</v>
      </c>
      <c r="AG9" s="37">
        <f t="shared" si="26"/>
        <v>0</v>
      </c>
      <c r="AH9" s="37">
        <f t="shared" si="26"/>
        <v>0</v>
      </c>
      <c r="AI9" s="37">
        <f t="shared" si="26"/>
        <v>0</v>
      </c>
      <c r="AJ9" s="37">
        <f t="shared" ref="AJ9:BO9" si="27">AJ$5*TotalUnitsSold4</f>
        <v>0</v>
      </c>
      <c r="AK9" s="37">
        <f t="shared" si="27"/>
        <v>0</v>
      </c>
      <c r="AL9" s="37">
        <f t="shared" si="27"/>
        <v>0</v>
      </c>
      <c r="AM9" s="37">
        <f t="shared" si="27"/>
        <v>0</v>
      </c>
      <c r="AN9" s="37">
        <f t="shared" si="27"/>
        <v>0</v>
      </c>
      <c r="AO9" s="37">
        <f t="shared" si="27"/>
        <v>0</v>
      </c>
      <c r="AP9" s="37">
        <f t="shared" si="27"/>
        <v>0</v>
      </c>
      <c r="AQ9" s="37">
        <f t="shared" si="27"/>
        <v>0</v>
      </c>
      <c r="AR9" s="37">
        <f t="shared" si="27"/>
        <v>0</v>
      </c>
      <c r="AS9" s="37">
        <f t="shared" si="27"/>
        <v>0</v>
      </c>
      <c r="AT9" s="37">
        <f t="shared" si="27"/>
        <v>0</v>
      </c>
      <c r="AU9" s="37">
        <f t="shared" si="27"/>
        <v>0</v>
      </c>
      <c r="AV9" s="37">
        <f t="shared" si="27"/>
        <v>0</v>
      </c>
      <c r="AW9" s="37">
        <f t="shared" si="27"/>
        <v>0</v>
      </c>
      <c r="AX9" s="37">
        <f t="shared" si="27"/>
        <v>0</v>
      </c>
      <c r="AY9" s="37">
        <f t="shared" si="27"/>
        <v>0</v>
      </c>
      <c r="AZ9" s="37">
        <f t="shared" si="27"/>
        <v>0</v>
      </c>
      <c r="BA9" s="37">
        <f t="shared" si="27"/>
        <v>0</v>
      </c>
      <c r="BB9" s="37">
        <f t="shared" si="27"/>
        <v>0</v>
      </c>
      <c r="BC9" s="37">
        <f t="shared" si="27"/>
        <v>0</v>
      </c>
      <c r="BD9" s="37">
        <f t="shared" si="27"/>
        <v>0</v>
      </c>
      <c r="BE9" s="37">
        <f t="shared" si="27"/>
        <v>0</v>
      </c>
      <c r="BF9" s="37">
        <f t="shared" si="27"/>
        <v>0</v>
      </c>
      <c r="BG9" s="37">
        <f t="shared" si="27"/>
        <v>0</v>
      </c>
      <c r="BH9" s="37">
        <f t="shared" si="27"/>
        <v>0</v>
      </c>
      <c r="BI9" s="37">
        <f t="shared" si="27"/>
        <v>0</v>
      </c>
      <c r="BJ9" s="37">
        <f t="shared" si="27"/>
        <v>0</v>
      </c>
      <c r="BK9" s="37">
        <f t="shared" si="27"/>
        <v>0</v>
      </c>
      <c r="BL9" s="37">
        <f t="shared" si="27"/>
        <v>0</v>
      </c>
      <c r="BM9" s="37">
        <f t="shared" si="27"/>
        <v>0</v>
      </c>
      <c r="BN9" s="37">
        <f t="shared" si="27"/>
        <v>0</v>
      </c>
      <c r="BO9" s="37">
        <f t="shared" si="27"/>
        <v>0</v>
      </c>
      <c r="BP9" s="37">
        <f t="shared" ref="BP9:CU9" si="28">BP$5*TotalUnitsSold4</f>
        <v>0</v>
      </c>
      <c r="BQ9" s="37">
        <f t="shared" si="28"/>
        <v>0</v>
      </c>
      <c r="BR9" s="37">
        <f t="shared" si="28"/>
        <v>0</v>
      </c>
      <c r="BS9" s="37">
        <f t="shared" si="28"/>
        <v>0</v>
      </c>
      <c r="BT9" s="37">
        <f t="shared" si="28"/>
        <v>0</v>
      </c>
      <c r="BU9" s="37">
        <f t="shared" si="28"/>
        <v>0</v>
      </c>
      <c r="BV9" s="37">
        <f t="shared" si="28"/>
        <v>0</v>
      </c>
      <c r="BW9" s="37">
        <f t="shared" si="28"/>
        <v>0</v>
      </c>
      <c r="BX9" s="37">
        <f t="shared" si="28"/>
        <v>0</v>
      </c>
      <c r="BY9" s="37">
        <f t="shared" si="28"/>
        <v>0</v>
      </c>
      <c r="BZ9" s="37">
        <f t="shared" si="28"/>
        <v>0</v>
      </c>
      <c r="CA9" s="37">
        <f t="shared" si="28"/>
        <v>0</v>
      </c>
      <c r="CB9" s="37">
        <f t="shared" si="28"/>
        <v>0</v>
      </c>
      <c r="CC9" s="37">
        <f t="shared" si="28"/>
        <v>0</v>
      </c>
      <c r="CD9" s="37">
        <f t="shared" si="28"/>
        <v>0</v>
      </c>
      <c r="CE9" s="37">
        <f t="shared" si="28"/>
        <v>0</v>
      </c>
      <c r="CF9" s="37">
        <f t="shared" si="28"/>
        <v>0</v>
      </c>
      <c r="CG9" s="37">
        <f t="shared" si="28"/>
        <v>0</v>
      </c>
      <c r="CH9" s="37">
        <f t="shared" si="28"/>
        <v>0</v>
      </c>
      <c r="CI9" s="37">
        <f t="shared" si="28"/>
        <v>0</v>
      </c>
      <c r="CJ9" s="37">
        <f t="shared" si="28"/>
        <v>0</v>
      </c>
      <c r="CK9" s="37">
        <f t="shared" si="28"/>
        <v>0</v>
      </c>
      <c r="CL9" s="37">
        <f t="shared" si="28"/>
        <v>0</v>
      </c>
      <c r="CM9" s="37">
        <f t="shared" si="28"/>
        <v>0</v>
      </c>
      <c r="CN9" s="37">
        <f t="shared" si="28"/>
        <v>0</v>
      </c>
      <c r="CO9" s="37">
        <f t="shared" si="28"/>
        <v>0</v>
      </c>
      <c r="CP9" s="37">
        <f t="shared" si="28"/>
        <v>0</v>
      </c>
      <c r="CQ9" s="37">
        <f t="shared" si="28"/>
        <v>0</v>
      </c>
      <c r="CR9" s="37">
        <f t="shared" si="28"/>
        <v>0</v>
      </c>
      <c r="CS9" s="37">
        <f t="shared" si="28"/>
        <v>0</v>
      </c>
      <c r="CT9" s="37">
        <f t="shared" si="28"/>
        <v>0</v>
      </c>
      <c r="CU9" s="37">
        <f t="shared" si="28"/>
        <v>0</v>
      </c>
      <c r="CV9" s="37">
        <f t="shared" ref="CV9:DS9" si="29">CV$5*TotalUnitsSold4</f>
        <v>0</v>
      </c>
      <c r="CW9" s="37">
        <f t="shared" si="29"/>
        <v>0</v>
      </c>
      <c r="CX9" s="37">
        <f t="shared" si="29"/>
        <v>0</v>
      </c>
      <c r="CY9" s="37">
        <f t="shared" si="29"/>
        <v>0</v>
      </c>
      <c r="CZ9" s="37">
        <f t="shared" si="29"/>
        <v>0</v>
      </c>
      <c r="DA9" s="37">
        <f t="shared" si="29"/>
        <v>0</v>
      </c>
      <c r="DB9" s="37">
        <f t="shared" si="29"/>
        <v>0</v>
      </c>
      <c r="DC9" s="37">
        <f t="shared" si="29"/>
        <v>0</v>
      </c>
      <c r="DD9" s="37">
        <f t="shared" si="29"/>
        <v>0</v>
      </c>
      <c r="DE9" s="37">
        <f t="shared" si="29"/>
        <v>0</v>
      </c>
      <c r="DF9" s="37">
        <f t="shared" si="29"/>
        <v>0</v>
      </c>
      <c r="DG9" s="37">
        <f t="shared" si="29"/>
        <v>0</v>
      </c>
      <c r="DH9" s="37">
        <f t="shared" si="29"/>
        <v>0</v>
      </c>
      <c r="DI9" s="37">
        <f t="shared" si="29"/>
        <v>0</v>
      </c>
      <c r="DJ9" s="37">
        <f t="shared" si="29"/>
        <v>0</v>
      </c>
      <c r="DK9" s="37">
        <f t="shared" si="29"/>
        <v>0</v>
      </c>
      <c r="DL9" s="37">
        <f t="shared" si="29"/>
        <v>0</v>
      </c>
      <c r="DM9" s="37">
        <f t="shared" si="29"/>
        <v>0</v>
      </c>
      <c r="DN9" s="37">
        <f t="shared" si="29"/>
        <v>0</v>
      </c>
      <c r="DO9" s="37">
        <f t="shared" si="29"/>
        <v>0</v>
      </c>
      <c r="DP9" s="37">
        <f t="shared" si="29"/>
        <v>0</v>
      </c>
      <c r="DQ9" s="37">
        <f t="shared" si="29"/>
        <v>0</v>
      </c>
      <c r="DR9" s="37">
        <f t="shared" si="29"/>
        <v>0</v>
      </c>
      <c r="DS9" s="37">
        <f t="shared" si="29"/>
        <v>0</v>
      </c>
    </row>
    <row r="10" spans="1:124" ht="13.5" customHeight="1" x14ac:dyDescent="0.2">
      <c r="A10" s="11" t="s">
        <v>21</v>
      </c>
      <c r="B10" s="78">
        <v>120</v>
      </c>
      <c r="D10" s="37">
        <f t="shared" ref="D10:AI10" si="30">D$5*TotalUnitsSold5</f>
        <v>0</v>
      </c>
      <c r="E10" s="37">
        <f t="shared" si="30"/>
        <v>0</v>
      </c>
      <c r="F10" s="37">
        <f t="shared" si="30"/>
        <v>0</v>
      </c>
      <c r="G10" s="37">
        <f t="shared" si="30"/>
        <v>0</v>
      </c>
      <c r="H10" s="37">
        <f t="shared" si="30"/>
        <v>0</v>
      </c>
      <c r="I10" s="37">
        <f t="shared" si="30"/>
        <v>0</v>
      </c>
      <c r="J10" s="37">
        <f t="shared" si="30"/>
        <v>0</v>
      </c>
      <c r="K10" s="37">
        <f t="shared" si="30"/>
        <v>0</v>
      </c>
      <c r="L10" s="37">
        <f t="shared" si="30"/>
        <v>0</v>
      </c>
      <c r="M10" s="37">
        <f t="shared" si="30"/>
        <v>0</v>
      </c>
      <c r="N10" s="37">
        <f t="shared" si="30"/>
        <v>0</v>
      </c>
      <c r="O10" s="37">
        <f t="shared" si="30"/>
        <v>0</v>
      </c>
      <c r="P10" s="37">
        <f t="shared" si="30"/>
        <v>0</v>
      </c>
      <c r="Q10" s="37">
        <f t="shared" si="30"/>
        <v>0</v>
      </c>
      <c r="R10" s="37">
        <f t="shared" si="30"/>
        <v>0</v>
      </c>
      <c r="S10" s="37">
        <f t="shared" si="30"/>
        <v>0</v>
      </c>
      <c r="T10" s="37">
        <f t="shared" si="30"/>
        <v>0</v>
      </c>
      <c r="U10" s="37">
        <f t="shared" si="30"/>
        <v>0</v>
      </c>
      <c r="V10" s="37">
        <f t="shared" si="30"/>
        <v>0</v>
      </c>
      <c r="W10" s="37">
        <f t="shared" si="30"/>
        <v>0</v>
      </c>
      <c r="X10" s="37">
        <f t="shared" si="30"/>
        <v>0</v>
      </c>
      <c r="Y10" s="37">
        <f t="shared" si="30"/>
        <v>0</v>
      </c>
      <c r="Z10" s="37">
        <f t="shared" si="30"/>
        <v>0</v>
      </c>
      <c r="AA10" s="37">
        <f t="shared" si="30"/>
        <v>0</v>
      </c>
      <c r="AB10" s="37">
        <f t="shared" si="30"/>
        <v>0</v>
      </c>
      <c r="AC10" s="37">
        <f t="shared" si="30"/>
        <v>0</v>
      </c>
      <c r="AD10" s="37">
        <f t="shared" si="30"/>
        <v>0</v>
      </c>
      <c r="AE10" s="37">
        <f t="shared" si="30"/>
        <v>0</v>
      </c>
      <c r="AF10" s="37">
        <f t="shared" si="30"/>
        <v>0</v>
      </c>
      <c r="AG10" s="37">
        <f t="shared" si="30"/>
        <v>0</v>
      </c>
      <c r="AH10" s="37">
        <f t="shared" si="30"/>
        <v>0</v>
      </c>
      <c r="AI10" s="37">
        <f t="shared" si="30"/>
        <v>0</v>
      </c>
      <c r="AJ10" s="37">
        <f t="shared" ref="AJ10:BO10" si="31">AJ$5*TotalUnitsSold5</f>
        <v>0</v>
      </c>
      <c r="AK10" s="37">
        <f t="shared" si="31"/>
        <v>0</v>
      </c>
      <c r="AL10" s="37">
        <f t="shared" si="31"/>
        <v>0</v>
      </c>
      <c r="AM10" s="37">
        <f t="shared" si="31"/>
        <v>0</v>
      </c>
      <c r="AN10" s="37">
        <f t="shared" si="31"/>
        <v>0</v>
      </c>
      <c r="AO10" s="37">
        <f t="shared" si="31"/>
        <v>0</v>
      </c>
      <c r="AP10" s="37">
        <f t="shared" si="31"/>
        <v>0</v>
      </c>
      <c r="AQ10" s="37">
        <f t="shared" si="31"/>
        <v>0</v>
      </c>
      <c r="AR10" s="37">
        <f t="shared" si="31"/>
        <v>0</v>
      </c>
      <c r="AS10" s="37">
        <f t="shared" si="31"/>
        <v>0</v>
      </c>
      <c r="AT10" s="37">
        <f t="shared" si="31"/>
        <v>0</v>
      </c>
      <c r="AU10" s="37">
        <f t="shared" si="31"/>
        <v>0</v>
      </c>
      <c r="AV10" s="37">
        <f t="shared" si="31"/>
        <v>0</v>
      </c>
      <c r="AW10" s="37">
        <f t="shared" si="31"/>
        <v>0</v>
      </c>
      <c r="AX10" s="37">
        <f t="shared" si="31"/>
        <v>0</v>
      </c>
      <c r="AY10" s="37">
        <f t="shared" si="31"/>
        <v>0</v>
      </c>
      <c r="AZ10" s="37">
        <f t="shared" si="31"/>
        <v>0</v>
      </c>
      <c r="BA10" s="37">
        <f t="shared" si="31"/>
        <v>0</v>
      </c>
      <c r="BB10" s="37">
        <f t="shared" si="31"/>
        <v>0</v>
      </c>
      <c r="BC10" s="37">
        <f t="shared" si="31"/>
        <v>0</v>
      </c>
      <c r="BD10" s="37">
        <f t="shared" si="31"/>
        <v>0</v>
      </c>
      <c r="BE10" s="37">
        <f t="shared" si="31"/>
        <v>0</v>
      </c>
      <c r="BF10" s="37">
        <f t="shared" si="31"/>
        <v>0</v>
      </c>
      <c r="BG10" s="37">
        <f t="shared" si="31"/>
        <v>0</v>
      </c>
      <c r="BH10" s="37">
        <f t="shared" si="31"/>
        <v>0</v>
      </c>
      <c r="BI10" s="37">
        <f t="shared" si="31"/>
        <v>0</v>
      </c>
      <c r="BJ10" s="37">
        <f t="shared" si="31"/>
        <v>0</v>
      </c>
      <c r="BK10" s="37">
        <f t="shared" si="31"/>
        <v>0</v>
      </c>
      <c r="BL10" s="37">
        <f t="shared" si="31"/>
        <v>0</v>
      </c>
      <c r="BM10" s="37">
        <f t="shared" si="31"/>
        <v>0</v>
      </c>
      <c r="BN10" s="37">
        <f t="shared" si="31"/>
        <v>0</v>
      </c>
      <c r="BO10" s="37">
        <f t="shared" si="31"/>
        <v>0</v>
      </c>
      <c r="BP10" s="37">
        <f t="shared" ref="BP10:CU10" si="32">BP$5*TotalUnitsSold5</f>
        <v>0</v>
      </c>
      <c r="BQ10" s="37">
        <f t="shared" si="32"/>
        <v>0</v>
      </c>
      <c r="BR10" s="37">
        <f t="shared" si="32"/>
        <v>0</v>
      </c>
      <c r="BS10" s="37">
        <f t="shared" si="32"/>
        <v>0</v>
      </c>
      <c r="BT10" s="37">
        <f t="shared" si="32"/>
        <v>0</v>
      </c>
      <c r="BU10" s="37">
        <f t="shared" si="32"/>
        <v>0</v>
      </c>
      <c r="BV10" s="37">
        <f t="shared" si="32"/>
        <v>0</v>
      </c>
      <c r="BW10" s="37">
        <f t="shared" si="32"/>
        <v>0</v>
      </c>
      <c r="BX10" s="37">
        <f t="shared" si="32"/>
        <v>0</v>
      </c>
      <c r="BY10" s="37">
        <f t="shared" si="32"/>
        <v>0</v>
      </c>
      <c r="BZ10" s="37">
        <f t="shared" si="32"/>
        <v>0</v>
      </c>
      <c r="CA10" s="37">
        <f t="shared" si="32"/>
        <v>0</v>
      </c>
      <c r="CB10" s="37">
        <f t="shared" si="32"/>
        <v>0</v>
      </c>
      <c r="CC10" s="37">
        <f t="shared" si="32"/>
        <v>0</v>
      </c>
      <c r="CD10" s="37">
        <f t="shared" si="32"/>
        <v>0</v>
      </c>
      <c r="CE10" s="37">
        <f t="shared" si="32"/>
        <v>0</v>
      </c>
      <c r="CF10" s="37">
        <f t="shared" si="32"/>
        <v>0</v>
      </c>
      <c r="CG10" s="37">
        <f t="shared" si="32"/>
        <v>0</v>
      </c>
      <c r="CH10" s="37">
        <f t="shared" si="32"/>
        <v>0</v>
      </c>
      <c r="CI10" s="37">
        <f t="shared" si="32"/>
        <v>0</v>
      </c>
      <c r="CJ10" s="37">
        <f t="shared" si="32"/>
        <v>0</v>
      </c>
      <c r="CK10" s="37">
        <f t="shared" si="32"/>
        <v>0</v>
      </c>
      <c r="CL10" s="37">
        <f t="shared" si="32"/>
        <v>0</v>
      </c>
      <c r="CM10" s="37">
        <f t="shared" si="32"/>
        <v>0</v>
      </c>
      <c r="CN10" s="37">
        <f t="shared" si="32"/>
        <v>0</v>
      </c>
      <c r="CO10" s="37">
        <f t="shared" si="32"/>
        <v>0</v>
      </c>
      <c r="CP10" s="37">
        <f t="shared" si="32"/>
        <v>0</v>
      </c>
      <c r="CQ10" s="37">
        <f t="shared" si="32"/>
        <v>0</v>
      </c>
      <c r="CR10" s="37">
        <f t="shared" si="32"/>
        <v>0</v>
      </c>
      <c r="CS10" s="37">
        <f t="shared" si="32"/>
        <v>0</v>
      </c>
      <c r="CT10" s="37">
        <f t="shared" si="32"/>
        <v>0</v>
      </c>
      <c r="CU10" s="37">
        <f t="shared" si="32"/>
        <v>0</v>
      </c>
      <c r="CV10" s="37">
        <f t="shared" ref="CV10:DS10" si="33">CV$5*TotalUnitsSold5</f>
        <v>0</v>
      </c>
      <c r="CW10" s="37">
        <f t="shared" si="33"/>
        <v>0</v>
      </c>
      <c r="CX10" s="37">
        <f t="shared" si="33"/>
        <v>0</v>
      </c>
      <c r="CY10" s="37">
        <f t="shared" si="33"/>
        <v>0</v>
      </c>
      <c r="CZ10" s="37">
        <f t="shared" si="33"/>
        <v>0</v>
      </c>
      <c r="DA10" s="37">
        <f t="shared" si="33"/>
        <v>0</v>
      </c>
      <c r="DB10" s="37">
        <f t="shared" si="33"/>
        <v>0</v>
      </c>
      <c r="DC10" s="37">
        <f t="shared" si="33"/>
        <v>0</v>
      </c>
      <c r="DD10" s="37">
        <f t="shared" si="33"/>
        <v>0</v>
      </c>
      <c r="DE10" s="37">
        <f t="shared" si="33"/>
        <v>0</v>
      </c>
      <c r="DF10" s="37">
        <f t="shared" si="33"/>
        <v>0</v>
      </c>
      <c r="DG10" s="37">
        <f t="shared" si="33"/>
        <v>0</v>
      </c>
      <c r="DH10" s="37">
        <f t="shared" si="33"/>
        <v>0</v>
      </c>
      <c r="DI10" s="37">
        <f t="shared" si="33"/>
        <v>0</v>
      </c>
      <c r="DJ10" s="37">
        <f t="shared" si="33"/>
        <v>0</v>
      </c>
      <c r="DK10" s="37">
        <f t="shared" si="33"/>
        <v>0</v>
      </c>
      <c r="DL10" s="37">
        <f t="shared" si="33"/>
        <v>0</v>
      </c>
      <c r="DM10" s="37">
        <f t="shared" si="33"/>
        <v>0</v>
      </c>
      <c r="DN10" s="37">
        <f t="shared" si="33"/>
        <v>0</v>
      </c>
      <c r="DO10" s="37">
        <f t="shared" si="33"/>
        <v>0</v>
      </c>
      <c r="DP10" s="37">
        <f t="shared" si="33"/>
        <v>0</v>
      </c>
      <c r="DQ10" s="37">
        <f t="shared" si="33"/>
        <v>0</v>
      </c>
      <c r="DR10" s="37">
        <f t="shared" si="33"/>
        <v>0</v>
      </c>
      <c r="DS10" s="37">
        <f t="shared" si="33"/>
        <v>0</v>
      </c>
    </row>
    <row r="11" spans="1:124" x14ac:dyDescent="0.2">
      <c r="A11" s="11" t="s">
        <v>24</v>
      </c>
      <c r="B11">
        <f>(GEnd-GStart)/NumberOfMonths</f>
        <v>5.8333333333333334E-2</v>
      </c>
      <c r="D11" s="37">
        <f t="shared" ref="D11:AI11" si="34">D$5*TotalUnitsSold6</f>
        <v>0</v>
      </c>
      <c r="E11" s="37">
        <f t="shared" si="34"/>
        <v>0</v>
      </c>
      <c r="F11" s="37">
        <f t="shared" si="34"/>
        <v>0</v>
      </c>
      <c r="G11" s="37">
        <f t="shared" si="34"/>
        <v>0</v>
      </c>
      <c r="H11" s="37">
        <f t="shared" si="34"/>
        <v>0</v>
      </c>
      <c r="I11" s="37">
        <f t="shared" si="34"/>
        <v>0</v>
      </c>
      <c r="J11" s="37">
        <f t="shared" si="34"/>
        <v>0</v>
      </c>
      <c r="K11" s="37">
        <f t="shared" si="34"/>
        <v>0</v>
      </c>
      <c r="L11" s="37">
        <f t="shared" si="34"/>
        <v>0</v>
      </c>
      <c r="M11" s="37">
        <f t="shared" si="34"/>
        <v>0</v>
      </c>
      <c r="N11" s="37">
        <f t="shared" si="34"/>
        <v>0</v>
      </c>
      <c r="O11" s="37">
        <f t="shared" si="34"/>
        <v>0</v>
      </c>
      <c r="P11" s="37">
        <f t="shared" si="34"/>
        <v>0</v>
      </c>
      <c r="Q11" s="37">
        <f t="shared" si="34"/>
        <v>0</v>
      </c>
      <c r="R11" s="37">
        <f t="shared" si="34"/>
        <v>0</v>
      </c>
      <c r="S11" s="37">
        <f t="shared" si="34"/>
        <v>0</v>
      </c>
      <c r="T11" s="37">
        <f t="shared" si="34"/>
        <v>0</v>
      </c>
      <c r="U11" s="37">
        <f t="shared" si="34"/>
        <v>0</v>
      </c>
      <c r="V11" s="37">
        <f t="shared" si="34"/>
        <v>0</v>
      </c>
      <c r="W11" s="37">
        <f t="shared" si="34"/>
        <v>0</v>
      </c>
      <c r="X11" s="37">
        <f t="shared" si="34"/>
        <v>0</v>
      </c>
      <c r="Y11" s="37">
        <f t="shared" si="34"/>
        <v>0</v>
      </c>
      <c r="Z11" s="37">
        <f t="shared" si="34"/>
        <v>0</v>
      </c>
      <c r="AA11" s="37">
        <f t="shared" si="34"/>
        <v>0</v>
      </c>
      <c r="AB11" s="37">
        <f t="shared" si="34"/>
        <v>0</v>
      </c>
      <c r="AC11" s="37">
        <f t="shared" si="34"/>
        <v>0</v>
      </c>
      <c r="AD11" s="37">
        <f t="shared" si="34"/>
        <v>0</v>
      </c>
      <c r="AE11" s="37">
        <f t="shared" si="34"/>
        <v>0</v>
      </c>
      <c r="AF11" s="37">
        <f t="shared" si="34"/>
        <v>0</v>
      </c>
      <c r="AG11" s="37">
        <f t="shared" si="34"/>
        <v>0</v>
      </c>
      <c r="AH11" s="37">
        <f t="shared" si="34"/>
        <v>0</v>
      </c>
      <c r="AI11" s="37">
        <f t="shared" si="34"/>
        <v>0</v>
      </c>
      <c r="AJ11" s="37">
        <f t="shared" ref="AJ11:BO11" si="35">AJ$5*TotalUnitsSold6</f>
        <v>0</v>
      </c>
      <c r="AK11" s="37">
        <f t="shared" si="35"/>
        <v>0</v>
      </c>
      <c r="AL11" s="37">
        <f t="shared" si="35"/>
        <v>0</v>
      </c>
      <c r="AM11" s="37">
        <f t="shared" si="35"/>
        <v>0</v>
      </c>
      <c r="AN11" s="37">
        <f t="shared" si="35"/>
        <v>0</v>
      </c>
      <c r="AO11" s="37">
        <f t="shared" si="35"/>
        <v>0</v>
      </c>
      <c r="AP11" s="37">
        <f t="shared" si="35"/>
        <v>0</v>
      </c>
      <c r="AQ11" s="37">
        <f t="shared" si="35"/>
        <v>0</v>
      </c>
      <c r="AR11" s="37">
        <f t="shared" si="35"/>
        <v>0</v>
      </c>
      <c r="AS11" s="37">
        <f t="shared" si="35"/>
        <v>0</v>
      </c>
      <c r="AT11" s="37">
        <f t="shared" si="35"/>
        <v>0</v>
      </c>
      <c r="AU11" s="37">
        <f t="shared" si="35"/>
        <v>0</v>
      </c>
      <c r="AV11" s="37">
        <f t="shared" si="35"/>
        <v>0</v>
      </c>
      <c r="AW11" s="37">
        <f t="shared" si="35"/>
        <v>0</v>
      </c>
      <c r="AX11" s="37">
        <f t="shared" si="35"/>
        <v>0</v>
      </c>
      <c r="AY11" s="37">
        <f t="shared" si="35"/>
        <v>0</v>
      </c>
      <c r="AZ11" s="37">
        <f t="shared" si="35"/>
        <v>0</v>
      </c>
      <c r="BA11" s="37">
        <f t="shared" si="35"/>
        <v>0</v>
      </c>
      <c r="BB11" s="37">
        <f t="shared" si="35"/>
        <v>0</v>
      </c>
      <c r="BC11" s="37">
        <f t="shared" si="35"/>
        <v>0</v>
      </c>
      <c r="BD11" s="37">
        <f t="shared" si="35"/>
        <v>0</v>
      </c>
      <c r="BE11" s="37">
        <f t="shared" si="35"/>
        <v>0</v>
      </c>
      <c r="BF11" s="37">
        <f t="shared" si="35"/>
        <v>0</v>
      </c>
      <c r="BG11" s="37">
        <f t="shared" si="35"/>
        <v>0</v>
      </c>
      <c r="BH11" s="37">
        <f t="shared" si="35"/>
        <v>0</v>
      </c>
      <c r="BI11" s="37">
        <f t="shared" si="35"/>
        <v>0</v>
      </c>
      <c r="BJ11" s="37">
        <f t="shared" si="35"/>
        <v>0</v>
      </c>
      <c r="BK11" s="37">
        <f t="shared" si="35"/>
        <v>0</v>
      </c>
      <c r="BL11" s="37">
        <f t="shared" si="35"/>
        <v>0</v>
      </c>
      <c r="BM11" s="37">
        <f t="shared" si="35"/>
        <v>0</v>
      </c>
      <c r="BN11" s="37">
        <f t="shared" si="35"/>
        <v>0</v>
      </c>
      <c r="BO11" s="37">
        <f t="shared" si="35"/>
        <v>0</v>
      </c>
      <c r="BP11" s="37">
        <f t="shared" ref="BP11:CU11" si="36">BP$5*TotalUnitsSold6</f>
        <v>0</v>
      </c>
      <c r="BQ11" s="37">
        <f t="shared" si="36"/>
        <v>0</v>
      </c>
      <c r="BR11" s="37">
        <f t="shared" si="36"/>
        <v>0</v>
      </c>
      <c r="BS11" s="37">
        <f t="shared" si="36"/>
        <v>0</v>
      </c>
      <c r="BT11" s="37">
        <f t="shared" si="36"/>
        <v>0</v>
      </c>
      <c r="BU11" s="37">
        <f t="shared" si="36"/>
        <v>0</v>
      </c>
      <c r="BV11" s="37">
        <f t="shared" si="36"/>
        <v>0</v>
      </c>
      <c r="BW11" s="37">
        <f t="shared" si="36"/>
        <v>0</v>
      </c>
      <c r="BX11" s="37">
        <f t="shared" si="36"/>
        <v>0</v>
      </c>
      <c r="BY11" s="37">
        <f t="shared" si="36"/>
        <v>0</v>
      </c>
      <c r="BZ11" s="37">
        <f t="shared" si="36"/>
        <v>0</v>
      </c>
      <c r="CA11" s="37">
        <f t="shared" si="36"/>
        <v>0</v>
      </c>
      <c r="CB11" s="37">
        <f t="shared" si="36"/>
        <v>0</v>
      </c>
      <c r="CC11" s="37">
        <f t="shared" si="36"/>
        <v>0</v>
      </c>
      <c r="CD11" s="37">
        <f t="shared" si="36"/>
        <v>0</v>
      </c>
      <c r="CE11" s="37">
        <f t="shared" si="36"/>
        <v>0</v>
      </c>
      <c r="CF11" s="37">
        <f t="shared" si="36"/>
        <v>0</v>
      </c>
      <c r="CG11" s="37">
        <f t="shared" si="36"/>
        <v>0</v>
      </c>
      <c r="CH11" s="37">
        <f t="shared" si="36"/>
        <v>0</v>
      </c>
      <c r="CI11" s="37">
        <f t="shared" si="36"/>
        <v>0</v>
      </c>
      <c r="CJ11" s="37">
        <f t="shared" si="36"/>
        <v>0</v>
      </c>
      <c r="CK11" s="37">
        <f t="shared" si="36"/>
        <v>0</v>
      </c>
      <c r="CL11" s="37">
        <f t="shared" si="36"/>
        <v>0</v>
      </c>
      <c r="CM11" s="37">
        <f t="shared" si="36"/>
        <v>0</v>
      </c>
      <c r="CN11" s="37">
        <f t="shared" si="36"/>
        <v>0</v>
      </c>
      <c r="CO11" s="37">
        <f t="shared" si="36"/>
        <v>0</v>
      </c>
      <c r="CP11" s="37">
        <f t="shared" si="36"/>
        <v>0</v>
      </c>
      <c r="CQ11" s="37">
        <f t="shared" si="36"/>
        <v>0</v>
      </c>
      <c r="CR11" s="37">
        <f t="shared" si="36"/>
        <v>0</v>
      </c>
      <c r="CS11" s="37">
        <f t="shared" si="36"/>
        <v>0</v>
      </c>
      <c r="CT11" s="37">
        <f t="shared" si="36"/>
        <v>0</v>
      </c>
      <c r="CU11" s="37">
        <f t="shared" si="36"/>
        <v>0</v>
      </c>
      <c r="CV11" s="37">
        <f t="shared" ref="CV11:DS11" si="37">CV$5*TotalUnitsSold6</f>
        <v>0</v>
      </c>
      <c r="CW11" s="37">
        <f t="shared" si="37"/>
        <v>0</v>
      </c>
      <c r="CX11" s="37">
        <f t="shared" si="37"/>
        <v>0</v>
      </c>
      <c r="CY11" s="37">
        <f t="shared" si="37"/>
        <v>0</v>
      </c>
      <c r="CZ11" s="37">
        <f t="shared" si="37"/>
        <v>0</v>
      </c>
      <c r="DA11" s="37">
        <f t="shared" si="37"/>
        <v>0</v>
      </c>
      <c r="DB11" s="37">
        <f t="shared" si="37"/>
        <v>0</v>
      </c>
      <c r="DC11" s="37">
        <f t="shared" si="37"/>
        <v>0</v>
      </c>
      <c r="DD11" s="37">
        <f t="shared" si="37"/>
        <v>0</v>
      </c>
      <c r="DE11" s="37">
        <f t="shared" si="37"/>
        <v>0</v>
      </c>
      <c r="DF11" s="37">
        <f t="shared" si="37"/>
        <v>0</v>
      </c>
      <c r="DG11" s="37">
        <f t="shared" si="37"/>
        <v>0</v>
      </c>
      <c r="DH11" s="37">
        <f t="shared" si="37"/>
        <v>0</v>
      </c>
      <c r="DI11" s="37">
        <f t="shared" si="37"/>
        <v>0</v>
      </c>
      <c r="DJ11" s="37">
        <f t="shared" si="37"/>
        <v>0</v>
      </c>
      <c r="DK11" s="37">
        <f t="shared" si="37"/>
        <v>0</v>
      </c>
      <c r="DL11" s="37">
        <f t="shared" si="37"/>
        <v>0</v>
      </c>
      <c r="DM11" s="37">
        <f t="shared" si="37"/>
        <v>0</v>
      </c>
      <c r="DN11" s="37">
        <f t="shared" si="37"/>
        <v>0</v>
      </c>
      <c r="DO11" s="37">
        <f t="shared" si="37"/>
        <v>0</v>
      </c>
      <c r="DP11" s="37">
        <f t="shared" si="37"/>
        <v>0</v>
      </c>
      <c r="DQ11" s="37">
        <f t="shared" si="37"/>
        <v>0</v>
      </c>
      <c r="DR11" s="37">
        <f t="shared" si="37"/>
        <v>0</v>
      </c>
      <c r="DS11" s="37">
        <f t="shared" si="37"/>
        <v>0</v>
      </c>
    </row>
    <row r="12" spans="1:124" x14ac:dyDescent="0.2">
      <c r="D12" s="37">
        <f t="shared" ref="D12:AI12" si="38">D$5*TotalUnitsSold7</f>
        <v>0</v>
      </c>
      <c r="E12" s="37">
        <f t="shared" si="38"/>
        <v>0</v>
      </c>
      <c r="F12" s="37">
        <f t="shared" si="38"/>
        <v>0</v>
      </c>
      <c r="G12" s="37">
        <f t="shared" si="38"/>
        <v>0</v>
      </c>
      <c r="H12" s="37">
        <f t="shared" si="38"/>
        <v>0</v>
      </c>
      <c r="I12" s="37">
        <f t="shared" si="38"/>
        <v>0</v>
      </c>
      <c r="J12" s="37">
        <f t="shared" si="38"/>
        <v>0</v>
      </c>
      <c r="K12" s="37">
        <f t="shared" si="38"/>
        <v>0</v>
      </c>
      <c r="L12" s="37">
        <f t="shared" si="38"/>
        <v>0</v>
      </c>
      <c r="M12" s="37">
        <f t="shared" si="38"/>
        <v>0</v>
      </c>
      <c r="N12" s="37">
        <f t="shared" si="38"/>
        <v>0</v>
      </c>
      <c r="O12" s="37">
        <f t="shared" si="38"/>
        <v>0</v>
      </c>
      <c r="P12" s="37">
        <f t="shared" si="38"/>
        <v>0</v>
      </c>
      <c r="Q12" s="37">
        <f t="shared" si="38"/>
        <v>0</v>
      </c>
      <c r="R12" s="37">
        <f t="shared" si="38"/>
        <v>0</v>
      </c>
      <c r="S12" s="37">
        <f t="shared" si="38"/>
        <v>0</v>
      </c>
      <c r="T12" s="37">
        <f t="shared" si="38"/>
        <v>0</v>
      </c>
      <c r="U12" s="37">
        <f t="shared" si="38"/>
        <v>0</v>
      </c>
      <c r="V12" s="37">
        <f t="shared" si="38"/>
        <v>0</v>
      </c>
      <c r="W12" s="37">
        <f t="shared" si="38"/>
        <v>0</v>
      </c>
      <c r="X12" s="37">
        <f t="shared" si="38"/>
        <v>0</v>
      </c>
      <c r="Y12" s="37">
        <f t="shared" si="38"/>
        <v>0</v>
      </c>
      <c r="Z12" s="37">
        <f t="shared" si="38"/>
        <v>0</v>
      </c>
      <c r="AA12" s="37">
        <f t="shared" si="38"/>
        <v>0</v>
      </c>
      <c r="AB12" s="37">
        <f t="shared" si="38"/>
        <v>0</v>
      </c>
      <c r="AC12" s="37">
        <f t="shared" si="38"/>
        <v>0</v>
      </c>
      <c r="AD12" s="37">
        <f t="shared" si="38"/>
        <v>0</v>
      </c>
      <c r="AE12" s="37">
        <f t="shared" si="38"/>
        <v>0</v>
      </c>
      <c r="AF12" s="37">
        <f t="shared" si="38"/>
        <v>0</v>
      </c>
      <c r="AG12" s="37">
        <f t="shared" si="38"/>
        <v>0</v>
      </c>
      <c r="AH12" s="37">
        <f t="shared" si="38"/>
        <v>0</v>
      </c>
      <c r="AI12" s="37">
        <f t="shared" si="38"/>
        <v>0</v>
      </c>
      <c r="AJ12" s="37">
        <f t="shared" ref="AJ12:BO12" si="39">AJ$5*TotalUnitsSold7</f>
        <v>0</v>
      </c>
      <c r="AK12" s="37">
        <f t="shared" si="39"/>
        <v>0</v>
      </c>
      <c r="AL12" s="37">
        <f t="shared" si="39"/>
        <v>0</v>
      </c>
      <c r="AM12" s="37">
        <f t="shared" si="39"/>
        <v>0</v>
      </c>
      <c r="AN12" s="37">
        <f t="shared" si="39"/>
        <v>0</v>
      </c>
      <c r="AO12" s="37">
        <f t="shared" si="39"/>
        <v>0</v>
      </c>
      <c r="AP12" s="37">
        <f t="shared" si="39"/>
        <v>0</v>
      </c>
      <c r="AQ12" s="37">
        <f t="shared" si="39"/>
        <v>0</v>
      </c>
      <c r="AR12" s="37">
        <f t="shared" si="39"/>
        <v>0</v>
      </c>
      <c r="AS12" s="37">
        <f t="shared" si="39"/>
        <v>0</v>
      </c>
      <c r="AT12" s="37">
        <f t="shared" si="39"/>
        <v>0</v>
      </c>
      <c r="AU12" s="37">
        <f t="shared" si="39"/>
        <v>0</v>
      </c>
      <c r="AV12" s="37">
        <f t="shared" si="39"/>
        <v>0</v>
      </c>
      <c r="AW12" s="37">
        <f t="shared" si="39"/>
        <v>0</v>
      </c>
      <c r="AX12" s="37">
        <f t="shared" si="39"/>
        <v>0</v>
      </c>
      <c r="AY12" s="37">
        <f t="shared" si="39"/>
        <v>0</v>
      </c>
      <c r="AZ12" s="37">
        <f t="shared" si="39"/>
        <v>0</v>
      </c>
      <c r="BA12" s="37">
        <f t="shared" si="39"/>
        <v>0</v>
      </c>
      <c r="BB12" s="37">
        <f t="shared" si="39"/>
        <v>0</v>
      </c>
      <c r="BC12" s="37">
        <f t="shared" si="39"/>
        <v>0</v>
      </c>
      <c r="BD12" s="37">
        <f t="shared" si="39"/>
        <v>0</v>
      </c>
      <c r="BE12" s="37">
        <f t="shared" si="39"/>
        <v>0</v>
      </c>
      <c r="BF12" s="37">
        <f t="shared" si="39"/>
        <v>0</v>
      </c>
      <c r="BG12" s="37">
        <f t="shared" si="39"/>
        <v>0</v>
      </c>
      <c r="BH12" s="37">
        <f t="shared" si="39"/>
        <v>0</v>
      </c>
      <c r="BI12" s="37">
        <f t="shared" si="39"/>
        <v>0</v>
      </c>
      <c r="BJ12" s="37">
        <f t="shared" si="39"/>
        <v>0</v>
      </c>
      <c r="BK12" s="37">
        <f t="shared" si="39"/>
        <v>0</v>
      </c>
      <c r="BL12" s="37">
        <f t="shared" si="39"/>
        <v>0</v>
      </c>
      <c r="BM12" s="37">
        <f t="shared" si="39"/>
        <v>0</v>
      </c>
      <c r="BN12" s="37">
        <f t="shared" si="39"/>
        <v>0</v>
      </c>
      <c r="BO12" s="37">
        <f t="shared" si="39"/>
        <v>0</v>
      </c>
      <c r="BP12" s="37">
        <f t="shared" ref="BP12:CU12" si="40">BP$5*TotalUnitsSold7</f>
        <v>0</v>
      </c>
      <c r="BQ12" s="37">
        <f t="shared" si="40"/>
        <v>0</v>
      </c>
      <c r="BR12" s="37">
        <f t="shared" si="40"/>
        <v>0</v>
      </c>
      <c r="BS12" s="37">
        <f t="shared" si="40"/>
        <v>0</v>
      </c>
      <c r="BT12" s="37">
        <f t="shared" si="40"/>
        <v>0</v>
      </c>
      <c r="BU12" s="37">
        <f t="shared" si="40"/>
        <v>0</v>
      </c>
      <c r="BV12" s="37">
        <f t="shared" si="40"/>
        <v>0</v>
      </c>
      <c r="BW12" s="37">
        <f t="shared" si="40"/>
        <v>0</v>
      </c>
      <c r="BX12" s="37">
        <f t="shared" si="40"/>
        <v>0</v>
      </c>
      <c r="BY12" s="37">
        <f t="shared" si="40"/>
        <v>0</v>
      </c>
      <c r="BZ12" s="37">
        <f t="shared" si="40"/>
        <v>0</v>
      </c>
      <c r="CA12" s="37">
        <f t="shared" si="40"/>
        <v>0</v>
      </c>
      <c r="CB12" s="37">
        <f t="shared" si="40"/>
        <v>0</v>
      </c>
      <c r="CC12" s="37">
        <f t="shared" si="40"/>
        <v>0</v>
      </c>
      <c r="CD12" s="37">
        <f t="shared" si="40"/>
        <v>0</v>
      </c>
      <c r="CE12" s="37">
        <f t="shared" si="40"/>
        <v>0</v>
      </c>
      <c r="CF12" s="37">
        <f t="shared" si="40"/>
        <v>0</v>
      </c>
      <c r="CG12" s="37">
        <f t="shared" si="40"/>
        <v>0</v>
      </c>
      <c r="CH12" s="37">
        <f t="shared" si="40"/>
        <v>0</v>
      </c>
      <c r="CI12" s="37">
        <f t="shared" si="40"/>
        <v>0</v>
      </c>
      <c r="CJ12" s="37">
        <f t="shared" si="40"/>
        <v>0</v>
      </c>
      <c r="CK12" s="37">
        <f t="shared" si="40"/>
        <v>0</v>
      </c>
      <c r="CL12" s="37">
        <f t="shared" si="40"/>
        <v>0</v>
      </c>
      <c r="CM12" s="37">
        <f t="shared" si="40"/>
        <v>0</v>
      </c>
      <c r="CN12" s="37">
        <f t="shared" si="40"/>
        <v>0</v>
      </c>
      <c r="CO12" s="37">
        <f t="shared" si="40"/>
        <v>0</v>
      </c>
      <c r="CP12" s="37">
        <f t="shared" si="40"/>
        <v>0</v>
      </c>
      <c r="CQ12" s="37">
        <f t="shared" si="40"/>
        <v>0</v>
      </c>
      <c r="CR12" s="37">
        <f t="shared" si="40"/>
        <v>0</v>
      </c>
      <c r="CS12" s="37">
        <f t="shared" si="40"/>
        <v>0</v>
      </c>
      <c r="CT12" s="37">
        <f t="shared" si="40"/>
        <v>0</v>
      </c>
      <c r="CU12" s="37">
        <f t="shared" si="40"/>
        <v>0</v>
      </c>
      <c r="CV12" s="37">
        <f t="shared" ref="CV12:DS12" si="41">CV$5*TotalUnitsSold7</f>
        <v>0</v>
      </c>
      <c r="CW12" s="37">
        <f t="shared" si="41"/>
        <v>0</v>
      </c>
      <c r="CX12" s="37">
        <f t="shared" si="41"/>
        <v>0</v>
      </c>
      <c r="CY12" s="37">
        <f t="shared" si="41"/>
        <v>0</v>
      </c>
      <c r="CZ12" s="37">
        <f t="shared" si="41"/>
        <v>0</v>
      </c>
      <c r="DA12" s="37">
        <f t="shared" si="41"/>
        <v>0</v>
      </c>
      <c r="DB12" s="37">
        <f t="shared" si="41"/>
        <v>0</v>
      </c>
      <c r="DC12" s="37">
        <f t="shared" si="41"/>
        <v>0</v>
      </c>
      <c r="DD12" s="37">
        <f t="shared" si="41"/>
        <v>0</v>
      </c>
      <c r="DE12" s="37">
        <f t="shared" si="41"/>
        <v>0</v>
      </c>
      <c r="DF12" s="37">
        <f t="shared" si="41"/>
        <v>0</v>
      </c>
      <c r="DG12" s="37">
        <f t="shared" si="41"/>
        <v>0</v>
      </c>
      <c r="DH12" s="37">
        <f t="shared" si="41"/>
        <v>0</v>
      </c>
      <c r="DI12" s="37">
        <f t="shared" si="41"/>
        <v>0</v>
      </c>
      <c r="DJ12" s="37">
        <f t="shared" si="41"/>
        <v>0</v>
      </c>
      <c r="DK12" s="37">
        <f t="shared" si="41"/>
        <v>0</v>
      </c>
      <c r="DL12" s="37">
        <f t="shared" si="41"/>
        <v>0</v>
      </c>
      <c r="DM12" s="37">
        <f t="shared" si="41"/>
        <v>0</v>
      </c>
      <c r="DN12" s="37">
        <f t="shared" si="41"/>
        <v>0</v>
      </c>
      <c r="DO12" s="37">
        <f t="shared" si="41"/>
        <v>0</v>
      </c>
      <c r="DP12" s="37">
        <f t="shared" si="41"/>
        <v>0</v>
      </c>
      <c r="DQ12" s="37">
        <f t="shared" si="41"/>
        <v>0</v>
      </c>
      <c r="DR12" s="37">
        <f t="shared" si="41"/>
        <v>0</v>
      </c>
      <c r="DS12" s="37">
        <f t="shared" si="41"/>
        <v>0</v>
      </c>
    </row>
    <row r="13" spans="1:124" x14ac:dyDescent="0.2">
      <c r="D13" s="37">
        <f t="shared" ref="D13:AI13" si="42">D$5*TotalUnitsSold8</f>
        <v>0</v>
      </c>
      <c r="E13" s="37">
        <f t="shared" si="42"/>
        <v>0</v>
      </c>
      <c r="F13" s="37">
        <f t="shared" si="42"/>
        <v>0</v>
      </c>
      <c r="G13" s="37">
        <f t="shared" si="42"/>
        <v>0</v>
      </c>
      <c r="H13" s="37">
        <f t="shared" si="42"/>
        <v>0</v>
      </c>
      <c r="I13" s="37">
        <f t="shared" si="42"/>
        <v>0</v>
      </c>
      <c r="J13" s="37">
        <f t="shared" si="42"/>
        <v>0</v>
      </c>
      <c r="K13" s="37">
        <f t="shared" si="42"/>
        <v>0</v>
      </c>
      <c r="L13" s="37">
        <f t="shared" si="42"/>
        <v>0</v>
      </c>
      <c r="M13" s="37">
        <f t="shared" si="42"/>
        <v>0</v>
      </c>
      <c r="N13" s="37">
        <f t="shared" si="42"/>
        <v>0</v>
      </c>
      <c r="O13" s="37">
        <f t="shared" si="42"/>
        <v>0</v>
      </c>
      <c r="P13" s="37">
        <f t="shared" si="42"/>
        <v>0</v>
      </c>
      <c r="Q13" s="37">
        <f t="shared" si="42"/>
        <v>0</v>
      </c>
      <c r="R13" s="37">
        <f t="shared" si="42"/>
        <v>0</v>
      </c>
      <c r="S13" s="37">
        <f t="shared" si="42"/>
        <v>0</v>
      </c>
      <c r="T13" s="37">
        <f t="shared" si="42"/>
        <v>0</v>
      </c>
      <c r="U13" s="37">
        <f t="shared" si="42"/>
        <v>0</v>
      </c>
      <c r="V13" s="37">
        <f t="shared" si="42"/>
        <v>0</v>
      </c>
      <c r="W13" s="37">
        <f t="shared" si="42"/>
        <v>0</v>
      </c>
      <c r="X13" s="37">
        <f t="shared" si="42"/>
        <v>0</v>
      </c>
      <c r="Y13" s="37">
        <f t="shared" si="42"/>
        <v>0</v>
      </c>
      <c r="Z13" s="37">
        <f t="shared" si="42"/>
        <v>0</v>
      </c>
      <c r="AA13" s="37">
        <f t="shared" si="42"/>
        <v>0</v>
      </c>
      <c r="AB13" s="37">
        <f t="shared" si="42"/>
        <v>0</v>
      </c>
      <c r="AC13" s="37">
        <f t="shared" si="42"/>
        <v>0</v>
      </c>
      <c r="AD13" s="37">
        <f t="shared" si="42"/>
        <v>0</v>
      </c>
      <c r="AE13" s="37">
        <f t="shared" si="42"/>
        <v>0</v>
      </c>
      <c r="AF13" s="37">
        <f t="shared" si="42"/>
        <v>0</v>
      </c>
      <c r="AG13" s="37">
        <f t="shared" si="42"/>
        <v>0</v>
      </c>
      <c r="AH13" s="37">
        <f t="shared" si="42"/>
        <v>0</v>
      </c>
      <c r="AI13" s="37">
        <f t="shared" si="42"/>
        <v>0</v>
      </c>
      <c r="AJ13" s="37">
        <f t="shared" ref="AJ13:BO13" si="43">AJ$5*TotalUnitsSold8</f>
        <v>0</v>
      </c>
      <c r="AK13" s="37">
        <f t="shared" si="43"/>
        <v>0</v>
      </c>
      <c r="AL13" s="37">
        <f t="shared" si="43"/>
        <v>0</v>
      </c>
      <c r="AM13" s="37">
        <f t="shared" si="43"/>
        <v>0</v>
      </c>
      <c r="AN13" s="37">
        <f t="shared" si="43"/>
        <v>0</v>
      </c>
      <c r="AO13" s="37">
        <f t="shared" si="43"/>
        <v>0</v>
      </c>
      <c r="AP13" s="37">
        <f t="shared" si="43"/>
        <v>0</v>
      </c>
      <c r="AQ13" s="37">
        <f t="shared" si="43"/>
        <v>0</v>
      </c>
      <c r="AR13" s="37">
        <f t="shared" si="43"/>
        <v>0</v>
      </c>
      <c r="AS13" s="37">
        <f t="shared" si="43"/>
        <v>0</v>
      </c>
      <c r="AT13" s="37">
        <f t="shared" si="43"/>
        <v>0</v>
      </c>
      <c r="AU13" s="37">
        <f t="shared" si="43"/>
        <v>0</v>
      </c>
      <c r="AV13" s="37">
        <f t="shared" si="43"/>
        <v>0</v>
      </c>
      <c r="AW13" s="37">
        <f t="shared" si="43"/>
        <v>0</v>
      </c>
      <c r="AX13" s="37">
        <f t="shared" si="43"/>
        <v>0</v>
      </c>
      <c r="AY13" s="37">
        <f t="shared" si="43"/>
        <v>0</v>
      </c>
      <c r="AZ13" s="37">
        <f t="shared" si="43"/>
        <v>0</v>
      </c>
      <c r="BA13" s="37">
        <f t="shared" si="43"/>
        <v>0</v>
      </c>
      <c r="BB13" s="37">
        <f t="shared" si="43"/>
        <v>0</v>
      </c>
      <c r="BC13" s="37">
        <f t="shared" si="43"/>
        <v>0</v>
      </c>
      <c r="BD13" s="37">
        <f t="shared" si="43"/>
        <v>0</v>
      </c>
      <c r="BE13" s="37">
        <f t="shared" si="43"/>
        <v>0</v>
      </c>
      <c r="BF13" s="37">
        <f t="shared" si="43"/>
        <v>0</v>
      </c>
      <c r="BG13" s="37">
        <f t="shared" si="43"/>
        <v>0</v>
      </c>
      <c r="BH13" s="37">
        <f t="shared" si="43"/>
        <v>0</v>
      </c>
      <c r="BI13" s="37">
        <f t="shared" si="43"/>
        <v>0</v>
      </c>
      <c r="BJ13" s="37">
        <f t="shared" si="43"/>
        <v>0</v>
      </c>
      <c r="BK13" s="37">
        <f t="shared" si="43"/>
        <v>0</v>
      </c>
      <c r="BL13" s="37">
        <f t="shared" si="43"/>
        <v>0</v>
      </c>
      <c r="BM13" s="37">
        <f t="shared" si="43"/>
        <v>0</v>
      </c>
      <c r="BN13" s="37">
        <f t="shared" si="43"/>
        <v>0</v>
      </c>
      <c r="BO13" s="37">
        <f t="shared" si="43"/>
        <v>0</v>
      </c>
      <c r="BP13" s="37">
        <f t="shared" ref="BP13:CU13" si="44">BP$5*TotalUnitsSold8</f>
        <v>0</v>
      </c>
      <c r="BQ13" s="37">
        <f t="shared" si="44"/>
        <v>0</v>
      </c>
      <c r="BR13" s="37">
        <f t="shared" si="44"/>
        <v>0</v>
      </c>
      <c r="BS13" s="37">
        <f t="shared" si="44"/>
        <v>0</v>
      </c>
      <c r="BT13" s="37">
        <f t="shared" si="44"/>
        <v>0</v>
      </c>
      <c r="BU13" s="37">
        <f t="shared" si="44"/>
        <v>0</v>
      </c>
      <c r="BV13" s="37">
        <f t="shared" si="44"/>
        <v>0</v>
      </c>
      <c r="BW13" s="37">
        <f t="shared" si="44"/>
        <v>0</v>
      </c>
      <c r="BX13" s="37">
        <f t="shared" si="44"/>
        <v>0</v>
      </c>
      <c r="BY13" s="37">
        <f t="shared" si="44"/>
        <v>0</v>
      </c>
      <c r="BZ13" s="37">
        <f t="shared" si="44"/>
        <v>0</v>
      </c>
      <c r="CA13" s="37">
        <f t="shared" si="44"/>
        <v>0</v>
      </c>
      <c r="CB13" s="37">
        <f t="shared" si="44"/>
        <v>0</v>
      </c>
      <c r="CC13" s="37">
        <f t="shared" si="44"/>
        <v>0</v>
      </c>
      <c r="CD13" s="37">
        <f t="shared" si="44"/>
        <v>0</v>
      </c>
      <c r="CE13" s="37">
        <f t="shared" si="44"/>
        <v>0</v>
      </c>
      <c r="CF13" s="37">
        <f t="shared" si="44"/>
        <v>0</v>
      </c>
      <c r="CG13" s="37">
        <f t="shared" si="44"/>
        <v>0</v>
      </c>
      <c r="CH13" s="37">
        <f t="shared" si="44"/>
        <v>0</v>
      </c>
      <c r="CI13" s="37">
        <f t="shared" si="44"/>
        <v>0</v>
      </c>
      <c r="CJ13" s="37">
        <f t="shared" si="44"/>
        <v>0</v>
      </c>
      <c r="CK13" s="37">
        <f t="shared" si="44"/>
        <v>0</v>
      </c>
      <c r="CL13" s="37">
        <f t="shared" si="44"/>
        <v>0</v>
      </c>
      <c r="CM13" s="37">
        <f t="shared" si="44"/>
        <v>0</v>
      </c>
      <c r="CN13" s="37">
        <f t="shared" si="44"/>
        <v>0</v>
      </c>
      <c r="CO13" s="37">
        <f t="shared" si="44"/>
        <v>0</v>
      </c>
      <c r="CP13" s="37">
        <f t="shared" si="44"/>
        <v>0</v>
      </c>
      <c r="CQ13" s="37">
        <f t="shared" si="44"/>
        <v>0</v>
      </c>
      <c r="CR13" s="37">
        <f t="shared" si="44"/>
        <v>0</v>
      </c>
      <c r="CS13" s="37">
        <f t="shared" si="44"/>
        <v>0</v>
      </c>
      <c r="CT13" s="37">
        <f t="shared" si="44"/>
        <v>0</v>
      </c>
      <c r="CU13" s="37">
        <f t="shared" si="44"/>
        <v>0</v>
      </c>
      <c r="CV13" s="37">
        <f t="shared" ref="CV13:DS13" si="45">CV$5*TotalUnitsSold8</f>
        <v>0</v>
      </c>
      <c r="CW13" s="37">
        <f t="shared" si="45"/>
        <v>0</v>
      </c>
      <c r="CX13" s="37">
        <f t="shared" si="45"/>
        <v>0</v>
      </c>
      <c r="CY13" s="37">
        <f t="shared" si="45"/>
        <v>0</v>
      </c>
      <c r="CZ13" s="37">
        <f t="shared" si="45"/>
        <v>0</v>
      </c>
      <c r="DA13" s="37">
        <f t="shared" si="45"/>
        <v>0</v>
      </c>
      <c r="DB13" s="37">
        <f t="shared" si="45"/>
        <v>0</v>
      </c>
      <c r="DC13" s="37">
        <f t="shared" si="45"/>
        <v>0</v>
      </c>
      <c r="DD13" s="37">
        <f t="shared" si="45"/>
        <v>0</v>
      </c>
      <c r="DE13" s="37">
        <f t="shared" si="45"/>
        <v>0</v>
      </c>
      <c r="DF13" s="37">
        <f t="shared" si="45"/>
        <v>0</v>
      </c>
      <c r="DG13" s="37">
        <f t="shared" si="45"/>
        <v>0</v>
      </c>
      <c r="DH13" s="37">
        <f t="shared" si="45"/>
        <v>0</v>
      </c>
      <c r="DI13" s="37">
        <f t="shared" si="45"/>
        <v>0</v>
      </c>
      <c r="DJ13" s="37">
        <f t="shared" si="45"/>
        <v>0</v>
      </c>
      <c r="DK13" s="37">
        <f t="shared" si="45"/>
        <v>0</v>
      </c>
      <c r="DL13" s="37">
        <f t="shared" si="45"/>
        <v>0</v>
      </c>
      <c r="DM13" s="37">
        <f t="shared" si="45"/>
        <v>0</v>
      </c>
      <c r="DN13" s="37">
        <f t="shared" si="45"/>
        <v>0</v>
      </c>
      <c r="DO13" s="37">
        <f t="shared" si="45"/>
        <v>0</v>
      </c>
      <c r="DP13" s="37">
        <f t="shared" si="45"/>
        <v>0</v>
      </c>
      <c r="DQ13" s="37">
        <f t="shared" si="45"/>
        <v>0</v>
      </c>
      <c r="DR13" s="37">
        <f t="shared" si="45"/>
        <v>0</v>
      </c>
      <c r="DS13" s="37">
        <f t="shared" si="45"/>
        <v>0</v>
      </c>
    </row>
    <row r="14" spans="1:124" x14ac:dyDescent="0.2">
      <c r="D14" s="37"/>
    </row>
    <row r="15" spans="1:124" x14ac:dyDescent="0.2">
      <c r="D15" s="37"/>
    </row>
    <row r="16" spans="1:124" x14ac:dyDescent="0.2">
      <c r="A16" s="54" t="s">
        <v>47</v>
      </c>
      <c r="B16" s="55"/>
      <c r="C16" s="55"/>
      <c r="D16" s="55"/>
      <c r="E16" s="55"/>
      <c r="F16" s="55"/>
    </row>
    <row r="17" spans="1:6" x14ac:dyDescent="0.2">
      <c r="A17" s="54" t="s">
        <v>48</v>
      </c>
      <c r="B17" s="55"/>
      <c r="C17" s="55"/>
      <c r="D17" s="55"/>
      <c r="E17" s="55"/>
      <c r="F17" s="55"/>
    </row>
    <row r="18" spans="1:6" x14ac:dyDescent="0.2">
      <c r="B18" s="142" t="s">
        <v>208</v>
      </c>
      <c r="C18" s="142" t="s">
        <v>209</v>
      </c>
      <c r="D18" s="142" t="s">
        <v>210</v>
      </c>
    </row>
    <row r="19" spans="1:6" x14ac:dyDescent="0.2">
      <c r="B19" s="143" t="s">
        <v>203</v>
      </c>
      <c r="C19" s="144" t="s">
        <v>204</v>
      </c>
      <c r="D19" s="143"/>
    </row>
    <row r="20" spans="1:6" x14ac:dyDescent="0.2">
      <c r="B20" s="143" t="s">
        <v>202</v>
      </c>
      <c r="C20" s="145">
        <f>_xlfn.NORM.S.DIST(-2,TRUE)*TotalTargetUnitsSold</f>
        <v>7962.5461818627173</v>
      </c>
      <c r="D20" s="146">
        <f>_xlfn.NORM.S.DIST(-2,TRUE)</f>
        <v>2.2750131948179191E-2</v>
      </c>
    </row>
    <row r="21" spans="1:6" x14ac:dyDescent="0.2">
      <c r="B21" s="143" t="s">
        <v>205</v>
      </c>
      <c r="C21" s="145">
        <f>_xlfn.NORM.S.DIST(-1,TRUE)*TotalTargetUnitsSold</f>
        <v>55529.338876009948</v>
      </c>
      <c r="D21" s="146">
        <f>_xlfn.NORM.S.DIST(-1,TRUE)</f>
        <v>0.15865525393145699</v>
      </c>
    </row>
    <row r="22" spans="1:6" x14ac:dyDescent="0.2">
      <c r="B22" s="143" t="s">
        <v>206</v>
      </c>
      <c r="C22" s="145">
        <f>_xlfn.NORM.S.DIST(0,TRUE)*TotalTargetUnitsSold</f>
        <v>175000</v>
      </c>
      <c r="D22" s="146">
        <f>_xlfn.NORM.S.DIST(0,TRUE)</f>
        <v>0.5</v>
      </c>
    </row>
    <row r="23" spans="1:6" x14ac:dyDescent="0.2">
      <c r="B23" s="143" t="s">
        <v>207</v>
      </c>
      <c r="C23" s="145">
        <f>_xlfn.NORM.S.DIST(1,TRUE)*TotalTargetUnitsSold</f>
        <v>294470.66112399008</v>
      </c>
      <c r="D23" s="146">
        <f>_xlfn.NORM.S.DIST(1,TRUE)</f>
        <v>0.84134474606854304</v>
      </c>
    </row>
    <row r="26" spans="1:6" x14ac:dyDescent="0.2">
      <c r="B26" s="61" t="s">
        <v>124</v>
      </c>
      <c r="C26" s="36">
        <f>SUM(D5:O5)</f>
        <v>9.3742119900457159E-3</v>
      </c>
      <c r="F26" s="36">
        <f>SUM(D6:O13)/(TotalUnitsSold1+TotalUnitsSold2+TotalUnitsSold3+TotalUnitsSold4+TotalUnitsSold5+TotalUnitsSold6+TotalUnitsSold7+TotalUnitsSold8)</f>
        <v>9.3742119900457142E-3</v>
      </c>
    </row>
    <row r="27" spans="1:6" x14ac:dyDescent="0.2">
      <c r="B27" s="61" t="s">
        <v>125</v>
      </c>
      <c r="C27" s="36">
        <f>SUM(P5:AA5)</f>
        <v>4.4075181677882158E-2</v>
      </c>
      <c r="F27" s="36">
        <f>SUM(P6:AA13)/(TotalUnitsSold1+TotalUnitsSold2+TotalUnitsSold3+TotalUnitsSold4+TotalUnitsSold5+TotalUnitsSold6+TotalUnitsSold7+TotalUnitsSold8)</f>
        <v>4.4075181677882151E-2</v>
      </c>
    </row>
    <row r="28" spans="1:6" x14ac:dyDescent="0.2">
      <c r="B28" s="61" t="s">
        <v>126</v>
      </c>
      <c r="C28" s="36">
        <f>SUM(AB5:AM5)</f>
        <v>0.12926083364720153</v>
      </c>
      <c r="F28" s="36">
        <f>SUM(AB6:AM13)/(TotalUnitsSold1+TotalUnitsSold2+TotalUnitsSold3+TotalUnitsSold4+TotalUnitsSold5+TotalUnitsSold6+TotalUnitsSold7+TotalUnitsSold8)</f>
        <v>0.12926083364720153</v>
      </c>
    </row>
    <row r="29" spans="1:6" x14ac:dyDescent="0.2">
      <c r="B29" s="61" t="s">
        <v>127</v>
      </c>
      <c r="C29" s="36">
        <f>SUM(AN5:AY5)</f>
        <v>0.2366801652141374</v>
      </c>
    </row>
    <row r="30" spans="1:6" x14ac:dyDescent="0.2">
      <c r="B30" s="61" t="s">
        <v>128</v>
      </c>
      <c r="C30" s="36">
        <f>SUM(AZ5:BK5)</f>
        <v>0.27072217071311622</v>
      </c>
    </row>
    <row r="31" spans="1:6" x14ac:dyDescent="0.2">
      <c r="B31" s="61" t="s">
        <v>129</v>
      </c>
      <c r="C31" s="36">
        <f>SUM(BL5:BW5)</f>
        <v>0.19346786850427866</v>
      </c>
    </row>
    <row r="32" spans="1:6" x14ac:dyDescent="0.2">
      <c r="B32" s="61" t="s">
        <v>130</v>
      </c>
      <c r="C32" s="36">
        <f>SUM(BX5:CI5)</f>
        <v>8.6353110405706479E-2</v>
      </c>
    </row>
    <row r="33" spans="2:3" x14ac:dyDescent="0.2">
      <c r="B33" s="61" t="s">
        <v>131</v>
      </c>
      <c r="C33" s="36">
        <f>SUM(CJ5:CU5)</f>
        <v>2.4055371792283009E-2</v>
      </c>
    </row>
    <row r="34" spans="2:3" x14ac:dyDescent="0.2">
      <c r="B34" s="61" t="s">
        <v>132</v>
      </c>
      <c r="C34" s="36">
        <f>SUM(CV5:DG5)</f>
        <v>4.1777638813349505E-3</v>
      </c>
    </row>
    <row r="35" spans="2:3" x14ac:dyDescent="0.2">
      <c r="B35" s="61" t="s">
        <v>133</v>
      </c>
      <c r="C35" s="36">
        <f>SUM(DH5:DS5)</f>
        <v>4.5175290055066153E-4</v>
      </c>
    </row>
    <row r="36" spans="2:3" x14ac:dyDescent="0.2">
      <c r="B36" s="58" t="s">
        <v>29</v>
      </c>
      <c r="C36" s="107">
        <f>SUM(C26:C35)+C4</f>
        <v>0.99996832875816688</v>
      </c>
    </row>
  </sheetData>
  <sheetProtection sheet="1" objects="1" scenarios="1" formatCells="0" formatColumns="0" formatRows="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Disclaimer</vt:lpstr>
      <vt:lpstr>Detailed Summary</vt:lpstr>
      <vt:lpstr>Valuation</vt:lpstr>
      <vt:lpstr>Charts</vt:lpstr>
      <vt:lpstr>Pre-Release</vt:lpstr>
      <vt:lpstr>Market Assumptions</vt:lpstr>
      <vt:lpstr>Assumptions</vt:lpstr>
      <vt:lpstr>DetailedForecast</vt:lpstr>
      <vt:lpstr>Gaussian</vt:lpstr>
      <vt:lpstr>Lists</vt:lpstr>
      <vt:lpstr>RepeatMatrix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2016-04-30T17:43:51Z</dcterms:modified>
</cp:coreProperties>
</file>