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hanekercheval/Dropbox (Personal)/gitrepos/tools/data/"/>
    </mc:Choice>
  </mc:AlternateContent>
  <bookViews>
    <workbookView xWindow="16840" yWindow="-28800" windowWidth="25600" windowHeight="28800" tabRatio="500"/>
  </bookViews>
  <sheets>
    <sheet name="Chi-square" sheetId="4" r:id="rId1"/>
    <sheet name="temp-play" sheetId="7" r:id="rId2"/>
    <sheet name="t-test" sheetId="6" r:id="rId3"/>
    <sheet name="t-test simple" sheetId="5" r:id="rId4"/>
    <sheet name="descriptive" sheetId="1" r:id="rId5"/>
    <sheet name="possible tests" sheetId="3" r:id="rId6"/>
    <sheet name="data" sheetId="2" r:id="rId7"/>
  </sheets>
  <definedNames>
    <definedName name="alpha">'t-test simple'!$B$8</definedName>
    <definedName name="degrees_of_freedom">'t-test simple'!$B$6</definedName>
    <definedName name="estimate_of_std_err_of_mean">'t-test simple'!$B$10</definedName>
    <definedName name="group1_iqr">descriptive!$B$11</definedName>
    <definedName name="group1_lower_outlier">descriptive!$B$12</definedName>
    <definedName name="group1_mean">descriptive!$B$5</definedName>
    <definedName name="group1_standard_deviation">descriptive!$B$8</definedName>
    <definedName name="group2_iqr">descriptive!$C$11</definedName>
    <definedName name="group2_mean">descriptive!$C$5</definedName>
    <definedName name="group2_standard_deviation">descriptive!$C$8</definedName>
    <definedName name="n_1">'t-test simple'!$B$3</definedName>
    <definedName name="n_2">'t-test simple'!$C$3</definedName>
    <definedName name="s_1">'t-test simple'!$B$4</definedName>
    <definedName name="s_2">'t-test simple'!$C$4</definedName>
    <definedName name="t_calc">'t-test simple'!$B$11</definedName>
    <definedName name="t_critical">'t-test simple'!$B$9</definedName>
    <definedName name="tails">'t-test simple'!$B$7</definedName>
    <definedName name="x_1">'t-test simple'!$B$2</definedName>
    <definedName name="x_2">'t-test simple'!$C$2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13" i="4" l="1"/>
  <c r="B113" i="4"/>
  <c r="D3" i="7"/>
  <c r="D4" i="7"/>
  <c r="D5" i="7"/>
  <c r="D2" i="7"/>
  <c r="B8" i="7"/>
  <c r="B10" i="7"/>
  <c r="E2" i="7"/>
  <c r="F2" i="7"/>
  <c r="G2" i="7"/>
  <c r="E3" i="7"/>
  <c r="F3" i="7"/>
  <c r="G3" i="7"/>
  <c r="E4" i="7"/>
  <c r="F4" i="7"/>
  <c r="G4" i="7"/>
  <c r="E5" i="7"/>
  <c r="F5" i="7"/>
  <c r="G5" i="7"/>
  <c r="G6" i="7"/>
  <c r="B11" i="7"/>
  <c r="B13" i="7"/>
  <c r="B12" i="7"/>
  <c r="C9" i="7"/>
  <c r="D6" i="7"/>
  <c r="B6" i="7"/>
  <c r="C41" i="4"/>
  <c r="D36" i="4"/>
  <c r="D2" i="6"/>
  <c r="B37" i="6"/>
  <c r="H2" i="6"/>
  <c r="C37" i="6"/>
  <c r="B38" i="6"/>
  <c r="E2" i="6"/>
  <c r="F2" i="6"/>
  <c r="D3" i="6"/>
  <c r="E3" i="6"/>
  <c r="F3" i="6"/>
  <c r="D4" i="6"/>
  <c r="E4" i="6"/>
  <c r="F4" i="6"/>
  <c r="D5" i="6"/>
  <c r="E5" i="6"/>
  <c r="F5"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16" i="6"/>
  <c r="E16" i="6"/>
  <c r="F16" i="6"/>
  <c r="F35" i="6"/>
  <c r="B39" i="6"/>
  <c r="C38" i="6"/>
  <c r="I2" i="6"/>
  <c r="J2" i="6"/>
  <c r="H3" i="6"/>
  <c r="I3" i="6"/>
  <c r="J3" i="6"/>
  <c r="H4" i="6"/>
  <c r="I4" i="6"/>
  <c r="J4" i="6"/>
  <c r="H5" i="6"/>
  <c r="I5" i="6"/>
  <c r="J5" i="6"/>
  <c r="H6" i="6"/>
  <c r="I6" i="6"/>
  <c r="J6" i="6"/>
  <c r="H7" i="6"/>
  <c r="I7" i="6"/>
  <c r="J7" i="6"/>
  <c r="H8" i="6"/>
  <c r="I8" i="6"/>
  <c r="J8" i="6"/>
  <c r="H9" i="6"/>
  <c r="I9" i="6"/>
  <c r="J9" i="6"/>
  <c r="H10" i="6"/>
  <c r="I10" i="6"/>
  <c r="J10" i="6"/>
  <c r="H11" i="6"/>
  <c r="I11" i="6"/>
  <c r="J11" i="6"/>
  <c r="H12" i="6"/>
  <c r="I12" i="6"/>
  <c r="J12" i="6"/>
  <c r="H13" i="6"/>
  <c r="I13" i="6"/>
  <c r="J13" i="6"/>
  <c r="H14" i="6"/>
  <c r="I14" i="6"/>
  <c r="J14" i="6"/>
  <c r="H15" i="6"/>
  <c r="I15" i="6"/>
  <c r="J15" i="6"/>
  <c r="H16" i="6"/>
  <c r="I16" i="6"/>
  <c r="J16" i="6"/>
  <c r="J35" i="6"/>
  <c r="C39" i="6"/>
  <c r="B45" i="6"/>
  <c r="B46" i="6"/>
  <c r="B41" i="6"/>
  <c r="C44" i="6"/>
  <c r="B44" i="6"/>
  <c r="B6" i="5"/>
  <c r="C9" i="5"/>
  <c r="B9" i="5"/>
  <c r="B10" i="5"/>
  <c r="B11" i="5"/>
  <c r="D287" i="4"/>
  <c r="D288" i="4"/>
  <c r="D289" i="4"/>
  <c r="D290" i="4"/>
  <c r="D291" i="4"/>
  <c r="B288" i="4"/>
  <c r="C288" i="4"/>
  <c r="E288" i="4"/>
  <c r="B287" i="4"/>
  <c r="C287" i="4"/>
  <c r="E287" i="4"/>
  <c r="B289" i="4"/>
  <c r="C289" i="4"/>
  <c r="E289" i="4"/>
  <c r="B290" i="4"/>
  <c r="C290" i="4"/>
  <c r="E290" i="4"/>
  <c r="E291" i="4"/>
  <c r="F288" i="4"/>
  <c r="C304" i="4"/>
  <c r="F289" i="4"/>
  <c r="C305" i="4"/>
  <c r="F290" i="4"/>
  <c r="C306" i="4"/>
  <c r="F287" i="4"/>
  <c r="C303" i="4"/>
  <c r="C291" i="4"/>
  <c r="C300" i="4"/>
  <c r="C301" i="4"/>
  <c r="C302" i="4"/>
  <c r="C299" i="4"/>
  <c r="B291" i="4"/>
  <c r="C296" i="4"/>
  <c r="C297" i="4"/>
  <c r="C298" i="4"/>
  <c r="C295" i="4"/>
  <c r="B295" i="4"/>
  <c r="D295" i="4"/>
  <c r="E295" i="4"/>
  <c r="F295" i="4"/>
  <c r="B296" i="4"/>
  <c r="D296" i="4"/>
  <c r="E296" i="4"/>
  <c r="F296" i="4"/>
  <c r="B297" i="4"/>
  <c r="D297" i="4"/>
  <c r="E297" i="4"/>
  <c r="F297" i="4"/>
  <c r="B298" i="4"/>
  <c r="D298" i="4"/>
  <c r="E298" i="4"/>
  <c r="F298" i="4"/>
  <c r="B299" i="4"/>
  <c r="D299" i="4"/>
  <c r="E299" i="4"/>
  <c r="F299" i="4"/>
  <c r="B300" i="4"/>
  <c r="D300" i="4"/>
  <c r="E300" i="4"/>
  <c r="F300" i="4"/>
  <c r="B301" i="4"/>
  <c r="D301" i="4"/>
  <c r="E301" i="4"/>
  <c r="F301" i="4"/>
  <c r="B302" i="4"/>
  <c r="D302" i="4"/>
  <c r="E302" i="4"/>
  <c r="F302" i="4"/>
  <c r="B303" i="4"/>
  <c r="D303" i="4"/>
  <c r="E303" i="4"/>
  <c r="F303" i="4"/>
  <c r="B304" i="4"/>
  <c r="D304" i="4"/>
  <c r="E304" i="4"/>
  <c r="F304" i="4"/>
  <c r="B305" i="4"/>
  <c r="D305" i="4"/>
  <c r="E305" i="4"/>
  <c r="F305" i="4"/>
  <c r="B306" i="4"/>
  <c r="D306" i="4"/>
  <c r="E306" i="4"/>
  <c r="F306" i="4"/>
  <c r="F307" i="4"/>
  <c r="A304" i="4"/>
  <c r="A305" i="4"/>
  <c r="A306" i="4"/>
  <c r="A303" i="4"/>
  <c r="A300" i="4"/>
  <c r="A301" i="4"/>
  <c r="A302" i="4"/>
  <c r="A299" i="4"/>
  <c r="A296" i="4"/>
  <c r="A297" i="4"/>
  <c r="A298" i="4"/>
  <c r="A295" i="4"/>
  <c r="F291" i="4"/>
  <c r="E292" i="4"/>
  <c r="D292" i="4"/>
  <c r="C292" i="4"/>
  <c r="B292" i="4"/>
  <c r="B310" i="4"/>
  <c r="B312" i="4"/>
  <c r="B207" i="4"/>
  <c r="B208" i="4"/>
  <c r="B209" i="4"/>
  <c r="C207" i="4"/>
  <c r="C208" i="4"/>
  <c r="C209" i="4"/>
  <c r="D207" i="4"/>
  <c r="D208" i="4"/>
  <c r="D209" i="4"/>
  <c r="B313" i="4"/>
  <c r="B315" i="4"/>
  <c r="B314" i="4"/>
  <c r="C311" i="4"/>
  <c r="B214" i="4"/>
  <c r="E208" i="4"/>
  <c r="E207" i="4"/>
  <c r="E209" i="4"/>
  <c r="F208" i="4"/>
  <c r="C214" i="4"/>
  <c r="D214" i="4"/>
  <c r="E214" i="4"/>
  <c r="F214" i="4"/>
  <c r="B213" i="4"/>
  <c r="F207" i="4"/>
  <c r="C213" i="4"/>
  <c r="D213" i="4"/>
  <c r="E213" i="4"/>
  <c r="F213" i="4"/>
  <c r="B215" i="4"/>
  <c r="C215" i="4"/>
  <c r="D215" i="4"/>
  <c r="E215" i="4"/>
  <c r="F215" i="4"/>
  <c r="B216" i="4"/>
  <c r="C216" i="4"/>
  <c r="D216" i="4"/>
  <c r="E216" i="4"/>
  <c r="F216" i="4"/>
  <c r="B217" i="4"/>
  <c r="C217" i="4"/>
  <c r="D217" i="4"/>
  <c r="E217" i="4"/>
  <c r="F217" i="4"/>
  <c r="B218" i="4"/>
  <c r="C218" i="4"/>
  <c r="D218" i="4"/>
  <c r="E218" i="4"/>
  <c r="F218" i="4"/>
  <c r="F219" i="4"/>
  <c r="A218" i="4"/>
  <c r="A217" i="4"/>
  <c r="B222" i="4"/>
  <c r="B224" i="4"/>
  <c r="B225" i="4"/>
  <c r="B227" i="4"/>
  <c r="B226" i="4"/>
  <c r="C223" i="4"/>
  <c r="A216" i="4"/>
  <c r="A215" i="4"/>
  <c r="A214" i="4"/>
  <c r="A213" i="4"/>
  <c r="F209" i="4"/>
  <c r="B210" i="4"/>
  <c r="C210" i="4"/>
  <c r="D210" i="4"/>
  <c r="E210" i="4"/>
  <c r="C162" i="4"/>
  <c r="B162" i="4"/>
  <c r="C161" i="4"/>
  <c r="B161" i="4"/>
  <c r="A170" i="4"/>
  <c r="A169" i="4"/>
  <c r="A168" i="4"/>
  <c r="A167" i="4"/>
  <c r="A121" i="4"/>
  <c r="A120" i="4"/>
  <c r="A119" i="4"/>
  <c r="A118" i="4"/>
  <c r="D162" i="4"/>
  <c r="D161" i="4"/>
  <c r="D163" i="4"/>
  <c r="E162" i="4"/>
  <c r="E161" i="4"/>
  <c r="B174" i="4"/>
  <c r="B176" i="4"/>
  <c r="B167" i="4"/>
  <c r="B163" i="4"/>
  <c r="C167" i="4"/>
  <c r="D167" i="4"/>
  <c r="E167" i="4"/>
  <c r="F167" i="4"/>
  <c r="B168" i="4"/>
  <c r="C168" i="4"/>
  <c r="D168" i="4"/>
  <c r="E168" i="4"/>
  <c r="F168" i="4"/>
  <c r="B169" i="4"/>
  <c r="C163" i="4"/>
  <c r="C169" i="4"/>
  <c r="D169" i="4"/>
  <c r="E169" i="4"/>
  <c r="F169" i="4"/>
  <c r="B170" i="4"/>
  <c r="C170" i="4"/>
  <c r="D170" i="4"/>
  <c r="E170" i="4"/>
  <c r="F170" i="4"/>
  <c r="F171" i="4"/>
  <c r="B177" i="4"/>
  <c r="B179" i="4"/>
  <c r="B178" i="4"/>
  <c r="C175" i="4"/>
  <c r="C164" i="4"/>
  <c r="B164" i="4"/>
  <c r="D164" i="4"/>
  <c r="E163" i="4"/>
  <c r="B19" i="4"/>
  <c r="B18" i="4"/>
  <c r="B17" i="4"/>
  <c r="B16" i="4"/>
  <c r="B119" i="4"/>
  <c r="D113" i="4"/>
  <c r="D112" i="4"/>
  <c r="D114" i="4"/>
  <c r="E113" i="4"/>
  <c r="C119" i="4"/>
  <c r="D119" i="4"/>
  <c r="E119" i="4"/>
  <c r="F119" i="4"/>
  <c r="B120" i="4"/>
  <c r="E112" i="4"/>
  <c r="C120" i="4"/>
  <c r="D120" i="4"/>
  <c r="E120" i="4"/>
  <c r="F120" i="4"/>
  <c r="B121" i="4"/>
  <c r="C121" i="4"/>
  <c r="D121" i="4"/>
  <c r="E121" i="4"/>
  <c r="F121" i="4"/>
  <c r="B118" i="4"/>
  <c r="C118" i="4"/>
  <c r="D118" i="4"/>
  <c r="E118" i="4"/>
  <c r="F118" i="4"/>
  <c r="F122" i="4"/>
  <c r="B128" i="4"/>
  <c r="B125" i="4"/>
  <c r="C126" i="4"/>
  <c r="B127" i="4"/>
  <c r="D115" i="4"/>
  <c r="E114" i="4"/>
  <c r="B23" i="4"/>
  <c r="B99" i="4"/>
  <c r="C86" i="4"/>
  <c r="E84" i="4"/>
  <c r="E85" i="4"/>
  <c r="E86" i="4"/>
  <c r="C87" i="4"/>
  <c r="C91" i="4"/>
  <c r="D91" i="4"/>
  <c r="E91" i="4"/>
  <c r="F91" i="4"/>
  <c r="D86" i="4"/>
  <c r="D87" i="4"/>
  <c r="C92" i="4"/>
  <c r="D92" i="4"/>
  <c r="E92" i="4"/>
  <c r="F92" i="4"/>
  <c r="C94" i="4"/>
  <c r="D94" i="4"/>
  <c r="E94" i="4"/>
  <c r="F94" i="4"/>
  <c r="C95" i="4"/>
  <c r="D95" i="4"/>
  <c r="E95" i="4"/>
  <c r="F95" i="4"/>
  <c r="B86" i="4"/>
  <c r="B87" i="4"/>
  <c r="C90" i="4"/>
  <c r="D90" i="4"/>
  <c r="E90" i="4"/>
  <c r="F90" i="4"/>
  <c r="C93" i="4"/>
  <c r="D93" i="4"/>
  <c r="E93" i="4"/>
  <c r="F93" i="4"/>
  <c r="F96" i="4"/>
  <c r="B102" i="4"/>
  <c r="B101" i="4"/>
  <c r="B104" i="4"/>
  <c r="B103" i="4"/>
  <c r="E87" i="4"/>
  <c r="F85" i="4"/>
  <c r="F84" i="4"/>
  <c r="F86" i="4"/>
  <c r="B59" i="4"/>
  <c r="C64" i="4"/>
  <c r="D59" i="4"/>
  <c r="D66" i="4"/>
  <c r="B60" i="4"/>
  <c r="D60" i="4"/>
  <c r="D67" i="4"/>
  <c r="B61" i="4"/>
  <c r="D61" i="4"/>
  <c r="D68" i="4"/>
  <c r="B62" i="4"/>
  <c r="D62" i="4"/>
  <c r="B63" i="4"/>
  <c r="D63" i="4"/>
  <c r="D69" i="4"/>
  <c r="D70" i="4"/>
  <c r="C66" i="4"/>
  <c r="C67" i="4"/>
  <c r="C68" i="4"/>
  <c r="C69" i="4"/>
  <c r="C70" i="4"/>
  <c r="B66" i="4"/>
  <c r="B67" i="4"/>
  <c r="B68" i="4"/>
  <c r="B69" i="4"/>
  <c r="B70" i="4"/>
  <c r="B72" i="4"/>
  <c r="B74" i="4"/>
  <c r="E66" i="4"/>
  <c r="F66" i="4"/>
  <c r="G66" i="4"/>
  <c r="E67" i="4"/>
  <c r="F67" i="4"/>
  <c r="G67" i="4"/>
  <c r="E68" i="4"/>
  <c r="F68" i="4"/>
  <c r="G68" i="4"/>
  <c r="E69" i="4"/>
  <c r="F69" i="4"/>
  <c r="G69" i="4"/>
  <c r="G70" i="4"/>
  <c r="B75" i="4"/>
  <c r="B77" i="4"/>
  <c r="B76" i="4"/>
  <c r="A67" i="4"/>
  <c r="A68" i="4"/>
  <c r="A66" i="4"/>
  <c r="D64" i="4"/>
  <c r="B64" i="4"/>
  <c r="B25" i="4"/>
  <c r="B43" i="4"/>
  <c r="B45" i="4"/>
  <c r="D37" i="4"/>
  <c r="E37" i="4"/>
  <c r="F37" i="4"/>
  <c r="G37" i="4"/>
  <c r="D38" i="4"/>
  <c r="E38" i="4"/>
  <c r="F38" i="4"/>
  <c r="G38" i="4"/>
  <c r="D39" i="4"/>
  <c r="E39" i="4"/>
  <c r="F39" i="4"/>
  <c r="G39" i="4"/>
  <c r="D40" i="4"/>
  <c r="E40" i="4"/>
  <c r="F40" i="4"/>
  <c r="G40" i="4"/>
  <c r="E36" i="4"/>
  <c r="F36" i="4"/>
  <c r="G36" i="4"/>
  <c r="G41" i="4"/>
  <c r="B46" i="4"/>
  <c r="B48" i="4"/>
  <c r="B47" i="4"/>
  <c r="C44" i="4"/>
  <c r="D41" i="4"/>
  <c r="B41" i="4"/>
  <c r="D11" i="4"/>
  <c r="D12" i="4"/>
  <c r="E11" i="4"/>
  <c r="C13" i="4"/>
  <c r="C17" i="4"/>
  <c r="D17" i="4"/>
  <c r="E17" i="4"/>
  <c r="F17" i="4"/>
  <c r="E12" i="4"/>
  <c r="B13" i="4"/>
  <c r="C18" i="4"/>
  <c r="D18" i="4"/>
  <c r="E18" i="4"/>
  <c r="F18" i="4"/>
  <c r="C19" i="4"/>
  <c r="D19" i="4"/>
  <c r="E19" i="4"/>
  <c r="F19" i="4"/>
  <c r="C16" i="4"/>
  <c r="D16" i="4"/>
  <c r="E16" i="4"/>
  <c r="F16" i="4"/>
  <c r="F20" i="4"/>
  <c r="B26" i="4"/>
  <c r="B28" i="4"/>
  <c r="B27" i="4"/>
  <c r="C24" i="4"/>
  <c r="D13" i="4"/>
  <c r="F12" i="4"/>
  <c r="I12" i="4"/>
  <c r="F11" i="4"/>
  <c r="I11" i="4"/>
  <c r="H10" i="4"/>
  <c r="K10" i="4"/>
  <c r="G10" i="4"/>
  <c r="J10" i="4"/>
  <c r="G12" i="4"/>
  <c r="J12" i="4"/>
  <c r="H12" i="4"/>
  <c r="K12" i="4"/>
  <c r="H11" i="4"/>
  <c r="K11" i="4"/>
  <c r="G11" i="4"/>
  <c r="J11" i="4"/>
  <c r="C11" i="1"/>
  <c r="C13" i="1"/>
  <c r="C12" i="1"/>
  <c r="B11" i="1"/>
  <c r="B13" i="1"/>
  <c r="C5" i="1"/>
  <c r="C8" i="1"/>
  <c r="C10" i="1"/>
  <c r="C9" i="1"/>
  <c r="B5" i="1"/>
  <c r="B8" i="1"/>
  <c r="B10" i="1"/>
  <c r="B9" i="1"/>
  <c r="C7" i="1"/>
  <c r="C6" i="1"/>
  <c r="B7" i="1"/>
  <c r="B6" i="1"/>
  <c r="H4" i="2"/>
  <c r="H6" i="2"/>
  <c r="E2" i="2"/>
  <c r="E3" i="2"/>
  <c r="H3" i="2"/>
  <c r="E4" i="2"/>
  <c r="E5" i="2"/>
  <c r="H5" i="2"/>
  <c r="E6" i="2"/>
  <c r="E7" i="2"/>
  <c r="E8" i="2"/>
  <c r="E9" i="2"/>
  <c r="E10" i="2"/>
  <c r="E11" i="2"/>
  <c r="B12" i="1"/>
  <c r="C115" i="4"/>
  <c r="B115" i="4"/>
  <c r="B130" i="4"/>
  <c r="B129" i="4"/>
</calcChain>
</file>

<file path=xl/comments1.xml><?xml version="1.0" encoding="utf-8"?>
<comments xmlns="http://schemas.openxmlformats.org/spreadsheetml/2006/main">
  <authors>
    <author>shane kercheval</author>
  </authors>
  <commentList>
    <comment ref="B59" authorId="0">
      <text>
        <r>
          <rPr>
            <b/>
            <sz val="10"/>
            <color indexed="81"/>
            <rFont val="Calibri"/>
          </rPr>
          <t>Probability of 0 successes with 4 independent trials, with a probability of 30% for each trial</t>
        </r>
      </text>
    </comment>
  </commentList>
</comments>
</file>

<file path=xl/sharedStrings.xml><?xml version="1.0" encoding="utf-8"?>
<sst xmlns="http://schemas.openxmlformats.org/spreadsheetml/2006/main" count="632" uniqueCount="245">
  <si>
    <t>data type</t>
  </si>
  <si>
    <t>level of measurement</t>
  </si>
  <si>
    <t>ratio</t>
  </si>
  <si>
    <t>calls per day</t>
  </si>
  <si>
    <t>alpha</t>
  </si>
  <si>
    <t>histogram upper limit</t>
  </si>
  <si>
    <t>histogram # of intervals</t>
  </si>
  <si>
    <t>start</t>
  </si>
  <si>
    <t>finish</t>
  </si>
  <si>
    <t>highest number</t>
  </si>
  <si>
    <t>lowest number</t>
  </si>
  <si>
    <t>multiple</t>
  </si>
  <si>
    <t>Bin</t>
  </si>
  <si>
    <t>More</t>
  </si>
  <si>
    <t>Frequency</t>
  </si>
  <si>
    <t>Tools-&gt;Data Analysis-&gt;Histogram</t>
  </si>
  <si>
    <t>standard deviation</t>
  </si>
  <si>
    <t>Group 1</t>
  </si>
  <si>
    <t>Group 2</t>
  </si>
  <si>
    <t>mean + 2std</t>
  </si>
  <si>
    <t>mean - 2std</t>
  </si>
  <si>
    <t>Research Question</t>
  </si>
  <si>
    <t>Degree of Relationship</t>
  </si>
  <si>
    <t>Number &amp; Type of Independent Variable (IV)</t>
  </si>
  <si>
    <t>Type of Dependent Variable (DV)</t>
  </si>
  <si>
    <t>Test</t>
  </si>
  <si>
    <t>Goal</t>
  </si>
  <si>
    <t>Acceptable Level of Measurement</t>
  </si>
  <si>
    <t>Nominal variables</t>
  </si>
  <si>
    <t>are organized into non-numeric categories that cannot be ranked or compared quantitatively. This type of data is often referred to as qualitative. (e.g. male/female)</t>
  </si>
  <si>
    <t>Ordinal variables</t>
  </si>
  <si>
    <t>are organized into rankable categories. (e.g. educational attainment: high school diploma, collect, master's degree, doctorate)</t>
  </si>
  <si>
    <t>Interval variables</t>
  </si>
  <si>
    <t>have an exact interval between categories, allowing for a direct comparison between categories, such that the difference between any two sequential data points is exactly the same as the difference between any other two sequential data points. (e.g. time of day, shoe size)</t>
  </si>
  <si>
    <t>Ratio variables</t>
  </si>
  <si>
    <t>have all of the characteristics of nominal, ordinal and interval variables, but also have a meaningful zero point. (e.g. weight)</t>
  </si>
  <si>
    <t>Quantitative</t>
  </si>
  <si>
    <t>1 quantitative</t>
  </si>
  <si>
    <t>Correlation</t>
  </si>
  <si>
    <t>Regression</t>
  </si>
  <si>
    <t>Multiple Regression</t>
  </si>
  <si>
    <t>&gt; 1 mixed (quantitative and qualitative)</t>
  </si>
  <si>
    <t>Qualitative</t>
  </si>
  <si>
    <t>1 qualitative</t>
  </si>
  <si>
    <t>&gt; 1 qualitative</t>
  </si>
  <si>
    <t>Chi-square</t>
  </si>
  <si>
    <t>Group Differences</t>
  </si>
  <si>
    <t>1 qualitative (2 categories)</t>
  </si>
  <si>
    <t>t-test</t>
  </si>
  <si>
    <t>z-test</t>
  </si>
  <si>
    <t>One-way ANOVA</t>
  </si>
  <si>
    <t>1 qualitative (&gt;2 categories)</t>
  </si>
  <si>
    <t>2 qualitative</t>
  </si>
  <si>
    <t>Two-way ANOVA</t>
  </si>
  <si>
    <t>z-test (two proportions)</t>
  </si>
  <si>
    <t>one-tailed or two-tailed hypotheses</t>
  </si>
  <si>
    <t>only for two-tailed hypotheses</t>
  </si>
  <si>
    <t>mode</t>
  </si>
  <si>
    <t>mean (average)</t>
  </si>
  <si>
    <t>median</t>
  </si>
  <si>
    <t>Ok to compute</t>
  </si>
  <si>
    <t>Nominal</t>
  </si>
  <si>
    <t>Ordinal</t>
  </si>
  <si>
    <t>Interval</t>
  </si>
  <si>
    <t>Ratio</t>
  </si>
  <si>
    <t>frequency distribution</t>
  </si>
  <si>
    <t>median and percentiles</t>
  </si>
  <si>
    <t>add or substract</t>
  </si>
  <si>
    <t>ratio, or coefficient of variation</t>
  </si>
  <si>
    <t>yes</t>
  </si>
  <si>
    <t>mean, standard deviation, standard error of the mean.</t>
  </si>
  <si>
    <t>no</t>
  </si>
  <si>
    <t>the standard deviation is a measure of how spread out the numbers are</t>
  </si>
  <si>
    <t>if the data is a bell-shaped distribution, the empirical rule says that we would expect 95% of the values will fall with 2 stds; if the data doesn't follow a bell-shaped distribution/curve, Chebyshev's Theorem says that we should expect at least 75% of the values to fall within 2 stds</t>
  </si>
  <si>
    <t>Interquartile Range (IQR)</t>
  </si>
  <si>
    <t>Q1 - 1.5IQR</t>
  </si>
  <si>
    <t>values in the data set that are less than this number are outliers</t>
  </si>
  <si>
    <t>values in the data set that are greater than this number are outliers</t>
  </si>
  <si>
    <t>Q3 + 1.5IQR</t>
  </si>
  <si>
    <t>the IQR measures the spread of the center half of our data and is used to identify outliers ( &gt; Q3 - 1.5IQR or &lt; Q1 - 1.5IQR); note: using QUARTILE.EX which uses n+1 and gives better estimate of actual outliers (http://datapigtechnologies.com/blog/index.php/why-excel-has-multiple-quartile-functions-and-how-to-replicate-the-quartiles-from-r-and-other-statistical-packages/)</t>
  </si>
  <si>
    <t>Observed</t>
  </si>
  <si>
    <t>Men</t>
  </si>
  <si>
    <t>Women</t>
  </si>
  <si>
    <t>Cheated</t>
  </si>
  <si>
    <t>Not Cheated</t>
  </si>
  <si>
    <t>Expected</t>
  </si>
  <si>
    <t>Differences</t>
  </si>
  <si>
    <t>Observation</t>
  </si>
  <si>
    <t>O - E</t>
  </si>
  <si>
    <t>5-star</t>
  </si>
  <si>
    <t>4-star</t>
  </si>
  <si>
    <t>3-star</t>
  </si>
  <si>
    <t>2-star</t>
  </si>
  <si>
    <t>1-star</t>
  </si>
  <si>
    <t>so we calculate the expected values based on the total number of men and women and the total number of people who cheated or did not cheat</t>
  </si>
  <si>
    <t>it looks like 8 more men cheated than we expected and there were 8 fewer women who cheated than we would have expected. So we think men cheated more than women, but is it statistically significant?</t>
  </si>
  <si>
    <t>here we have an expected movie-rating distribution of a particular movie, and then we collect the actual observed numbers out of 400 people; are the expected movie ratings true?</t>
  </si>
  <si>
    <t>Observed (O)</t>
  </si>
  <si>
    <t>Expected Frequency</t>
  </si>
  <si>
    <t>Expected (E) O - E</t>
  </si>
  <si>
    <t>Group</t>
  </si>
  <si>
    <t>WC</t>
  </si>
  <si>
    <t>WNC</t>
  </si>
  <si>
    <t>MC (Men Cheated)</t>
  </si>
  <si>
    <t>MNC (Men Not Cheated)</t>
  </si>
  <si>
    <t>same thing just arranged the table in a single column, but it doesn't change the logic</t>
  </si>
  <si>
    <t>(O - E)^2</t>
  </si>
  <si>
    <t>(O - E)^2 / E</t>
  </si>
  <si>
    <t>CHI-SQUARE (TOTAL)</t>
  </si>
  <si>
    <t>degrees of freedom</t>
  </si>
  <si>
    <t># of categories</t>
  </si>
  <si>
    <t>Alternative Hypothesis:</t>
  </si>
  <si>
    <t>Null Hypothesis:</t>
  </si>
  <si>
    <t>The actual rating distribution differs from the expected distribution</t>
  </si>
  <si>
    <t>Critical Value</t>
  </si>
  <si>
    <t>the critical value indicates the point at which if our calculated CHI-Square value is greater then the critical value, that means that there was a large enough significance that a difference was detected and we should reject the null hypothesis (that there is no difference)</t>
  </si>
  <si>
    <t>the level of significance; the probability of rejecting the truth (i.e. type I error)</t>
  </si>
  <si>
    <t>Calculated CHI-SQUARE</t>
  </si>
  <si>
    <t>REJECT NULL?</t>
  </si>
  <si>
    <t>FAIL TO REJECT NULL?</t>
  </si>
  <si>
    <t>Uses a sample to test whether a frequency distribution fits the predicted distribution.</t>
  </si>
  <si>
    <t>example from EDX (NotreDameX: SOC120x I Heart Stats) here we have observed rates of cheating and we're trying to find out if there is a difference between men and women. Since we know that there are 40% of people who cheated, we would expect 40% of men and 40% of women cheated.</t>
  </si>
  <si>
    <t>example from Idiots Guide to Statistics pg 275</t>
  </si>
  <si>
    <t>BINOMIAL DISTRIBUTION GOODNESS-OF-FIT</t>
  </si>
  <si>
    <t>example from Idiots Guide to Statistics page 280</t>
  </si>
  <si>
    <t>here we have a claim that the probabiliy of a certain baseball player will get a hit at any give time is 30 percent, a777</t>
  </si>
  <si>
    <t>The actual rating distribution can be described by the expected distribution</t>
  </si>
  <si>
    <t>The distribution of hits by the baseball player can be discribed with the binomial probability distribution using p=0.30 (probably of success of any given trial/hit)</t>
  </si>
  <si>
    <t>The distribution of hits by the baseball player differs from the binomial probability distribution using p=0.30 (probably of success of any given trial/hit)</t>
  </si>
  <si>
    <t>p</t>
  </si>
  <si>
    <t>n</t>
  </si>
  <si>
    <t>p = probabiliy of success</t>
  </si>
  <si>
    <t>n = number of trials per sample (i.e. number of hits per game)</t>
  </si>
  <si>
    <t>Number of Hits Per Game</t>
  </si>
  <si>
    <t>When using the chi-square test, we need at least five observations in each of the expected frequency categories.</t>
  </si>
  <si>
    <t>3 to 4</t>
  </si>
  <si>
    <t>we still use the chi-square score to compare even though we used the binomial distribution</t>
  </si>
  <si>
    <t>so there isn't enough evidence to conclude the distribution is different than p=0.30.. So is claim is not invalidated (even though we would never say that it is identical to the p=0.30 distribution)</t>
  </si>
  <si>
    <t>INDEPENDENCE - the chi-square test of independence will determine whether the proportion of different groups (e.g. men vs women) is different</t>
  </si>
  <si>
    <t>INDEPENDENCE - the chi-square test of independence will determine whether the proportion of different groups (e.g. times ranges that debbie wins) is different</t>
  </si>
  <si>
    <t>Goodness-of-Fit - The chi-squre goodness-of-fit uses a sample to test whether a freqnecy distribution fits the predicted distribution</t>
  </si>
  <si>
    <t>Debbie Wins</t>
  </si>
  <si>
    <t>Bob Wins (i.e. debbie loses)</t>
  </si>
  <si>
    <t>0-10 min</t>
  </si>
  <si>
    <t>here we hae debbie's number of wins against bob (tennis) categorized by the length (min) of warming up</t>
  </si>
  <si>
    <t>11-20min</t>
  </si>
  <si>
    <t>more than 20 min</t>
  </si>
  <si>
    <t>Total</t>
  </si>
  <si>
    <t>Percent</t>
  </si>
  <si>
    <t>warm-up time is independent of performance (proportions are not statistically different)</t>
  </si>
  <si>
    <t>warm-up time affects performance (proportions are statistically different)</t>
  </si>
  <si>
    <t>The actual rating distribution differs from the expected distribution (gender affects cheating; proportions are statistically different)</t>
  </si>
  <si>
    <t>The actual distribution can be described by the expected distribution (gender is independent of cheating; proportions are not statistically different)</t>
  </si>
  <si>
    <t>D&lt;=10</t>
  </si>
  <si>
    <t>D&lt;=20</t>
  </si>
  <si>
    <t>D&gt;20</t>
  </si>
  <si>
    <t>B&lt;=10</t>
  </si>
  <si>
    <t>B&lt;=20</t>
  </si>
  <si>
    <t>B&gt;20</t>
  </si>
  <si>
    <t># of rows</t>
  </si>
  <si>
    <t># of columns</t>
  </si>
  <si>
    <t>so we can reject the null and say that the proportions in categories (warm of time) are statistically different (i.e. warm up time matters)</t>
  </si>
  <si>
    <t>in test of independence with contingency table, we calculate degrees of freedom using (r-1)(c-1)</t>
  </si>
  <si>
    <t>INDEPENDENCE - the chi-square test of independence will determine whether the proportion of different groups (e.g. clicks vs. nonclicks) is different</t>
  </si>
  <si>
    <t>there is a difference between click-through rates  between pages A &amp; B</t>
  </si>
  <si>
    <t>clicks</t>
  </si>
  <si>
    <t>non-clicks</t>
  </si>
  <si>
    <t>impressions (Total)</t>
  </si>
  <si>
    <t>A</t>
  </si>
  <si>
    <t>B</t>
  </si>
  <si>
    <t>%</t>
  </si>
  <si>
    <t>no difference in CTR (i.e. clicks vs non-clicks) between pages A &amp; B</t>
  </si>
  <si>
    <t>so we fail to reject the null which means that there is no statistically significant difference between A &amp; B</t>
  </si>
  <si>
    <t>=p</t>
  </si>
  <si>
    <t>p value is the probability of observing the difference as large as it was (needs to be less than alpha, which is the maximum probability of rejecting a type I error)</t>
  </si>
  <si>
    <t>Chi DIST function returns the cumulative up the the X point (area under the curve that is left of the point), we want the probability (cumulative area under the curve after X) so we do 1-CHIDIST</t>
  </si>
  <si>
    <t>here we have an example from the following link where someone a/b tested click-through rates (http://stats.stackexchange.com/questions/63518/chi-square-independence-test-for-a-b-split-testing)</t>
  </si>
  <si>
    <t>http://stats.stackexchange.com/questions/63518/chi-square-independence-test-for-a-b-split-testing</t>
  </si>
  <si>
    <t>Cat Ownership (Cat or No Cat)</t>
  </si>
  <si>
    <t>Toilet Paper Orientation</t>
  </si>
  <si>
    <t>No Cat</t>
  </si>
  <si>
    <t>Over</t>
  </si>
  <si>
    <t>Cat</t>
  </si>
  <si>
    <t>Under</t>
  </si>
  <si>
    <t>Alternative (Research) Hypothesis:</t>
  </si>
  <si>
    <t>cat ownership and preference for toilet paper placement are significantly related</t>
  </si>
  <si>
    <t>cat ownership and toilet paper orientation are not significantly related</t>
  </si>
  <si>
    <t>so we reject the null hypotheses and conclude that at the alpha level, there is a statistical significance in the relationship between cat ownership and toilet paper placement</t>
  </si>
  <si>
    <t>(EDX NotreDameX: SOC120x) In many countries, women have a choice about where to deliver their babies -- in a hospital, in a birthing center, or at home. Is the decision about where to deliver one's baby related to the education level of the mother? The dataset below comes from a study of women who have recently given birth. Use these data to examine the relationship between mother's education level and birthing location.</t>
  </si>
  <si>
    <t>Education Level</t>
  </si>
  <si>
    <t>Birthing Location</t>
  </si>
  <si>
    <t>college</t>
  </si>
  <si>
    <t>birthing center</t>
  </si>
  <si>
    <t>hospital</t>
  </si>
  <si>
    <t>high school</t>
  </si>
  <si>
    <t>home</t>
  </si>
  <si>
    <t>education level and birthing location are not significantly related</t>
  </si>
  <si>
    <t>education level and birthing location are significantly related</t>
  </si>
  <si>
    <t>total</t>
  </si>
  <si>
    <t>so we fail to reject the null and conclude that there is not enough evidence (statistical significance) to conclude that education level and birthing location are related</t>
  </si>
  <si>
    <t>(EDX NotreDameX: SOC120x) Your brother has been asked to organize the annual company party and is trying to decide on a location. He talks with colleagues from three different departments about the party, and thinks he might have found that preference for party location varies by department. Use the Chi square test with the data below to determine if the relationship between location preference and department is significant.</t>
  </si>
  <si>
    <t>Department</t>
  </si>
  <si>
    <t>Location Preference</t>
  </si>
  <si>
    <t>human resources</t>
  </si>
  <si>
    <t>park</t>
  </si>
  <si>
    <t>restaurant</t>
  </si>
  <si>
    <t>boss's house</t>
  </si>
  <si>
    <t>ice skating rink</t>
  </si>
  <si>
    <t>accounting</t>
  </si>
  <si>
    <t>customer service</t>
  </si>
  <si>
    <t>department and location preference are not significantly related</t>
  </si>
  <si>
    <t>department and location preference are significantly related</t>
  </si>
  <si>
    <t>so we fail to reject the null and conclude that there is not enough evidence (statistical significance) to conclude that department and location preference are related</t>
  </si>
  <si>
    <t>column = independent variable</t>
  </si>
  <si>
    <t>rows = dependent variable</t>
  </si>
  <si>
    <t>G1</t>
  </si>
  <si>
    <t>G2</t>
  </si>
  <si>
    <t>mean</t>
  </si>
  <si>
    <t>sample size (n)</t>
  </si>
  <si>
    <t>standard error of the mean</t>
  </si>
  <si>
    <t>t-critical</t>
  </si>
  <si>
    <t>t-calculated</t>
  </si>
  <si>
    <t>one or two tail</t>
  </si>
  <si>
    <t>null hypothesis</t>
  </si>
  <si>
    <t>alternative hypothesis</t>
  </si>
  <si>
    <t>x_1 &gt; x_2 or x_1 &lt; x_2</t>
  </si>
  <si>
    <t xml:space="preserve">x_1 &lt;= x_2 or x_1&gt;=x_2 </t>
  </si>
  <si>
    <t>x_1 == x_2</t>
  </si>
  <si>
    <t>x_1 != x_2</t>
  </si>
  <si>
    <t>mean  x1</t>
  </si>
  <si>
    <t>x1 - mean</t>
  </si>
  <si>
    <t>(x1-mean)^2</t>
  </si>
  <si>
    <t>mean  x2</t>
  </si>
  <si>
    <t>x2 - mean</t>
  </si>
  <si>
    <t>(x2-mean)^2</t>
  </si>
  <si>
    <t>N</t>
  </si>
  <si>
    <t>S</t>
  </si>
  <si>
    <t>sample size</t>
  </si>
  <si>
    <t>I heart stats class calculates the std a little different than excel and minitab</t>
  </si>
  <si>
    <t>edx: "Note that the actual difference between means is only .75 of a pint, which is a relatively small number. It would have been completely reasonable for you to have guessed that the difference between these two groups on this variable (monthly ice cream consumption) would have been statistically insignificant."</t>
  </si>
  <si>
    <t>large sample sizes make a difference</t>
  </si>
  <si>
    <t>Direct</t>
  </si>
  <si>
    <t>Facebook</t>
  </si>
  <si>
    <t>Google</t>
  </si>
  <si>
    <t>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</si>
</sst>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00000"/>
    <numFmt numFmtId="166" formatCode="0.00000"/>
    <numFmt numFmtId="167" formatCode="0.0000"/>
    <numFmt numFmtId="168" formatCode="0.000"/>
    <numFmt numFmtId="169" formatCode="0.000%"/>
    <numFmt numFmtId="170" formatCode="0.0000%"/>
    <numFmt numFmtId="171" formatCode="_(* #,##0.000_);_(* \(#,##0.000\);_(* &quot;-&quot;??_);_(@_)"/>
  </numFmts>
  <fonts count="11"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rgb="FF9C0006"/>
      <name val="Calibri"/>
      <family val="2"/>
      <scheme val="minor"/>
    </font>
    <font>
      <b/>
      <u/>
      <sz val="12"/>
      <color theme="1"/>
      <name val="Calibri"/>
      <family val="2"/>
      <scheme val="minor"/>
    </font>
    <font>
      <b/>
      <sz val="10"/>
      <color indexed="81"/>
      <name val="Calibri"/>
    </font>
    <font>
      <b/>
      <sz val="12"/>
      <color rgb="FF000000"/>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3">
    <border>
      <left/>
      <right/>
      <top/>
      <bottom/>
      <diagonal/>
    </border>
    <border>
      <left/>
      <right/>
      <top/>
      <bottom style="medium">
        <color auto="1"/>
      </bottom>
      <diagonal/>
    </border>
    <border>
      <left/>
      <right/>
      <top style="medium">
        <color auto="1"/>
      </top>
      <bottom style="thin">
        <color auto="1"/>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9" fontId="2" fillId="0" borderId="0" applyFont="0" applyFill="0" applyBorder="0" applyAlignment="0" applyProtection="0"/>
    <xf numFmtId="0" fontId="7" fillId="2" borderId="0" applyNumberFormat="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43">
    <xf numFmtId="0" fontId="0" fillId="0" borderId="0" xfId="0"/>
    <xf numFmtId="0" fontId="3" fillId="0" borderId="0" xfId="0" applyFont="1"/>
    <xf numFmtId="2" fontId="0" fillId="0" borderId="0" xfId="0" applyNumberFormat="1"/>
    <xf numFmtId="164" fontId="0" fillId="0" borderId="0" xfId="0" applyNumberFormat="1"/>
    <xf numFmtId="164"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Alignment="1"/>
    <xf numFmtId="0" fontId="3" fillId="0" borderId="0" xfId="0" applyFont="1" applyAlignment="1"/>
    <xf numFmtId="9" fontId="0" fillId="0" borderId="0" xfId="3" applyFont="1"/>
    <xf numFmtId="0" fontId="4" fillId="0" borderId="0" xfId="0" applyFont="1"/>
    <xf numFmtId="0" fontId="0" fillId="0" borderId="0" xfId="0" applyFont="1"/>
    <xf numFmtId="0" fontId="3" fillId="0" borderId="0" xfId="0" applyFont="1" applyAlignment="1">
      <alignment horizontal="right"/>
    </xf>
    <xf numFmtId="166" fontId="0" fillId="0" borderId="0" xfId="0" applyNumberFormat="1"/>
    <xf numFmtId="167" fontId="0" fillId="0" borderId="0" xfId="0" applyNumberFormat="1"/>
    <xf numFmtId="0" fontId="3" fillId="0" borderId="0" xfId="0" applyFont="1" applyAlignment="1">
      <alignment horizontal="left"/>
    </xf>
    <xf numFmtId="164" fontId="3" fillId="0" borderId="0" xfId="0" applyNumberFormat="1" applyFont="1"/>
    <xf numFmtId="0" fontId="8" fillId="0" borderId="0" xfId="0" applyFont="1"/>
    <xf numFmtId="2" fontId="3" fillId="0" borderId="0" xfId="0" applyNumberFormat="1" applyFont="1"/>
    <xf numFmtId="0" fontId="7" fillId="2" borderId="0" xfId="4"/>
    <xf numFmtId="0" fontId="0" fillId="0" borderId="0" xfId="0" applyFont="1" applyAlignment="1">
      <alignment horizontal="right"/>
    </xf>
    <xf numFmtId="168" fontId="3" fillId="0" borderId="0" xfId="0" applyNumberFormat="1" applyFont="1"/>
    <xf numFmtId="0" fontId="3" fillId="3" borderId="0" xfId="0" applyFont="1" applyFill="1"/>
    <xf numFmtId="0" fontId="4" fillId="3" borderId="0" xfId="0" applyFont="1" applyFill="1"/>
    <xf numFmtId="169" fontId="0" fillId="0" borderId="0" xfId="3" applyNumberFormat="1" applyFont="1"/>
    <xf numFmtId="170" fontId="0" fillId="0" borderId="0" xfId="3" applyNumberFormat="1" applyFont="1"/>
    <xf numFmtId="165" fontId="3" fillId="0" borderId="0" xfId="0" applyNumberFormat="1" applyFont="1"/>
    <xf numFmtId="0" fontId="0" fillId="0" borderId="0" xfId="0" quotePrefix="1"/>
    <xf numFmtId="0" fontId="5" fillId="0" borderId="0" xfId="5"/>
    <xf numFmtId="0" fontId="10" fillId="0" borderId="0" xfId="0" applyFont="1"/>
    <xf numFmtId="168" fontId="0" fillId="0" borderId="0" xfId="0" applyNumberFormat="1"/>
    <xf numFmtId="171" fontId="3" fillId="0" borderId="0" xfId="6" applyNumberFormat="1" applyFont="1"/>
    <xf numFmtId="164" fontId="0" fillId="0" borderId="0" xfId="0" applyNumberFormat="1" applyFont="1"/>
    <xf numFmtId="10" fontId="0" fillId="0" borderId="0" xfId="3" applyNumberFormat="1" applyFont="1"/>
    <xf numFmtId="1" fontId="0" fillId="0" borderId="0" xfId="0" applyNumberFormat="1"/>
    <xf numFmtId="165" fontId="0" fillId="0" borderId="0" xfId="0" applyNumberFormat="1"/>
    <xf numFmtId="0" fontId="0" fillId="0" borderId="0" xfId="0" applyAlignment="1">
      <alignment horizontal="left" vertical="center"/>
    </xf>
    <xf numFmtId="0" fontId="3" fillId="0" borderId="0" xfId="0" applyFont="1" applyAlignment="1">
      <alignment horizontal="left" vertical="center"/>
    </xf>
    <xf numFmtId="0" fontId="0" fillId="0" borderId="0" xfId="0" applyFill="1"/>
    <xf numFmtId="0" fontId="3" fillId="0" borderId="0" xfId="0" applyFont="1" applyFill="1" applyAlignment="1">
      <alignment horizontal="right"/>
    </xf>
    <xf numFmtId="0" fontId="3" fillId="0" borderId="0" xfId="0" applyFont="1" applyFill="1"/>
    <xf numFmtId="167" fontId="3" fillId="0" borderId="0" xfId="0" applyNumberFormat="1" applyFont="1"/>
  </cellXfs>
  <cellStyles count="7">
    <cellStyle name="Bad" xfId="4" builtinId="27"/>
    <cellStyle name="Comma" xfId="6" builtinId="3"/>
    <cellStyle name="Followed Hyperlink" xfId="2" builtinId="9" hidden="1"/>
    <cellStyle name="Hyperlink" xfId="1" builtinId="8" hidden="1"/>
    <cellStyle name="Hyperlink" xfId="5" builtinId="8"/>
    <cellStyle name="Normal" xfId="0" builtinId="0"/>
    <cellStyle name="Percent" xfId="3" builtinId="5"/>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cat>
            <c:strRef>
              <c:f>data!$J$2:$J$12</c:f>
              <c:strCache>
                <c:ptCount val="11"/>
                <c:pt idx="0">
                  <c:v>2.0</c:v>
                </c:pt>
                <c:pt idx="1">
                  <c:v>4.0</c:v>
                </c:pt>
                <c:pt idx="2">
                  <c:v>6.0</c:v>
                </c:pt>
                <c:pt idx="3">
                  <c:v>8.0</c:v>
                </c:pt>
                <c:pt idx="4">
                  <c:v>10.0</c:v>
                </c:pt>
                <c:pt idx="5">
                  <c:v>12.0</c:v>
                </c:pt>
                <c:pt idx="6">
                  <c:v>14.0</c:v>
                </c:pt>
                <c:pt idx="7">
                  <c:v>16.0</c:v>
                </c:pt>
                <c:pt idx="8">
                  <c:v>18.0</c:v>
                </c:pt>
                <c:pt idx="9">
                  <c:v>20.0</c:v>
                </c:pt>
                <c:pt idx="10">
                  <c:v>More</c:v>
                </c:pt>
              </c:strCache>
            </c:strRef>
          </c:cat>
          <c:val>
            <c:numRef>
              <c:f>data!$K$2:$K$12</c:f>
              <c:numCache>
                <c:formatCode>General</c:formatCode>
                <c:ptCount val="11"/>
                <c:pt idx="0">
                  <c:v>12.0</c:v>
                </c:pt>
                <c:pt idx="1">
                  <c:v>6.0</c:v>
                </c:pt>
                <c:pt idx="2">
                  <c:v>4.0</c:v>
                </c:pt>
                <c:pt idx="3">
                  <c:v>3.0</c:v>
                </c:pt>
                <c:pt idx="4">
                  <c:v>3.0</c:v>
                </c:pt>
                <c:pt idx="5">
                  <c:v>0.0</c:v>
                </c:pt>
                <c:pt idx="6">
                  <c:v>1.0</c:v>
                </c:pt>
                <c:pt idx="7">
                  <c:v>1.0</c:v>
                </c:pt>
                <c:pt idx="8">
                  <c:v>0.0</c:v>
                </c:pt>
                <c:pt idx="9">
                  <c:v>0.0</c:v>
                </c:pt>
                <c:pt idx="10">
                  <c:v>0.0</c:v>
                </c:pt>
              </c:numCache>
            </c:numRef>
          </c:val>
        </c:ser>
        <c:dLbls>
          <c:showLegendKey val="0"/>
          <c:showVal val="0"/>
          <c:showCatName val="0"/>
          <c:showSerName val="0"/>
          <c:showPercent val="0"/>
          <c:showBubbleSize val="0"/>
        </c:dLbls>
        <c:gapWidth val="219"/>
        <c:overlap val="-27"/>
        <c:axId val="-1608461568"/>
        <c:axId val="-1692301200"/>
      </c:barChart>
      <c:catAx>
        <c:axId val="-160846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301200"/>
        <c:crosses val="autoZero"/>
        <c:auto val="1"/>
        <c:lblAlgn val="ctr"/>
        <c:lblOffset val="100"/>
        <c:noMultiLvlLbl val="0"/>
      </c:catAx>
      <c:valAx>
        <c:axId val="-16923012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61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292100</xdr:colOff>
      <xdr:row>1</xdr:row>
      <xdr:rowOff>63500</xdr:rowOff>
    </xdr:from>
    <xdr:to>
      <xdr:col>18</xdr:col>
      <xdr:colOff>292100</xdr:colOff>
      <xdr:row>11</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ats.stackexchange.com/questions/63518/chi-square-independence-test-for-a-b-split-testing"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5"/>
  <sheetViews>
    <sheetView tabSelected="1" topLeftCell="A80" workbookViewId="0">
      <selection activeCell="C114" sqref="C114"/>
    </sheetView>
  </sheetViews>
  <sheetFormatPr baseColWidth="10" defaultColWidth="10.6640625" defaultRowHeight="16" x14ac:dyDescent="0.2"/>
  <cols>
    <col min="1" max="1" width="21.6640625" style="12" customWidth="1"/>
    <col min="2" max="2" width="11.83203125" bestFit="1" customWidth="1"/>
    <col min="3" max="3" width="11.1640625" customWidth="1"/>
    <col min="4" max="4" width="11" bestFit="1" customWidth="1"/>
  </cols>
  <sheetData>
    <row r="1" spans="1:11" x14ac:dyDescent="0.35">
      <c r="A1" s="18" t="s">
        <v>120</v>
      </c>
    </row>
    <row r="3" spans="1:11" x14ac:dyDescent="0.35">
      <c r="A3" s="11" t="s">
        <v>121</v>
      </c>
    </row>
    <row r="4" spans="1:11" x14ac:dyDescent="0.35">
      <c r="A4" s="11" t="s">
        <v>94</v>
      </c>
    </row>
    <row r="5" spans="1:11" x14ac:dyDescent="0.35">
      <c r="A5" s="11" t="s">
        <v>95</v>
      </c>
    </row>
    <row r="6" spans="1:11" x14ac:dyDescent="0.35">
      <c r="A6" s="23" t="s">
        <v>138</v>
      </c>
    </row>
    <row r="7" spans="1:11" x14ac:dyDescent="0.35">
      <c r="A7" s="18" t="s">
        <v>112</v>
      </c>
      <c r="B7" t="s">
        <v>152</v>
      </c>
    </row>
    <row r="8" spans="1:11" x14ac:dyDescent="0.35">
      <c r="A8" s="18" t="s">
        <v>111</v>
      </c>
      <c r="B8" t="s">
        <v>151</v>
      </c>
    </row>
    <row r="9" spans="1:11" x14ac:dyDescent="0.35">
      <c r="B9" s="1" t="s">
        <v>80</v>
      </c>
      <c r="G9" s="1" t="s">
        <v>85</v>
      </c>
      <c r="J9" s="1" t="s">
        <v>86</v>
      </c>
    </row>
    <row r="10" spans="1:11" s="1" customFormat="1" x14ac:dyDescent="0.35">
      <c r="B10" s="1" t="s">
        <v>81</v>
      </c>
      <c r="C10" s="1" t="s">
        <v>82</v>
      </c>
      <c r="G10" s="1" t="str">
        <f>B10</f>
        <v>Men</v>
      </c>
      <c r="H10" s="1" t="str">
        <f>C10</f>
        <v>Women</v>
      </c>
      <c r="J10" s="1" t="str">
        <f>G10</f>
        <v>Men</v>
      </c>
      <c r="K10" s="1" t="str">
        <f>H10</f>
        <v>Women</v>
      </c>
    </row>
    <row r="11" spans="1:11" x14ac:dyDescent="0.35">
      <c r="A11" s="1" t="s">
        <v>83</v>
      </c>
      <c r="B11">
        <v>20</v>
      </c>
      <c r="C11">
        <v>20</v>
      </c>
      <c r="D11">
        <f>SUM(B11:C11)</f>
        <v>40</v>
      </c>
      <c r="E11" s="10">
        <f>D11/SUM(D$11:D$12)</f>
        <v>0.4</v>
      </c>
      <c r="F11" s="1" t="str">
        <f t="shared" ref="F11:F12" si="0">A11</f>
        <v>Cheated</v>
      </c>
      <c r="G11">
        <f>$E11*B$13</f>
        <v>12</v>
      </c>
      <c r="H11">
        <f>$E11*C$13</f>
        <v>28</v>
      </c>
      <c r="I11" s="1" t="str">
        <f>F11</f>
        <v>Cheated</v>
      </c>
      <c r="J11">
        <f>B11-G11</f>
        <v>8</v>
      </c>
      <c r="K11">
        <f>C11-H11</f>
        <v>-8</v>
      </c>
    </row>
    <row r="12" spans="1:11" x14ac:dyDescent="0.35">
      <c r="A12" s="1" t="s">
        <v>84</v>
      </c>
      <c r="B12">
        <v>10</v>
      </c>
      <c r="C12">
        <v>50</v>
      </c>
      <c r="D12">
        <f>SUM(B12:C12)</f>
        <v>60</v>
      </c>
      <c r="E12" s="10">
        <f>D12/SUM(D$11:D$12)</f>
        <v>0.6</v>
      </c>
      <c r="F12" s="1" t="str">
        <f t="shared" si="0"/>
        <v>Not Cheated</v>
      </c>
      <c r="G12">
        <f>$E12*B$13</f>
        <v>18</v>
      </c>
      <c r="H12">
        <f>$E12*C$13</f>
        <v>42</v>
      </c>
      <c r="I12" s="1" t="str">
        <f>F12</f>
        <v>Not Cheated</v>
      </c>
      <c r="J12">
        <f>B12-G12</f>
        <v>-8</v>
      </c>
      <c r="K12">
        <f>C12-H12</f>
        <v>8</v>
      </c>
    </row>
    <row r="13" spans="1:11" x14ac:dyDescent="0.35">
      <c r="B13">
        <f>SUM(B11:B12)</f>
        <v>30</v>
      </c>
      <c r="C13">
        <f>SUM(C11:C12)</f>
        <v>70</v>
      </c>
      <c r="D13">
        <f>D12+D11</f>
        <v>100</v>
      </c>
    </row>
    <row r="14" spans="1:11" x14ac:dyDescent="0.35">
      <c r="A14" s="11" t="s">
        <v>105</v>
      </c>
    </row>
    <row r="15" spans="1:11" s="1" customFormat="1" x14ac:dyDescent="0.35">
      <c r="A15" s="1" t="s">
        <v>100</v>
      </c>
      <c r="B15" s="1" t="s">
        <v>87</v>
      </c>
      <c r="C15" s="1" t="s">
        <v>85</v>
      </c>
      <c r="D15" s="1" t="s">
        <v>88</v>
      </c>
      <c r="E15" s="1" t="s">
        <v>106</v>
      </c>
      <c r="F15" s="1" t="s">
        <v>107</v>
      </c>
    </row>
    <row r="16" spans="1:11" x14ac:dyDescent="0.35">
      <c r="A16" s="12" t="s">
        <v>103</v>
      </c>
      <c r="B16">
        <f>B11</f>
        <v>20</v>
      </c>
      <c r="C16">
        <f>E$11*B13</f>
        <v>12</v>
      </c>
      <c r="D16">
        <f>B16-C16</f>
        <v>8</v>
      </c>
      <c r="E16">
        <f>POWER(D16,2)</f>
        <v>64</v>
      </c>
      <c r="F16" s="2">
        <f>E16/C16</f>
        <v>5.333333333333333</v>
      </c>
    </row>
    <row r="17" spans="1:6" x14ac:dyDescent="0.35">
      <c r="A17" s="12" t="s">
        <v>101</v>
      </c>
      <c r="B17">
        <f>C11</f>
        <v>20</v>
      </c>
      <c r="C17">
        <f>E$11*C13</f>
        <v>28</v>
      </c>
      <c r="D17">
        <f t="shared" ref="D17:D19" si="1">B17-C17</f>
        <v>-8</v>
      </c>
      <c r="E17">
        <f t="shared" ref="E17:E19" si="2">POWER(D17,2)</f>
        <v>64</v>
      </c>
      <c r="F17" s="2">
        <f t="shared" ref="F17:F19" si="3">E17/C17</f>
        <v>2.2857142857142856</v>
      </c>
    </row>
    <row r="18" spans="1:6" x14ac:dyDescent="0.35">
      <c r="A18" s="12" t="s">
        <v>104</v>
      </c>
      <c r="B18">
        <f>B12</f>
        <v>10</v>
      </c>
      <c r="C18">
        <f>E$12*B13</f>
        <v>18</v>
      </c>
      <c r="D18">
        <f t="shared" si="1"/>
        <v>-8</v>
      </c>
      <c r="E18">
        <f t="shared" si="2"/>
        <v>64</v>
      </c>
      <c r="F18" s="2">
        <f t="shared" si="3"/>
        <v>3.5555555555555554</v>
      </c>
    </row>
    <row r="19" spans="1:6" x14ac:dyDescent="0.35">
      <c r="A19" s="12" t="s">
        <v>102</v>
      </c>
      <c r="B19">
        <f>C12</f>
        <v>50</v>
      </c>
      <c r="C19">
        <f>E$12*C13</f>
        <v>42</v>
      </c>
      <c r="D19">
        <f t="shared" si="1"/>
        <v>8</v>
      </c>
      <c r="E19">
        <f t="shared" si="2"/>
        <v>64</v>
      </c>
      <c r="F19" s="2">
        <f t="shared" si="3"/>
        <v>1.5238095238095237</v>
      </c>
    </row>
    <row r="20" spans="1:6" x14ac:dyDescent="0.35">
      <c r="A20" s="16" t="s">
        <v>108</v>
      </c>
      <c r="F20" s="19">
        <f>SUM(F16:F19)</f>
        <v>12.698412698412698</v>
      </c>
    </row>
    <row r="21" spans="1:6" x14ac:dyDescent="0.35">
      <c r="A21" s="16" t="s">
        <v>159</v>
      </c>
      <c r="B21">
        <v>2</v>
      </c>
      <c r="F21" s="19"/>
    </row>
    <row r="22" spans="1:6" x14ac:dyDescent="0.35">
      <c r="A22" s="16" t="s">
        <v>160</v>
      </c>
      <c r="B22">
        <v>2</v>
      </c>
      <c r="F22" s="17"/>
    </row>
    <row r="23" spans="1:6" x14ac:dyDescent="0.35">
      <c r="A23" s="12" t="s">
        <v>109</v>
      </c>
      <c r="B23">
        <f>(B21-1)*(B22-1)</f>
        <v>1</v>
      </c>
      <c r="C23" s="11" t="s">
        <v>162</v>
      </c>
    </row>
    <row r="24" spans="1:6" x14ac:dyDescent="0.35">
      <c r="A24" s="12" t="s">
        <v>4</v>
      </c>
      <c r="B24" s="10">
        <v>0.05</v>
      </c>
      <c r="C24" s="2">
        <f>B24</f>
        <v>0.05</v>
      </c>
      <c r="D24" s="11" t="s">
        <v>116</v>
      </c>
    </row>
    <row r="25" spans="1:6" x14ac:dyDescent="0.35">
      <c r="A25" s="12" t="s">
        <v>114</v>
      </c>
      <c r="B25" s="22">
        <f>CHIINV(B24,B23)</f>
        <v>3.8414588206941236</v>
      </c>
      <c r="C25" s="11" t="s">
        <v>115</v>
      </c>
    </row>
    <row r="26" spans="1:6" x14ac:dyDescent="0.35">
      <c r="A26" s="12" t="s">
        <v>117</v>
      </c>
      <c r="B26" s="19">
        <f>F20</f>
        <v>12.698412698412698</v>
      </c>
    </row>
    <row r="27" spans="1:6" x14ac:dyDescent="0.35">
      <c r="A27" s="1" t="s">
        <v>118</v>
      </c>
      <c r="B27" s="1" t="b">
        <f>B25&lt;=B26</f>
        <v>1</v>
      </c>
    </row>
    <row r="28" spans="1:6" x14ac:dyDescent="0.35">
      <c r="A28" s="1" t="s">
        <v>119</v>
      </c>
      <c r="B28" s="1" t="b">
        <f>B25&gt;B26</f>
        <v>0</v>
      </c>
    </row>
    <row r="30" spans="1:6" x14ac:dyDescent="0.35">
      <c r="A30" s="23" t="s">
        <v>140</v>
      </c>
    </row>
    <row r="31" spans="1:6" x14ac:dyDescent="0.35">
      <c r="A31" s="12" t="s">
        <v>122</v>
      </c>
    </row>
    <row r="32" spans="1:6" x14ac:dyDescent="0.35">
      <c r="A32" s="11" t="s">
        <v>96</v>
      </c>
    </row>
    <row r="33" spans="1:7" x14ac:dyDescent="0.35">
      <c r="A33" s="18" t="s">
        <v>112</v>
      </c>
      <c r="B33" t="s">
        <v>126</v>
      </c>
    </row>
    <row r="34" spans="1:7" x14ac:dyDescent="0.35">
      <c r="A34" s="18" t="s">
        <v>111</v>
      </c>
      <c r="B34" t="s">
        <v>113</v>
      </c>
    </row>
    <row r="35" spans="1:7" s="1" customFormat="1" x14ac:dyDescent="0.35">
      <c r="A35" s="1" t="s">
        <v>100</v>
      </c>
      <c r="B35" s="1" t="s">
        <v>98</v>
      </c>
      <c r="C35" s="1" t="s">
        <v>97</v>
      </c>
      <c r="D35" s="1" t="s">
        <v>99</v>
      </c>
      <c r="E35" s="1" t="s">
        <v>88</v>
      </c>
      <c r="F35" s="1" t="s">
        <v>106</v>
      </c>
      <c r="G35" s="1" t="s">
        <v>107</v>
      </c>
    </row>
    <row r="36" spans="1:7" x14ac:dyDescent="0.35">
      <c r="A36" s="12" t="s">
        <v>89</v>
      </c>
      <c r="B36" s="10">
        <v>0.4</v>
      </c>
      <c r="C36">
        <v>145</v>
      </c>
      <c r="D36">
        <f>B36*C$41</f>
        <v>160</v>
      </c>
      <c r="E36">
        <f>C36-D36</f>
        <v>-15</v>
      </c>
      <c r="F36">
        <f>POWER(E36,2)</f>
        <v>225</v>
      </c>
      <c r="G36" s="2">
        <f>F36/D36</f>
        <v>1.40625</v>
      </c>
    </row>
    <row r="37" spans="1:7" x14ac:dyDescent="0.35">
      <c r="A37" s="12" t="s">
        <v>90</v>
      </c>
      <c r="B37" s="10">
        <v>0.3</v>
      </c>
      <c r="C37">
        <v>128</v>
      </c>
      <c r="D37">
        <f t="shared" ref="D37:D40" si="4">B37*C$41</f>
        <v>120</v>
      </c>
      <c r="E37">
        <f t="shared" ref="E37:E39" si="5">C37-D37</f>
        <v>8</v>
      </c>
      <c r="F37">
        <f t="shared" ref="F37:F40" si="6">POWER(E37,2)</f>
        <v>64</v>
      </c>
      <c r="G37" s="2">
        <f t="shared" ref="G37:G39" si="7">F37/D37</f>
        <v>0.53333333333333333</v>
      </c>
    </row>
    <row r="38" spans="1:7" x14ac:dyDescent="0.35">
      <c r="A38" s="12" t="s">
        <v>91</v>
      </c>
      <c r="B38" s="10">
        <v>0.2</v>
      </c>
      <c r="C38">
        <v>73</v>
      </c>
      <c r="D38">
        <f t="shared" si="4"/>
        <v>80</v>
      </c>
      <c r="E38">
        <f t="shared" si="5"/>
        <v>-7</v>
      </c>
      <c r="F38">
        <f t="shared" si="6"/>
        <v>49</v>
      </c>
      <c r="G38" s="2">
        <f t="shared" si="7"/>
        <v>0.61250000000000004</v>
      </c>
    </row>
    <row r="39" spans="1:7" x14ac:dyDescent="0.35">
      <c r="A39" s="12" t="s">
        <v>92</v>
      </c>
      <c r="B39" s="10">
        <v>0.05</v>
      </c>
      <c r="C39">
        <v>32</v>
      </c>
      <c r="D39">
        <f t="shared" si="4"/>
        <v>20</v>
      </c>
      <c r="E39">
        <f t="shared" si="5"/>
        <v>12</v>
      </c>
      <c r="F39">
        <f t="shared" si="6"/>
        <v>144</v>
      </c>
      <c r="G39" s="2">
        <f t="shared" si="7"/>
        <v>7.2</v>
      </c>
    </row>
    <row r="40" spans="1:7" x14ac:dyDescent="0.35">
      <c r="A40" s="12" t="s">
        <v>93</v>
      </c>
      <c r="B40" s="10">
        <v>0.05</v>
      </c>
      <c r="C40">
        <v>22</v>
      </c>
      <c r="D40">
        <f t="shared" si="4"/>
        <v>20</v>
      </c>
      <c r="E40">
        <f t="shared" ref="E40" si="8">C40-D40</f>
        <v>2</v>
      </c>
      <c r="F40">
        <f t="shared" si="6"/>
        <v>4</v>
      </c>
      <c r="G40" s="2">
        <f t="shared" ref="G40" si="9">F40/D40</f>
        <v>0.2</v>
      </c>
    </row>
    <row r="41" spans="1:7" x14ac:dyDescent="0.2">
      <c r="A41" s="16" t="s">
        <v>108</v>
      </c>
      <c r="B41" s="10">
        <f>SUM(B36:B40)</f>
        <v>1</v>
      </c>
      <c r="C41">
        <f>SUM(C36:C40)</f>
        <v>400</v>
      </c>
      <c r="D41">
        <f>SUM(D36:D40)</f>
        <v>400</v>
      </c>
      <c r="G41" s="19">
        <f>SUM(G36:G40)</f>
        <v>9.9520833333333325</v>
      </c>
    </row>
    <row r="42" spans="1:7" x14ac:dyDescent="0.2">
      <c r="A42" s="16" t="s">
        <v>110</v>
      </c>
      <c r="B42">
        <v>5</v>
      </c>
    </row>
    <row r="43" spans="1:7" x14ac:dyDescent="0.2">
      <c r="A43" s="12" t="s">
        <v>109</v>
      </c>
      <c r="B43">
        <f>B42-1</f>
        <v>4</v>
      </c>
    </row>
    <row r="44" spans="1:7" x14ac:dyDescent="0.2">
      <c r="A44" s="12" t="s">
        <v>4</v>
      </c>
      <c r="B44" s="10">
        <v>0.1</v>
      </c>
      <c r="C44" s="2">
        <f>B44</f>
        <v>0.1</v>
      </c>
      <c r="D44" s="11" t="s">
        <v>116</v>
      </c>
    </row>
    <row r="45" spans="1:7" x14ac:dyDescent="0.2">
      <c r="A45" s="12" t="s">
        <v>114</v>
      </c>
      <c r="B45" s="19">
        <f>CHIINV(B44,B43)</f>
        <v>7.7794403397348582</v>
      </c>
      <c r="C45" s="11" t="s">
        <v>115</v>
      </c>
    </row>
    <row r="46" spans="1:7" x14ac:dyDescent="0.2">
      <c r="A46" s="12" t="s">
        <v>117</v>
      </c>
      <c r="B46" s="19">
        <f>G41</f>
        <v>9.9520833333333325</v>
      </c>
    </row>
    <row r="47" spans="1:7" x14ac:dyDescent="0.2">
      <c r="A47" s="1" t="s">
        <v>118</v>
      </c>
      <c r="B47" s="1" t="b">
        <f>B45&lt;=B46</f>
        <v>1</v>
      </c>
    </row>
    <row r="48" spans="1:7" x14ac:dyDescent="0.2">
      <c r="A48" s="1" t="s">
        <v>119</v>
      </c>
      <c r="B48" s="1" t="b">
        <f>B45&gt;B46</f>
        <v>0</v>
      </c>
    </row>
    <row r="50" spans="1:7" x14ac:dyDescent="0.2">
      <c r="A50" s="23" t="s">
        <v>140</v>
      </c>
    </row>
    <row r="51" spans="1:7" x14ac:dyDescent="0.2">
      <c r="A51" s="24" t="s">
        <v>123</v>
      </c>
    </row>
    <row r="52" spans="1:7" x14ac:dyDescent="0.2">
      <c r="A52" s="11" t="s">
        <v>124</v>
      </c>
    </row>
    <row r="53" spans="1:7" x14ac:dyDescent="0.2">
      <c r="A53" s="11" t="s">
        <v>125</v>
      </c>
    </row>
    <row r="54" spans="1:7" x14ac:dyDescent="0.2">
      <c r="A54" s="18" t="s">
        <v>112</v>
      </c>
      <c r="B54" t="s">
        <v>127</v>
      </c>
    </row>
    <row r="55" spans="1:7" x14ac:dyDescent="0.2">
      <c r="A55" s="18" t="s">
        <v>111</v>
      </c>
      <c r="B55" t="s">
        <v>128</v>
      </c>
    </row>
    <row r="56" spans="1:7" x14ac:dyDescent="0.2">
      <c r="A56" s="12" t="s">
        <v>129</v>
      </c>
      <c r="B56" s="10">
        <v>0.3</v>
      </c>
      <c r="C56" t="s">
        <v>131</v>
      </c>
    </row>
    <row r="57" spans="1:7" x14ac:dyDescent="0.2">
      <c r="A57" s="12" t="s">
        <v>130</v>
      </c>
      <c r="B57">
        <v>4</v>
      </c>
      <c r="C57" t="s">
        <v>132</v>
      </c>
    </row>
    <row r="58" spans="1:7" x14ac:dyDescent="0.2">
      <c r="A58" s="12" t="s">
        <v>133</v>
      </c>
      <c r="B58" s="1" t="s">
        <v>98</v>
      </c>
      <c r="C58" s="1" t="s">
        <v>97</v>
      </c>
      <c r="D58" s="1" t="s">
        <v>99</v>
      </c>
      <c r="E58" s="1" t="s">
        <v>88</v>
      </c>
      <c r="F58" s="1" t="s">
        <v>106</v>
      </c>
      <c r="G58" s="1" t="s">
        <v>107</v>
      </c>
    </row>
    <row r="59" spans="1:7" x14ac:dyDescent="0.2">
      <c r="A59" s="12">
        <v>0</v>
      </c>
      <c r="B59">
        <f>_xlfn.BINOM.DIST(A59,B$57,B$56,FALSE)</f>
        <v>0.24009999999999998</v>
      </c>
      <c r="C59">
        <v>26</v>
      </c>
      <c r="D59">
        <f>B59*C$64</f>
        <v>24.009999999999998</v>
      </c>
    </row>
    <row r="60" spans="1:7" x14ac:dyDescent="0.2">
      <c r="A60" s="12">
        <v>1</v>
      </c>
      <c r="B60">
        <f t="shared" ref="B60:B63" si="10">_xlfn.BINOM.DIST(A60,B$57,B$56,FALSE)</f>
        <v>0.41159999999999991</v>
      </c>
      <c r="C60">
        <v>34</v>
      </c>
      <c r="D60">
        <f t="shared" ref="D60:D63" si="11">B60*C$64</f>
        <v>41.159999999999989</v>
      </c>
    </row>
    <row r="61" spans="1:7" x14ac:dyDescent="0.2">
      <c r="A61" s="12">
        <v>2</v>
      </c>
      <c r="B61">
        <f t="shared" si="10"/>
        <v>0.2646</v>
      </c>
      <c r="C61">
        <v>30</v>
      </c>
      <c r="D61">
        <f t="shared" si="11"/>
        <v>26.46</v>
      </c>
    </row>
    <row r="62" spans="1:7" x14ac:dyDescent="0.2">
      <c r="A62" s="12">
        <v>3</v>
      </c>
      <c r="B62">
        <f t="shared" si="10"/>
        <v>7.5599999999999987E-2</v>
      </c>
      <c r="C62">
        <v>7</v>
      </c>
      <c r="D62">
        <f t="shared" si="11"/>
        <v>7.5599999999999987</v>
      </c>
    </row>
    <row r="63" spans="1:7" x14ac:dyDescent="0.2">
      <c r="A63" s="12">
        <v>4</v>
      </c>
      <c r="B63">
        <f t="shared" si="10"/>
        <v>8.0999999999999961E-3</v>
      </c>
      <c r="C63">
        <v>3</v>
      </c>
      <c r="D63" s="20">
        <f t="shared" si="11"/>
        <v>0.80999999999999961</v>
      </c>
    </row>
    <row r="64" spans="1:7" x14ac:dyDescent="0.2">
      <c r="B64" s="14">
        <f>SUM(B59:B63)</f>
        <v>0.99999999999999989</v>
      </c>
      <c r="C64">
        <f>SUM(C59:C63)</f>
        <v>100</v>
      </c>
      <c r="D64">
        <f>SUM(D59:D63)</f>
        <v>100</v>
      </c>
    </row>
    <row r="65" spans="1:7" x14ac:dyDescent="0.2">
      <c r="A65" s="20" t="s">
        <v>134</v>
      </c>
    </row>
    <row r="66" spans="1:7" x14ac:dyDescent="0.2">
      <c r="A66" s="12">
        <f>A59</f>
        <v>0</v>
      </c>
      <c r="B66" s="12">
        <f t="shared" ref="B66:D66" si="12">B59</f>
        <v>0.24009999999999998</v>
      </c>
      <c r="C66" s="12">
        <f t="shared" si="12"/>
        <v>26</v>
      </c>
      <c r="D66" s="12">
        <f t="shared" si="12"/>
        <v>24.009999999999998</v>
      </c>
      <c r="E66">
        <f>C66-D66</f>
        <v>1.990000000000002</v>
      </c>
      <c r="F66" s="2">
        <f>POWER(E66,2)</f>
        <v>3.9601000000000077</v>
      </c>
      <c r="G66" s="2">
        <f>F66/D66</f>
        <v>0.1649354435651815</v>
      </c>
    </row>
    <row r="67" spans="1:7" x14ac:dyDescent="0.2">
      <c r="A67" s="12">
        <f t="shared" ref="A67:D67" si="13">A60</f>
        <v>1</v>
      </c>
      <c r="B67" s="12">
        <f t="shared" si="13"/>
        <v>0.41159999999999991</v>
      </c>
      <c r="C67" s="12">
        <f t="shared" si="13"/>
        <v>34</v>
      </c>
      <c r="D67" s="12">
        <f t="shared" si="13"/>
        <v>41.159999999999989</v>
      </c>
      <c r="E67">
        <f t="shared" ref="E67:E69" si="14">C67-D67</f>
        <v>-7.1599999999999895</v>
      </c>
      <c r="F67" s="2">
        <f t="shared" ref="F67:F69" si="15">POWER(E67,2)</f>
        <v>51.26559999999985</v>
      </c>
      <c r="G67" s="2">
        <f t="shared" ref="G67:G69" si="16">F67/D67</f>
        <v>1.2455199222546127</v>
      </c>
    </row>
    <row r="68" spans="1:7" x14ac:dyDescent="0.2">
      <c r="A68" s="12">
        <f t="shared" ref="A68:D68" si="17">A61</f>
        <v>2</v>
      </c>
      <c r="B68" s="12">
        <f t="shared" si="17"/>
        <v>0.2646</v>
      </c>
      <c r="C68" s="12">
        <f t="shared" si="17"/>
        <v>30</v>
      </c>
      <c r="D68" s="12">
        <f t="shared" si="17"/>
        <v>26.46</v>
      </c>
      <c r="E68">
        <f t="shared" si="14"/>
        <v>3.5399999999999991</v>
      </c>
      <c r="F68" s="2">
        <f t="shared" si="15"/>
        <v>12.531599999999994</v>
      </c>
      <c r="G68" s="2">
        <f t="shared" si="16"/>
        <v>0.47360544217687051</v>
      </c>
    </row>
    <row r="69" spans="1:7" x14ac:dyDescent="0.2">
      <c r="A69" s="21" t="s">
        <v>135</v>
      </c>
      <c r="B69" s="12">
        <f>B62+B63</f>
        <v>8.3699999999999983E-2</v>
      </c>
      <c r="C69" s="12">
        <f>C62+C63</f>
        <v>10</v>
      </c>
      <c r="D69" s="12">
        <f>D62+D63</f>
        <v>8.3699999999999974</v>
      </c>
      <c r="E69">
        <f t="shared" si="14"/>
        <v>1.6300000000000026</v>
      </c>
      <c r="F69" s="2">
        <f t="shared" si="15"/>
        <v>2.6569000000000083</v>
      </c>
      <c r="G69" s="2">
        <f t="shared" si="16"/>
        <v>0.31743130227001304</v>
      </c>
    </row>
    <row r="70" spans="1:7" x14ac:dyDescent="0.2">
      <c r="A70" s="16" t="s">
        <v>108</v>
      </c>
      <c r="B70" s="10">
        <f>SUM(B66:B69)</f>
        <v>0.99999999999999989</v>
      </c>
      <c r="C70" s="12">
        <f>SUM(C66:C69)</f>
        <v>100</v>
      </c>
      <c r="D70" s="12">
        <f>SUM(D66:D69)</f>
        <v>100</v>
      </c>
      <c r="G70" s="2">
        <f>SUM(G66:G69)</f>
        <v>2.2014921102666776</v>
      </c>
    </row>
    <row r="71" spans="1:7" x14ac:dyDescent="0.2">
      <c r="A71" s="16" t="s">
        <v>110</v>
      </c>
      <c r="B71">
        <v>4</v>
      </c>
      <c r="C71" s="12"/>
      <c r="D71" s="12"/>
    </row>
    <row r="72" spans="1:7" x14ac:dyDescent="0.2">
      <c r="A72" s="12" t="s">
        <v>109</v>
      </c>
      <c r="B72">
        <f>B71-1</f>
        <v>3</v>
      </c>
    </row>
    <row r="73" spans="1:7" x14ac:dyDescent="0.2">
      <c r="A73" s="12" t="s">
        <v>4</v>
      </c>
      <c r="B73" s="10">
        <v>0.05</v>
      </c>
    </row>
    <row r="74" spans="1:7" x14ac:dyDescent="0.2">
      <c r="A74" s="12" t="s">
        <v>114</v>
      </c>
      <c r="B74" s="22">
        <f>CHIINV(B73,B72)</f>
        <v>7.8147279032511792</v>
      </c>
      <c r="C74" t="s">
        <v>136</v>
      </c>
    </row>
    <row r="75" spans="1:7" x14ac:dyDescent="0.2">
      <c r="A75" s="12" t="s">
        <v>117</v>
      </c>
      <c r="B75" s="19">
        <f>G70</f>
        <v>2.2014921102666776</v>
      </c>
    </row>
    <row r="76" spans="1:7" x14ac:dyDescent="0.2">
      <c r="A76" s="1" t="s">
        <v>118</v>
      </c>
      <c r="B76" s="1" t="b">
        <f>B74&lt;=B75</f>
        <v>0</v>
      </c>
    </row>
    <row r="77" spans="1:7" x14ac:dyDescent="0.2">
      <c r="A77" s="1" t="s">
        <v>119</v>
      </c>
      <c r="B77" s="1" t="b">
        <f>B74&gt;B75</f>
        <v>1</v>
      </c>
      <c r="C77" t="s">
        <v>137</v>
      </c>
    </row>
    <row r="79" spans="1:7" x14ac:dyDescent="0.2">
      <c r="A79" s="23" t="s">
        <v>139</v>
      </c>
    </row>
    <row r="80" spans="1:7" x14ac:dyDescent="0.2">
      <c r="A80" s="11" t="s">
        <v>144</v>
      </c>
    </row>
    <row r="81" spans="1:6" x14ac:dyDescent="0.2">
      <c r="A81" s="18" t="s">
        <v>112</v>
      </c>
      <c r="B81" t="s">
        <v>149</v>
      </c>
    </row>
    <row r="82" spans="1:6" x14ac:dyDescent="0.2">
      <c r="A82" s="18" t="s">
        <v>111</v>
      </c>
      <c r="B82" t="s">
        <v>150</v>
      </c>
    </row>
    <row r="83" spans="1:6" x14ac:dyDescent="0.2">
      <c r="B83" s="1" t="s">
        <v>143</v>
      </c>
      <c r="C83" s="1" t="s">
        <v>145</v>
      </c>
      <c r="D83" s="1" t="s">
        <v>146</v>
      </c>
      <c r="E83" s="1" t="s">
        <v>147</v>
      </c>
      <c r="F83" s="1" t="s">
        <v>148</v>
      </c>
    </row>
    <row r="84" spans="1:6" x14ac:dyDescent="0.2">
      <c r="A84" s="1" t="s">
        <v>141</v>
      </c>
      <c r="B84">
        <v>4</v>
      </c>
      <c r="C84">
        <v>10</v>
      </c>
      <c r="D84">
        <v>9</v>
      </c>
      <c r="E84">
        <f>SUM(B84:D84)</f>
        <v>23</v>
      </c>
      <c r="F84">
        <f>E84/E$86</f>
        <v>0.46</v>
      </c>
    </row>
    <row r="85" spans="1:6" x14ac:dyDescent="0.2">
      <c r="A85" s="1" t="s">
        <v>142</v>
      </c>
      <c r="B85">
        <v>14</v>
      </c>
      <c r="C85">
        <v>9</v>
      </c>
      <c r="D85">
        <v>4</v>
      </c>
      <c r="E85">
        <f>SUM(B85:D85)</f>
        <v>27</v>
      </c>
      <c r="F85">
        <f>E85/E$86</f>
        <v>0.54</v>
      </c>
    </row>
    <row r="86" spans="1:6" x14ac:dyDescent="0.2">
      <c r="A86" s="13" t="s">
        <v>147</v>
      </c>
      <c r="B86">
        <f>SUM(B84:B85)</f>
        <v>18</v>
      </c>
      <c r="C86">
        <f t="shared" ref="C86:E86" si="18">SUM(C84:C85)</f>
        <v>19</v>
      </c>
      <c r="D86">
        <f t="shared" si="18"/>
        <v>13</v>
      </c>
      <c r="E86">
        <f t="shared" si="18"/>
        <v>50</v>
      </c>
      <c r="F86" s="2">
        <f>SUM(F84:F85)</f>
        <v>1</v>
      </c>
    </row>
    <row r="87" spans="1:6" x14ac:dyDescent="0.2">
      <c r="A87" s="13" t="s">
        <v>148</v>
      </c>
      <c r="B87" s="2">
        <f>B86/$E86</f>
        <v>0.36</v>
      </c>
      <c r="C87" s="2">
        <f t="shared" ref="C87:E87" si="19">C86/$E86</f>
        <v>0.38</v>
      </c>
      <c r="D87" s="2">
        <f t="shared" si="19"/>
        <v>0.26</v>
      </c>
      <c r="E87" s="2">
        <f t="shared" si="19"/>
        <v>1</v>
      </c>
      <c r="F87" s="2"/>
    </row>
    <row r="89" spans="1:6" x14ac:dyDescent="0.2">
      <c r="B89" s="1" t="s">
        <v>97</v>
      </c>
      <c r="C89" s="1" t="s">
        <v>99</v>
      </c>
      <c r="D89" s="1" t="s">
        <v>88</v>
      </c>
      <c r="E89" s="1" t="s">
        <v>106</v>
      </c>
      <c r="F89" s="1" t="s">
        <v>107</v>
      </c>
    </row>
    <row r="90" spans="1:6" x14ac:dyDescent="0.2">
      <c r="A90" s="21" t="s">
        <v>153</v>
      </c>
      <c r="B90">
        <v>4</v>
      </c>
      <c r="C90">
        <f>E84*B87</f>
        <v>8.2799999999999994</v>
      </c>
      <c r="D90">
        <f>B90-C90</f>
        <v>-4.2799999999999994</v>
      </c>
      <c r="E90">
        <f>POWER(D90,2)</f>
        <v>18.318399999999993</v>
      </c>
      <c r="F90" s="2">
        <f>E90/C90</f>
        <v>2.2123671497584536</v>
      </c>
    </row>
    <row r="91" spans="1:6" x14ac:dyDescent="0.2">
      <c r="A91" s="21" t="s">
        <v>154</v>
      </c>
      <c r="B91">
        <v>10</v>
      </c>
      <c r="C91">
        <f>E84*C87</f>
        <v>8.74</v>
      </c>
      <c r="D91">
        <f t="shared" ref="D91:D94" si="20">B91-C91</f>
        <v>1.2599999999999998</v>
      </c>
      <c r="E91">
        <f t="shared" ref="E91:E94" si="21">POWER(D91,2)</f>
        <v>1.5875999999999995</v>
      </c>
      <c r="F91" s="2">
        <f t="shared" ref="F91:F94" si="22">E91/C91</f>
        <v>0.18164759725400451</v>
      </c>
    </row>
    <row r="92" spans="1:6" x14ac:dyDescent="0.2">
      <c r="A92" s="21" t="s">
        <v>155</v>
      </c>
      <c r="B92">
        <v>9</v>
      </c>
      <c r="C92">
        <f>E84*D87</f>
        <v>5.98</v>
      </c>
      <c r="D92">
        <f t="shared" si="20"/>
        <v>3.0199999999999996</v>
      </c>
      <c r="E92">
        <f t="shared" si="21"/>
        <v>9.1203999999999983</v>
      </c>
      <c r="F92" s="2">
        <f t="shared" si="22"/>
        <v>1.5251505016722404</v>
      </c>
    </row>
    <row r="93" spans="1:6" x14ac:dyDescent="0.2">
      <c r="A93" s="21" t="s">
        <v>156</v>
      </c>
      <c r="B93">
        <v>14</v>
      </c>
      <c r="C93">
        <f>E85*B87</f>
        <v>9.7199999999999989</v>
      </c>
      <c r="D93">
        <f t="shared" si="20"/>
        <v>4.2800000000000011</v>
      </c>
      <c r="E93">
        <f t="shared" si="21"/>
        <v>18.318400000000011</v>
      </c>
      <c r="F93" s="2">
        <f t="shared" si="22"/>
        <v>1.8846090534979438</v>
      </c>
    </row>
    <row r="94" spans="1:6" x14ac:dyDescent="0.2">
      <c r="A94" s="21" t="s">
        <v>157</v>
      </c>
      <c r="B94">
        <v>9</v>
      </c>
      <c r="C94">
        <f>E85*C87</f>
        <v>10.26</v>
      </c>
      <c r="D94">
        <f t="shared" si="20"/>
        <v>-1.2599999999999998</v>
      </c>
      <c r="E94">
        <f t="shared" si="21"/>
        <v>1.5875999999999995</v>
      </c>
      <c r="F94" s="2">
        <f t="shared" si="22"/>
        <v>0.15473684210526312</v>
      </c>
    </row>
    <row r="95" spans="1:6" x14ac:dyDescent="0.2">
      <c r="A95" s="21" t="s">
        <v>158</v>
      </c>
      <c r="B95">
        <v>4</v>
      </c>
      <c r="C95">
        <f>E85*D87</f>
        <v>7.0200000000000005</v>
      </c>
      <c r="D95">
        <f>B95-C95</f>
        <v>-3.0200000000000005</v>
      </c>
      <c r="E95">
        <f>POWER(D95,2)</f>
        <v>9.1204000000000036</v>
      </c>
      <c r="F95" s="2">
        <f>E95/C95</f>
        <v>1.2992022792022797</v>
      </c>
    </row>
    <row r="96" spans="1:6" x14ac:dyDescent="0.2">
      <c r="A96" s="16" t="s">
        <v>108</v>
      </c>
      <c r="B96" s="10"/>
      <c r="F96" s="2">
        <f>SUM(F90:F95)</f>
        <v>7.2577134234901859</v>
      </c>
    </row>
    <row r="97" spans="1:7" x14ac:dyDescent="0.2">
      <c r="A97" s="16" t="s">
        <v>159</v>
      </c>
      <c r="B97">
        <v>2</v>
      </c>
      <c r="F97" s="2"/>
    </row>
    <row r="98" spans="1:7" x14ac:dyDescent="0.2">
      <c r="A98" s="16" t="s">
        <v>160</v>
      </c>
      <c r="B98">
        <v>3</v>
      </c>
    </row>
    <row r="99" spans="1:7" x14ac:dyDescent="0.2">
      <c r="A99" s="12" t="s">
        <v>109</v>
      </c>
      <c r="B99">
        <f>(B97-1)*(B98-1)</f>
        <v>2</v>
      </c>
      <c r="C99" s="11" t="s">
        <v>162</v>
      </c>
    </row>
    <row r="100" spans="1:7" x14ac:dyDescent="0.2">
      <c r="A100" s="12" t="s">
        <v>4</v>
      </c>
      <c r="B100" s="10">
        <v>0.1</v>
      </c>
    </row>
    <row r="101" spans="1:7" x14ac:dyDescent="0.2">
      <c r="A101" s="12" t="s">
        <v>114</v>
      </c>
      <c r="B101" s="22">
        <f>CHIINV(B100,B99)</f>
        <v>4.6051701859880909</v>
      </c>
    </row>
    <row r="102" spans="1:7" x14ac:dyDescent="0.2">
      <c r="A102" s="12" t="s">
        <v>117</v>
      </c>
      <c r="B102" s="19">
        <f>F96</f>
        <v>7.2577134234901859</v>
      </c>
    </row>
    <row r="103" spans="1:7" x14ac:dyDescent="0.2">
      <c r="A103" s="1" t="s">
        <v>118</v>
      </c>
      <c r="B103" s="1" t="b">
        <f>B101&lt;=B102</f>
        <v>1</v>
      </c>
      <c r="C103" s="11" t="s">
        <v>161</v>
      </c>
    </row>
    <row r="104" spans="1:7" x14ac:dyDescent="0.2">
      <c r="A104" s="1" t="s">
        <v>119</v>
      </c>
      <c r="B104" s="1" t="b">
        <f>B101&gt;B102</f>
        <v>0</v>
      </c>
    </row>
    <row r="107" spans="1:7" x14ac:dyDescent="0.2">
      <c r="A107" s="23" t="s">
        <v>163</v>
      </c>
    </row>
    <row r="108" spans="1:7" x14ac:dyDescent="0.2">
      <c r="A108" s="11" t="s">
        <v>176</v>
      </c>
      <c r="G108" s="29" t="s">
        <v>177</v>
      </c>
    </row>
    <row r="109" spans="1:7" x14ac:dyDescent="0.2">
      <c r="A109" s="18" t="s">
        <v>112</v>
      </c>
      <c r="B109" t="s">
        <v>171</v>
      </c>
    </row>
    <row r="110" spans="1:7" x14ac:dyDescent="0.2">
      <c r="A110" s="18" t="s">
        <v>111</v>
      </c>
      <c r="B110" t="s">
        <v>164</v>
      </c>
    </row>
    <row r="111" spans="1:7" x14ac:dyDescent="0.2">
      <c r="B111" s="1" t="s">
        <v>168</v>
      </c>
      <c r="C111" s="1" t="s">
        <v>169</v>
      </c>
      <c r="D111" s="1" t="s">
        <v>147</v>
      </c>
      <c r="E111" s="1" t="s">
        <v>170</v>
      </c>
      <c r="F111" s="1" t="s">
        <v>213</v>
      </c>
    </row>
    <row r="112" spans="1:7" x14ac:dyDescent="0.2">
      <c r="A112" s="13" t="s">
        <v>165</v>
      </c>
      <c r="B112">
        <v>50</v>
      </c>
      <c r="C112">
        <v>70</v>
      </c>
      <c r="D112">
        <f>SUM(B112:C112)</f>
        <v>120</v>
      </c>
      <c r="E112" s="25">
        <f>D112/D$114</f>
        <v>0.06</v>
      </c>
      <c r="F112" s="1" t="s">
        <v>214</v>
      </c>
    </row>
    <row r="113" spans="1:10" x14ac:dyDescent="0.2">
      <c r="A113" s="13" t="s">
        <v>166</v>
      </c>
      <c r="B113">
        <f>B114-B112</f>
        <v>950</v>
      </c>
      <c r="C113">
        <f>C114-C112</f>
        <v>930</v>
      </c>
      <c r="D113">
        <f>SUM(B113:C113)</f>
        <v>1880</v>
      </c>
      <c r="E113" s="25">
        <f>D113/D$114</f>
        <v>0.94</v>
      </c>
      <c r="F113" s="25"/>
      <c r="G113" s="39"/>
      <c r="H113" s="40"/>
      <c r="I113" s="41"/>
      <c r="J113" s="41"/>
    </row>
    <row r="114" spans="1:10" x14ac:dyDescent="0.2">
      <c r="A114" s="13" t="s">
        <v>167</v>
      </c>
      <c r="B114">
        <v>1000</v>
      </c>
      <c r="C114">
        <v>1000</v>
      </c>
      <c r="D114">
        <f t="shared" ref="D114" si="23">SUM(D112:D113)</f>
        <v>2000</v>
      </c>
      <c r="E114" s="2">
        <f>SUM(E112:E113)</f>
        <v>1</v>
      </c>
      <c r="F114" s="2"/>
    </row>
    <row r="115" spans="1:10" x14ac:dyDescent="0.2">
      <c r="A115" s="13" t="s">
        <v>170</v>
      </c>
      <c r="B115" s="26">
        <f>B114/$D114</f>
        <v>0.5</v>
      </c>
      <c r="C115" s="26">
        <f>C114/$D114</f>
        <v>0.5</v>
      </c>
      <c r="D115" s="26">
        <f>D114/$D114</f>
        <v>1</v>
      </c>
      <c r="E115" s="2"/>
      <c r="F115" s="2"/>
    </row>
    <row r="117" spans="1:10" x14ac:dyDescent="0.2">
      <c r="B117" s="1" t="s">
        <v>97</v>
      </c>
      <c r="C117" s="1" t="s">
        <v>99</v>
      </c>
      <c r="D117" s="1" t="s">
        <v>88</v>
      </c>
      <c r="E117" s="1" t="s">
        <v>106</v>
      </c>
      <c r="F117" s="1" t="s">
        <v>107</v>
      </c>
    </row>
    <row r="118" spans="1:10" x14ac:dyDescent="0.2">
      <c r="A118" s="21" t="str">
        <f>CONCATENATE(B111, " - ", A112)</f>
        <v>A - clicks</v>
      </c>
      <c r="B118">
        <f>B112</f>
        <v>50</v>
      </c>
      <c r="C118" s="2">
        <f>B114*E112</f>
        <v>60</v>
      </c>
      <c r="D118" s="2">
        <f>B118-C118</f>
        <v>-10</v>
      </c>
      <c r="E118" s="2">
        <f>POWER(D118,2)</f>
        <v>100</v>
      </c>
      <c r="F118" s="2">
        <f>E118/C118</f>
        <v>1.6666666666666667</v>
      </c>
    </row>
    <row r="119" spans="1:10" x14ac:dyDescent="0.2">
      <c r="A119" s="21" t="str">
        <f>CONCATENATE(B111, " - ", A113)</f>
        <v>A - non-clicks</v>
      </c>
      <c r="B119">
        <f t="shared" ref="B119" si="24">B113</f>
        <v>950</v>
      </c>
      <c r="C119" s="2">
        <f>B114*E113</f>
        <v>940</v>
      </c>
      <c r="D119" s="2">
        <f t="shared" ref="D119:D121" si="25">B119-C119</f>
        <v>10</v>
      </c>
      <c r="E119" s="2">
        <f t="shared" ref="E119:E121" si="26">POWER(D119,2)</f>
        <v>100</v>
      </c>
      <c r="F119" s="2">
        <f t="shared" ref="F119:F121" si="27">E119/C119</f>
        <v>0.10638297872340426</v>
      </c>
    </row>
    <row r="120" spans="1:10" x14ac:dyDescent="0.2">
      <c r="A120" s="21" t="str">
        <f>CONCATENATE(C111, " - ", A112)</f>
        <v>B - clicks</v>
      </c>
      <c r="B120">
        <f>C112</f>
        <v>70</v>
      </c>
      <c r="C120" s="2">
        <f>C114*E112</f>
        <v>60</v>
      </c>
      <c r="D120" s="2">
        <f t="shared" si="25"/>
        <v>10</v>
      </c>
      <c r="E120" s="2">
        <f t="shared" si="26"/>
        <v>100</v>
      </c>
      <c r="F120" s="2">
        <f t="shared" si="27"/>
        <v>1.6666666666666667</v>
      </c>
    </row>
    <row r="121" spans="1:10" x14ac:dyDescent="0.2">
      <c r="A121" s="21" t="str">
        <f>CONCATENATE(C111, " - ", A113)</f>
        <v>B - non-clicks</v>
      </c>
      <c r="B121">
        <f>C113</f>
        <v>930</v>
      </c>
      <c r="C121" s="2">
        <f>C114*E113</f>
        <v>940</v>
      </c>
      <c r="D121" s="2">
        <f t="shared" si="25"/>
        <v>-10</v>
      </c>
      <c r="E121" s="2">
        <f t="shared" si="26"/>
        <v>100</v>
      </c>
      <c r="F121" s="2">
        <f t="shared" si="27"/>
        <v>0.10638297872340426</v>
      </c>
    </row>
    <row r="122" spans="1:10" x14ac:dyDescent="0.2">
      <c r="A122" s="16" t="s">
        <v>108</v>
      </c>
      <c r="B122" s="10"/>
      <c r="F122" s="19">
        <f>SUM(F118:F121)</f>
        <v>3.5460992907801416</v>
      </c>
    </row>
    <row r="123" spans="1:10" x14ac:dyDescent="0.2">
      <c r="A123" s="16" t="s">
        <v>159</v>
      </c>
      <c r="B123">
        <v>2</v>
      </c>
      <c r="F123" s="2"/>
    </row>
    <row r="124" spans="1:10" x14ac:dyDescent="0.2">
      <c r="A124" s="16" t="s">
        <v>160</v>
      </c>
      <c r="B124">
        <v>2</v>
      </c>
    </row>
    <row r="125" spans="1:10" x14ac:dyDescent="0.2">
      <c r="A125" s="12" t="s">
        <v>109</v>
      </c>
      <c r="B125">
        <f>(B123-1)*(B124-1)</f>
        <v>1</v>
      </c>
      <c r="C125" s="11" t="s">
        <v>162</v>
      </c>
    </row>
    <row r="126" spans="1:10" x14ac:dyDescent="0.2">
      <c r="A126" s="12" t="s">
        <v>4</v>
      </c>
      <c r="B126" s="10">
        <v>0.05</v>
      </c>
      <c r="C126" s="36">
        <f>1-_xlfn.CHISQ.DIST(B128,B125,TRUE)</f>
        <v>5.96856055324263E-2</v>
      </c>
      <c r="D126" s="28" t="s">
        <v>173</v>
      </c>
      <c r="E126" t="s">
        <v>175</v>
      </c>
    </row>
    <row r="127" spans="1:10" x14ac:dyDescent="0.2">
      <c r="A127" s="12" t="s">
        <v>114</v>
      </c>
      <c r="B127" s="22">
        <f>CHIINV(B126,B125)</f>
        <v>3.8414588206941236</v>
      </c>
      <c r="E127" t="s">
        <v>174</v>
      </c>
    </row>
    <row r="128" spans="1:10" x14ac:dyDescent="0.2">
      <c r="A128" s="12" t="s">
        <v>117</v>
      </c>
      <c r="B128" s="42">
        <f>F122</f>
        <v>3.5460992907801416</v>
      </c>
    </row>
    <row r="129" spans="1:3" x14ac:dyDescent="0.2">
      <c r="A129" s="1" t="s">
        <v>118</v>
      </c>
      <c r="B129" s="1" t="b">
        <f>B127&lt;=B128</f>
        <v>0</v>
      </c>
      <c r="C129" s="11"/>
    </row>
    <row r="130" spans="1:3" x14ac:dyDescent="0.2">
      <c r="A130" s="1" t="s">
        <v>119</v>
      </c>
      <c r="B130" s="1" t="b">
        <f>B127&gt;B128</f>
        <v>1</v>
      </c>
      <c r="C130" t="s">
        <v>172</v>
      </c>
    </row>
    <row r="134" spans="1:3" x14ac:dyDescent="0.2">
      <c r="B134" s="1" t="s">
        <v>178</v>
      </c>
      <c r="C134" s="1" t="s">
        <v>179</v>
      </c>
    </row>
    <row r="135" spans="1:3" x14ac:dyDescent="0.2">
      <c r="B135" t="s">
        <v>180</v>
      </c>
      <c r="C135" t="s">
        <v>181</v>
      </c>
    </row>
    <row r="136" spans="1:3" x14ac:dyDescent="0.2">
      <c r="B136" t="s">
        <v>182</v>
      </c>
      <c r="C136" t="s">
        <v>183</v>
      </c>
    </row>
    <row r="137" spans="1:3" x14ac:dyDescent="0.2">
      <c r="B137" t="s">
        <v>182</v>
      </c>
      <c r="C137" t="s">
        <v>181</v>
      </c>
    </row>
    <row r="138" spans="1:3" x14ac:dyDescent="0.2">
      <c r="B138" t="s">
        <v>182</v>
      </c>
      <c r="C138" t="s">
        <v>183</v>
      </c>
    </row>
    <row r="139" spans="1:3" x14ac:dyDescent="0.2">
      <c r="B139" t="s">
        <v>180</v>
      </c>
      <c r="C139" t="s">
        <v>183</v>
      </c>
    </row>
    <row r="140" spans="1:3" x14ac:dyDescent="0.2">
      <c r="B140" t="s">
        <v>182</v>
      </c>
      <c r="C140" t="s">
        <v>183</v>
      </c>
    </row>
    <row r="141" spans="1:3" x14ac:dyDescent="0.2">
      <c r="B141" t="s">
        <v>182</v>
      </c>
      <c r="C141" t="s">
        <v>183</v>
      </c>
    </row>
    <row r="142" spans="1:3" x14ac:dyDescent="0.2">
      <c r="B142" t="s">
        <v>182</v>
      </c>
      <c r="C142" t="s">
        <v>183</v>
      </c>
    </row>
    <row r="143" spans="1:3" x14ac:dyDescent="0.2">
      <c r="B143" t="s">
        <v>180</v>
      </c>
      <c r="C143" t="s">
        <v>181</v>
      </c>
    </row>
    <row r="144" spans="1:3" x14ac:dyDescent="0.2">
      <c r="B144" t="s">
        <v>180</v>
      </c>
      <c r="C144" t="s">
        <v>181</v>
      </c>
    </row>
    <row r="145" spans="1:6" x14ac:dyDescent="0.2">
      <c r="B145" t="s">
        <v>180</v>
      </c>
      <c r="C145" t="s">
        <v>181</v>
      </c>
    </row>
    <row r="146" spans="1:6" x14ac:dyDescent="0.2">
      <c r="B146" t="s">
        <v>180</v>
      </c>
      <c r="C146" t="s">
        <v>181</v>
      </c>
    </row>
    <row r="147" spans="1:6" x14ac:dyDescent="0.2">
      <c r="B147" t="s">
        <v>180</v>
      </c>
      <c r="C147" t="s">
        <v>183</v>
      </c>
    </row>
    <row r="148" spans="1:6" x14ac:dyDescent="0.2">
      <c r="B148" t="s">
        <v>182</v>
      </c>
      <c r="C148" t="s">
        <v>183</v>
      </c>
    </row>
    <row r="149" spans="1:6" x14ac:dyDescent="0.2">
      <c r="B149" t="s">
        <v>180</v>
      </c>
      <c r="C149" t="s">
        <v>181</v>
      </c>
    </row>
    <row r="150" spans="1:6" x14ac:dyDescent="0.2">
      <c r="B150" t="s">
        <v>182</v>
      </c>
      <c r="C150" t="s">
        <v>183</v>
      </c>
    </row>
    <row r="151" spans="1:6" x14ac:dyDescent="0.2">
      <c r="B151" t="s">
        <v>180</v>
      </c>
      <c r="C151" t="s">
        <v>183</v>
      </c>
    </row>
    <row r="152" spans="1:6" x14ac:dyDescent="0.2">
      <c r="B152" t="s">
        <v>182</v>
      </c>
      <c r="C152" t="s">
        <v>181</v>
      </c>
    </row>
    <row r="153" spans="1:6" x14ac:dyDescent="0.2">
      <c r="B153" t="s">
        <v>182</v>
      </c>
      <c r="C153" t="s">
        <v>181</v>
      </c>
    </row>
    <row r="154" spans="1:6" x14ac:dyDescent="0.2">
      <c r="B154" t="s">
        <v>182</v>
      </c>
      <c r="C154" t="s">
        <v>183</v>
      </c>
    </row>
    <row r="155" spans="1:6" x14ac:dyDescent="0.2">
      <c r="B155" t="s">
        <v>180</v>
      </c>
      <c r="C155" t="s">
        <v>181</v>
      </c>
    </row>
    <row r="156" spans="1:6" x14ac:dyDescent="0.2">
      <c r="B156" t="s">
        <v>182</v>
      </c>
      <c r="C156" t="s">
        <v>183</v>
      </c>
    </row>
    <row r="158" spans="1:6" x14ac:dyDescent="0.2">
      <c r="A158" s="18" t="s">
        <v>112</v>
      </c>
      <c r="B158" t="s">
        <v>186</v>
      </c>
    </row>
    <row r="159" spans="1:6" x14ac:dyDescent="0.2">
      <c r="A159" s="18" t="s">
        <v>184</v>
      </c>
      <c r="B159" t="s">
        <v>185</v>
      </c>
    </row>
    <row r="160" spans="1:6" x14ac:dyDescent="0.2">
      <c r="B160" s="1" t="s">
        <v>182</v>
      </c>
      <c r="C160" s="1" t="s">
        <v>180</v>
      </c>
      <c r="D160" s="1" t="s">
        <v>147</v>
      </c>
      <c r="E160" s="1" t="s">
        <v>170</v>
      </c>
      <c r="F160" s="1" t="s">
        <v>213</v>
      </c>
    </row>
    <row r="161" spans="1:6" x14ac:dyDescent="0.2">
      <c r="A161" s="13" t="s">
        <v>181</v>
      </c>
      <c r="B161">
        <f>COUNTIFS($B$135:$B$156,"=" &amp; B160,$C$135:$C$156,"=" &amp; A161)</f>
        <v>3</v>
      </c>
      <c r="C161">
        <f>COUNTIFS($B$135:$B$156,"=" &amp; C160,$C$135:$C$156,"=" &amp; A161)</f>
        <v>7</v>
      </c>
      <c r="D161">
        <f>SUM(B161:C161)</f>
        <v>10</v>
      </c>
      <c r="E161" s="25">
        <f>D161/D$163</f>
        <v>0.45454545454545453</v>
      </c>
      <c r="F161" s="1" t="s">
        <v>214</v>
      </c>
    </row>
    <row r="162" spans="1:6" x14ac:dyDescent="0.2">
      <c r="A162" s="13" t="s">
        <v>183</v>
      </c>
      <c r="B162">
        <f>COUNTIFS($B$135:$B$156,"=" &amp; B160,$C$135:$C$156,"=" &amp; A162)</f>
        <v>9</v>
      </c>
      <c r="C162">
        <f>COUNTIFS($B$135:$B$156,"=" &amp; C160,$C$135:$C$156,"=" &amp; A162)</f>
        <v>3</v>
      </c>
      <c r="D162">
        <f>SUM(B162:C162)</f>
        <v>12</v>
      </c>
      <c r="E162" s="25">
        <f>D162/D$163</f>
        <v>0.54545454545454541</v>
      </c>
    </row>
    <row r="163" spans="1:6" x14ac:dyDescent="0.2">
      <c r="A163" s="13" t="s">
        <v>147</v>
      </c>
      <c r="B163">
        <f>SUM(B161:B162)</f>
        <v>12</v>
      </c>
      <c r="C163">
        <f>SUM(C161:C162)</f>
        <v>10</v>
      </c>
      <c r="D163">
        <f t="shared" ref="D163" si="28">SUM(D161:D162)</f>
        <v>22</v>
      </c>
      <c r="E163" s="2">
        <f>SUM(E161:E162)</f>
        <v>1</v>
      </c>
    </row>
    <row r="164" spans="1:6" x14ac:dyDescent="0.2">
      <c r="A164" s="13" t="s">
        <v>170</v>
      </c>
      <c r="B164" s="26">
        <f>B163/$D163</f>
        <v>0.54545454545454541</v>
      </c>
      <c r="C164" s="26">
        <f>C163/$D163</f>
        <v>0.45454545454545453</v>
      </c>
      <c r="D164" s="26">
        <f>D163/$D163</f>
        <v>1</v>
      </c>
      <c r="E164" s="2"/>
    </row>
    <row r="166" spans="1:6" x14ac:dyDescent="0.2">
      <c r="B166" s="1" t="s">
        <v>97</v>
      </c>
      <c r="C166" s="1" t="s">
        <v>99</v>
      </c>
      <c r="D166" s="1" t="s">
        <v>88</v>
      </c>
      <c r="E166" s="1" t="s">
        <v>106</v>
      </c>
      <c r="F166" s="1" t="s">
        <v>107</v>
      </c>
    </row>
    <row r="167" spans="1:6" x14ac:dyDescent="0.2">
      <c r="A167" s="12" t="str">
        <f>CONCATENATE(B160, " - ", A161)</f>
        <v>Cat - Over</v>
      </c>
      <c r="B167">
        <f>B161</f>
        <v>3</v>
      </c>
      <c r="C167" s="2">
        <f>B163*E161</f>
        <v>5.4545454545454541</v>
      </c>
      <c r="D167" s="2">
        <f>B167-C167</f>
        <v>-2.4545454545454541</v>
      </c>
      <c r="E167" s="2">
        <f>POWER(D167,2)</f>
        <v>6.0247933884297504</v>
      </c>
      <c r="F167" s="2">
        <f>E167/C167</f>
        <v>1.1045454545454543</v>
      </c>
    </row>
    <row r="168" spans="1:6" x14ac:dyDescent="0.2">
      <c r="A168" s="12" t="str">
        <f>CONCATENATE(B160, " - ", A162)</f>
        <v>Cat - Under</v>
      </c>
      <c r="B168">
        <f t="shared" ref="B168" si="29">B162</f>
        <v>9</v>
      </c>
      <c r="C168" s="2">
        <f>B163*E162</f>
        <v>6.545454545454545</v>
      </c>
      <c r="D168" s="2">
        <f t="shared" ref="D168:D170" si="30">B168-C168</f>
        <v>2.454545454545455</v>
      </c>
      <c r="E168" s="2">
        <f t="shared" ref="E168:E170" si="31">POWER(D168,2)</f>
        <v>6.0247933884297549</v>
      </c>
      <c r="F168" s="2">
        <f t="shared" ref="F168:F170" si="32">E168/C168</f>
        <v>0.92045454545454597</v>
      </c>
    </row>
    <row r="169" spans="1:6" x14ac:dyDescent="0.2">
      <c r="A169" s="12" t="str">
        <f>CONCATENATE(C160, " - ", A161)</f>
        <v>No Cat - Over</v>
      </c>
      <c r="B169">
        <f>C161</f>
        <v>7</v>
      </c>
      <c r="C169" s="2">
        <f>C163*E161</f>
        <v>4.545454545454545</v>
      </c>
      <c r="D169" s="2">
        <f t="shared" si="30"/>
        <v>2.454545454545455</v>
      </c>
      <c r="E169" s="2">
        <f t="shared" si="31"/>
        <v>6.0247933884297549</v>
      </c>
      <c r="F169" s="2">
        <f t="shared" si="32"/>
        <v>1.3254545454545461</v>
      </c>
    </row>
    <row r="170" spans="1:6" x14ac:dyDescent="0.2">
      <c r="A170" s="12" t="str">
        <f>CONCATENATE(C160, " - ", A162)</f>
        <v>No Cat - Under</v>
      </c>
      <c r="B170">
        <f>C162</f>
        <v>3</v>
      </c>
      <c r="C170" s="2">
        <f>C163*E162</f>
        <v>5.4545454545454541</v>
      </c>
      <c r="D170" s="2">
        <f t="shared" si="30"/>
        <v>-2.4545454545454541</v>
      </c>
      <c r="E170" s="2">
        <f t="shared" si="31"/>
        <v>6.0247933884297504</v>
      </c>
      <c r="F170" s="2">
        <f t="shared" si="32"/>
        <v>1.1045454545454543</v>
      </c>
    </row>
    <row r="171" spans="1:6" x14ac:dyDescent="0.2">
      <c r="A171" s="16" t="s">
        <v>108</v>
      </c>
      <c r="B171" s="10"/>
      <c r="F171" s="19">
        <f>SUM(F167:F170)</f>
        <v>4.455000000000001</v>
      </c>
    </row>
    <row r="172" spans="1:6" x14ac:dyDescent="0.2">
      <c r="A172" s="16" t="s">
        <v>159</v>
      </c>
      <c r="B172">
        <v>2</v>
      </c>
      <c r="F172" s="2"/>
    </row>
    <row r="173" spans="1:6" x14ac:dyDescent="0.2">
      <c r="A173" s="16" t="s">
        <v>160</v>
      </c>
      <c r="B173">
        <v>2</v>
      </c>
    </row>
    <row r="174" spans="1:6" x14ac:dyDescent="0.2">
      <c r="A174" s="12" t="s">
        <v>109</v>
      </c>
      <c r="B174">
        <f>(B172-1)*(B173-1)</f>
        <v>1</v>
      </c>
      <c r="C174" s="11" t="s">
        <v>162</v>
      </c>
    </row>
    <row r="175" spans="1:6" x14ac:dyDescent="0.2">
      <c r="A175" s="12" t="s">
        <v>4</v>
      </c>
      <c r="B175" s="10">
        <v>0.05</v>
      </c>
      <c r="C175" s="15">
        <f>1-_xlfn.CHISQ.DIST(B177,B174,TRUE)</f>
        <v>3.4799216209864259E-2</v>
      </c>
      <c r="D175" s="28" t="s">
        <v>173</v>
      </c>
      <c r="E175" t="s">
        <v>175</v>
      </c>
    </row>
    <row r="176" spans="1:6" x14ac:dyDescent="0.2">
      <c r="A176" s="12" t="s">
        <v>114</v>
      </c>
      <c r="B176" s="22">
        <f>CHIINV(B175,B174)</f>
        <v>3.8414588206941236</v>
      </c>
      <c r="E176" t="s">
        <v>174</v>
      </c>
    </row>
    <row r="177" spans="1:3" x14ac:dyDescent="0.2">
      <c r="A177" s="12" t="s">
        <v>117</v>
      </c>
      <c r="B177" s="27">
        <f>F171</f>
        <v>4.455000000000001</v>
      </c>
    </row>
    <row r="178" spans="1:3" x14ac:dyDescent="0.2">
      <c r="A178" s="1" t="s">
        <v>118</v>
      </c>
      <c r="B178" s="1" t="b">
        <f>B176&lt;=B177</f>
        <v>1</v>
      </c>
      <c r="C178" s="11" t="s">
        <v>187</v>
      </c>
    </row>
    <row r="179" spans="1:3" x14ac:dyDescent="0.2">
      <c r="A179" s="1" t="s">
        <v>119</v>
      </c>
      <c r="B179" s="1" t="b">
        <f>B176&gt;B177</f>
        <v>0</v>
      </c>
    </row>
    <row r="180" spans="1:3" x14ac:dyDescent="0.2">
      <c r="A180" s="1"/>
      <c r="B180" s="1"/>
    </row>
    <row r="181" spans="1:3" x14ac:dyDescent="0.2">
      <c r="A181" s="1"/>
      <c r="B181" s="1"/>
    </row>
    <row r="182" spans="1:3" x14ac:dyDescent="0.2">
      <c r="A182" s="1"/>
      <c r="B182" s="1"/>
    </row>
    <row r="183" spans="1:3" x14ac:dyDescent="0.2">
      <c r="A183" s="1"/>
      <c r="B183" s="1"/>
    </row>
    <row r="185" spans="1:3" x14ac:dyDescent="0.2">
      <c r="A185" s="24" t="s">
        <v>188</v>
      </c>
    </row>
    <row r="186" spans="1:3" x14ac:dyDescent="0.2">
      <c r="B186" s="1" t="s">
        <v>189</v>
      </c>
      <c r="C186" s="1" t="s">
        <v>190</v>
      </c>
    </row>
    <row r="187" spans="1:3" x14ac:dyDescent="0.2">
      <c r="B187" t="s">
        <v>191</v>
      </c>
      <c r="C187" t="s">
        <v>192</v>
      </c>
    </row>
    <row r="188" spans="1:3" x14ac:dyDescent="0.2">
      <c r="B188" t="s">
        <v>191</v>
      </c>
      <c r="C188" t="s">
        <v>193</v>
      </c>
    </row>
    <row r="189" spans="1:3" x14ac:dyDescent="0.2">
      <c r="B189" t="s">
        <v>194</v>
      </c>
      <c r="C189" t="s">
        <v>192</v>
      </c>
    </row>
    <row r="190" spans="1:3" x14ac:dyDescent="0.2">
      <c r="B190" t="s">
        <v>191</v>
      </c>
      <c r="C190" t="s">
        <v>193</v>
      </c>
    </row>
    <row r="191" spans="1:3" x14ac:dyDescent="0.2">
      <c r="B191" t="s">
        <v>191</v>
      </c>
      <c r="C191" t="s">
        <v>192</v>
      </c>
    </row>
    <row r="192" spans="1:3" x14ac:dyDescent="0.2">
      <c r="B192" t="s">
        <v>194</v>
      </c>
      <c r="C192" t="s">
        <v>193</v>
      </c>
    </row>
    <row r="193" spans="1:7" x14ac:dyDescent="0.2">
      <c r="B193" t="s">
        <v>194</v>
      </c>
      <c r="C193" t="s">
        <v>193</v>
      </c>
    </row>
    <row r="194" spans="1:7" x14ac:dyDescent="0.2">
      <c r="B194" t="s">
        <v>194</v>
      </c>
      <c r="C194" t="s">
        <v>193</v>
      </c>
    </row>
    <row r="195" spans="1:7" x14ac:dyDescent="0.2">
      <c r="B195" t="s">
        <v>191</v>
      </c>
      <c r="C195" t="s">
        <v>193</v>
      </c>
    </row>
    <row r="196" spans="1:7" x14ac:dyDescent="0.2">
      <c r="B196" t="s">
        <v>194</v>
      </c>
      <c r="C196" t="s">
        <v>193</v>
      </c>
    </row>
    <row r="197" spans="1:7" x14ac:dyDescent="0.2">
      <c r="B197" t="s">
        <v>194</v>
      </c>
      <c r="C197" t="s">
        <v>193</v>
      </c>
    </row>
    <row r="198" spans="1:7" x14ac:dyDescent="0.2">
      <c r="B198" t="s">
        <v>191</v>
      </c>
      <c r="C198" t="s">
        <v>195</v>
      </c>
    </row>
    <row r="199" spans="1:7" x14ac:dyDescent="0.2">
      <c r="B199" t="s">
        <v>191</v>
      </c>
      <c r="C199" t="s">
        <v>192</v>
      </c>
    </row>
    <row r="200" spans="1:7" x14ac:dyDescent="0.2">
      <c r="B200" t="s">
        <v>194</v>
      </c>
      <c r="C200" t="s">
        <v>193</v>
      </c>
    </row>
    <row r="201" spans="1:7" x14ac:dyDescent="0.2">
      <c r="B201" t="s">
        <v>191</v>
      </c>
      <c r="C201" t="s">
        <v>195</v>
      </c>
    </row>
    <row r="202" spans="1:7" x14ac:dyDescent="0.2">
      <c r="B202" t="s">
        <v>194</v>
      </c>
      <c r="C202" t="s">
        <v>193</v>
      </c>
    </row>
    <row r="204" spans="1:7" x14ac:dyDescent="0.2">
      <c r="A204" s="18" t="s">
        <v>112</v>
      </c>
      <c r="B204" t="s">
        <v>196</v>
      </c>
    </row>
    <row r="205" spans="1:7" x14ac:dyDescent="0.2">
      <c r="A205" s="18" t="s">
        <v>184</v>
      </c>
      <c r="B205" t="s">
        <v>197</v>
      </c>
    </row>
    <row r="206" spans="1:7" x14ac:dyDescent="0.2">
      <c r="B206" s="1" t="s">
        <v>195</v>
      </c>
      <c r="C206" s="1" t="s">
        <v>192</v>
      </c>
      <c r="D206" s="1" t="s">
        <v>193</v>
      </c>
      <c r="E206" s="1" t="s">
        <v>198</v>
      </c>
      <c r="F206" s="1" t="s">
        <v>170</v>
      </c>
      <c r="G206" s="1"/>
    </row>
    <row r="207" spans="1:7" x14ac:dyDescent="0.2">
      <c r="A207" s="13" t="s">
        <v>194</v>
      </c>
      <c r="B207">
        <f>COUNTIFS($C$187:$C$202,"=" &amp; B206, $B$187:$B$202,"=" &amp; A207)</f>
        <v>0</v>
      </c>
      <c r="C207">
        <f>COUNTIFS($C$187:$C$202,"=" &amp; C206, $B$187:$B$202,"=" &amp; A207)</f>
        <v>1</v>
      </c>
      <c r="D207">
        <f>COUNTIFS($C$187:$C$202,"=" &amp; D206, $B$187:$B$202,"=" &amp; A207)</f>
        <v>7</v>
      </c>
      <c r="E207">
        <f>SUM(B207:D207)</f>
        <v>8</v>
      </c>
      <c r="F207" s="10">
        <f>E207/E$209</f>
        <v>0.5</v>
      </c>
      <c r="G207" s="1"/>
    </row>
    <row r="208" spans="1:7" x14ac:dyDescent="0.2">
      <c r="A208" s="13" t="s">
        <v>191</v>
      </c>
      <c r="B208">
        <f>COUNTIFS($C$187:$C$202,"=" &amp; B206, $B$187:$B$202,"=" &amp; A208)</f>
        <v>2</v>
      </c>
      <c r="C208">
        <f>COUNTIFS($C$187:$C$202,"=" &amp; C206, $B$187:$B$202,"=" &amp; A208)</f>
        <v>3</v>
      </c>
      <c r="D208">
        <f>COUNTIFS($C$187:$C$202,"=" &amp; D206, $B$187:$B$202,"=" &amp; A208)</f>
        <v>3</v>
      </c>
      <c r="E208">
        <f>SUM(B208:D208)</f>
        <v>8</v>
      </c>
      <c r="F208" s="10">
        <f>E208/E$209</f>
        <v>0.5</v>
      </c>
    </row>
    <row r="209" spans="1:6" x14ac:dyDescent="0.2">
      <c r="A209" s="13" t="s">
        <v>198</v>
      </c>
      <c r="B209">
        <f>SUM(B207:B208)</f>
        <v>2</v>
      </c>
      <c r="C209">
        <f>SUM(C207:C208)</f>
        <v>4</v>
      </c>
      <c r="D209">
        <f>SUM(D207:D208)</f>
        <v>10</v>
      </c>
      <c r="E209">
        <f>SUM(E207:E208)</f>
        <v>16</v>
      </c>
      <c r="F209" s="10">
        <f>SUM(F207:F208)</f>
        <v>1</v>
      </c>
    </row>
    <row r="210" spans="1:6" x14ac:dyDescent="0.2">
      <c r="A210" s="13" t="s">
        <v>170</v>
      </c>
      <c r="B210" s="10">
        <f>B209/$E209</f>
        <v>0.125</v>
      </c>
      <c r="C210" s="10">
        <f t="shared" ref="C210:D210" si="33">C209/$E209</f>
        <v>0.25</v>
      </c>
      <c r="D210" s="10">
        <f t="shared" si="33"/>
        <v>0.625</v>
      </c>
      <c r="E210" s="10">
        <f>SUM(B210:D210)</f>
        <v>1</v>
      </c>
    </row>
    <row r="212" spans="1:6" x14ac:dyDescent="0.2">
      <c r="B212" s="30" t="s">
        <v>97</v>
      </c>
      <c r="C212" s="30" t="s">
        <v>99</v>
      </c>
      <c r="D212" s="30" t="s">
        <v>88</v>
      </c>
      <c r="E212" s="30" t="s">
        <v>106</v>
      </c>
      <c r="F212" s="30" t="s">
        <v>107</v>
      </c>
    </row>
    <row r="213" spans="1:6" x14ac:dyDescent="0.2">
      <c r="A213" s="12" t="str">
        <f>CONCATENATE(B206, " - ", A207)</f>
        <v>home - high school</v>
      </c>
      <c r="B213">
        <f>B207</f>
        <v>0</v>
      </c>
      <c r="C213" s="2">
        <f>B$209*F207</f>
        <v>1</v>
      </c>
      <c r="D213" s="2">
        <f>B213-C213</f>
        <v>-1</v>
      </c>
      <c r="E213" s="2">
        <f>POWER(D213,2)</f>
        <v>1</v>
      </c>
      <c r="F213" s="2">
        <f>E213/C213</f>
        <v>1</v>
      </c>
    </row>
    <row r="214" spans="1:6" x14ac:dyDescent="0.2">
      <c r="A214" s="12" t="str">
        <f>CONCATENATE(B206, " - ", A208)</f>
        <v>home - college</v>
      </c>
      <c r="B214">
        <f t="shared" ref="B214" si="34">B208</f>
        <v>2</v>
      </c>
      <c r="C214" s="2">
        <f>B$209*F208</f>
        <v>1</v>
      </c>
      <c r="D214" s="2">
        <f t="shared" ref="D214:D218" si="35">B214-C214</f>
        <v>1</v>
      </c>
      <c r="E214" s="2">
        <f t="shared" ref="E214:E218" si="36">POWER(D214,2)</f>
        <v>1</v>
      </c>
      <c r="F214" s="2">
        <f t="shared" ref="F214:F218" si="37">E214/C214</f>
        <v>1</v>
      </c>
    </row>
    <row r="215" spans="1:6" x14ac:dyDescent="0.2">
      <c r="A215" s="12" t="str">
        <f>CONCATENATE(C206, " - ", A207)</f>
        <v>birthing center - high school</v>
      </c>
      <c r="B215">
        <f>C207</f>
        <v>1</v>
      </c>
      <c r="C215" s="2">
        <f>C$209*F207</f>
        <v>2</v>
      </c>
      <c r="D215" s="2">
        <f t="shared" si="35"/>
        <v>-1</v>
      </c>
      <c r="E215" s="2">
        <f t="shared" si="36"/>
        <v>1</v>
      </c>
      <c r="F215" s="2">
        <f t="shared" si="37"/>
        <v>0.5</v>
      </c>
    </row>
    <row r="216" spans="1:6" x14ac:dyDescent="0.2">
      <c r="A216" s="12" t="str">
        <f>CONCATENATE(C206, " - ", A208)</f>
        <v>birthing center - college</v>
      </c>
      <c r="B216">
        <f>C208</f>
        <v>3</v>
      </c>
      <c r="C216" s="2">
        <f>C$209*F208</f>
        <v>2</v>
      </c>
      <c r="D216" s="2">
        <f t="shared" si="35"/>
        <v>1</v>
      </c>
      <c r="E216" s="2">
        <f t="shared" si="36"/>
        <v>1</v>
      </c>
      <c r="F216" s="2">
        <f t="shared" si="37"/>
        <v>0.5</v>
      </c>
    </row>
    <row r="217" spans="1:6" x14ac:dyDescent="0.2">
      <c r="A217" s="12" t="str">
        <f>CONCATENATE(D206, " - ", A207)</f>
        <v>hospital - high school</v>
      </c>
      <c r="B217">
        <f>D207</f>
        <v>7</v>
      </c>
      <c r="C217" s="2">
        <f>D$209*F207</f>
        <v>5</v>
      </c>
      <c r="D217" s="2">
        <f t="shared" si="35"/>
        <v>2</v>
      </c>
      <c r="E217" s="2">
        <f t="shared" si="36"/>
        <v>4</v>
      </c>
      <c r="F217" s="2">
        <f t="shared" si="37"/>
        <v>0.8</v>
      </c>
    </row>
    <row r="218" spans="1:6" x14ac:dyDescent="0.2">
      <c r="A218" s="12" t="str">
        <f>CONCATENATE(D206, " - ", A208)</f>
        <v>hospital - college</v>
      </c>
      <c r="B218">
        <f>D208</f>
        <v>3</v>
      </c>
      <c r="C218" s="2">
        <f>D$209*F208</f>
        <v>5</v>
      </c>
      <c r="D218" s="2">
        <f t="shared" si="35"/>
        <v>-2</v>
      </c>
      <c r="E218" s="2">
        <f t="shared" si="36"/>
        <v>4</v>
      </c>
      <c r="F218" s="2">
        <f t="shared" si="37"/>
        <v>0.8</v>
      </c>
    </row>
    <row r="219" spans="1:6" x14ac:dyDescent="0.2">
      <c r="A219" s="16" t="s">
        <v>108</v>
      </c>
      <c r="B219" s="10"/>
      <c r="F219" s="19">
        <f>SUM(F213:F218)</f>
        <v>4.5999999999999996</v>
      </c>
    </row>
    <row r="220" spans="1:6" x14ac:dyDescent="0.2">
      <c r="A220" s="16" t="s">
        <v>159</v>
      </c>
      <c r="B220">
        <v>2</v>
      </c>
      <c r="F220" s="2"/>
    </row>
    <row r="221" spans="1:6" x14ac:dyDescent="0.2">
      <c r="A221" s="16" t="s">
        <v>160</v>
      </c>
      <c r="B221">
        <v>3</v>
      </c>
    </row>
    <row r="222" spans="1:6" x14ac:dyDescent="0.2">
      <c r="A222" s="12" t="s">
        <v>109</v>
      </c>
      <c r="B222">
        <f>(B220-1)*(B221-1)</f>
        <v>2</v>
      </c>
      <c r="C222" s="11" t="s">
        <v>162</v>
      </c>
    </row>
    <row r="223" spans="1:6" x14ac:dyDescent="0.2">
      <c r="A223" s="12" t="s">
        <v>4</v>
      </c>
      <c r="B223" s="10">
        <v>0.05</v>
      </c>
      <c r="C223" s="15">
        <f>1-_xlfn.CHISQ.DIST(B225,B222,TRUE)</f>
        <v>0.1002588437228038</v>
      </c>
      <c r="D223" s="28" t="s">
        <v>173</v>
      </c>
      <c r="E223" t="s">
        <v>175</v>
      </c>
    </row>
    <row r="224" spans="1:6" x14ac:dyDescent="0.2">
      <c r="A224" s="12" t="s">
        <v>114</v>
      </c>
      <c r="B224" s="22">
        <f>CHIINV(B223,B222)</f>
        <v>5.9914645471079817</v>
      </c>
      <c r="E224" t="s">
        <v>174</v>
      </c>
    </row>
    <row r="225" spans="1:3" x14ac:dyDescent="0.2">
      <c r="A225" s="12" t="s">
        <v>117</v>
      </c>
      <c r="B225" s="27">
        <f>F219</f>
        <v>4.5999999999999996</v>
      </c>
    </row>
    <row r="226" spans="1:3" x14ac:dyDescent="0.2">
      <c r="A226" s="1" t="s">
        <v>118</v>
      </c>
      <c r="B226" s="1" t="b">
        <f>B224&lt;=B225</f>
        <v>0</v>
      </c>
      <c r="C226" s="11"/>
    </row>
    <row r="227" spans="1:3" x14ac:dyDescent="0.2">
      <c r="A227" s="1" t="s">
        <v>119</v>
      </c>
      <c r="B227" s="1" t="b">
        <f>B224&gt;B225</f>
        <v>1</v>
      </c>
      <c r="C227" t="s">
        <v>199</v>
      </c>
    </row>
    <row r="230" spans="1:3" x14ac:dyDescent="0.2">
      <c r="A230" s="24" t="s">
        <v>200</v>
      </c>
    </row>
    <row r="231" spans="1:3" x14ac:dyDescent="0.2">
      <c r="B231" s="1" t="s">
        <v>201</v>
      </c>
      <c r="C231" s="1" t="s">
        <v>202</v>
      </c>
    </row>
    <row r="232" spans="1:3" x14ac:dyDescent="0.2">
      <c r="B232" t="s">
        <v>203</v>
      </c>
      <c r="C232" t="s">
        <v>204</v>
      </c>
    </row>
    <row r="233" spans="1:3" x14ac:dyDescent="0.2">
      <c r="B233" t="s">
        <v>203</v>
      </c>
      <c r="C233" t="s">
        <v>205</v>
      </c>
    </row>
    <row r="234" spans="1:3" x14ac:dyDescent="0.2">
      <c r="B234" t="s">
        <v>203</v>
      </c>
      <c r="C234" t="s">
        <v>205</v>
      </c>
    </row>
    <row r="235" spans="1:3" x14ac:dyDescent="0.2">
      <c r="B235" t="s">
        <v>203</v>
      </c>
      <c r="C235" t="s">
        <v>205</v>
      </c>
    </row>
    <row r="236" spans="1:3" x14ac:dyDescent="0.2">
      <c r="B236" t="s">
        <v>203</v>
      </c>
      <c r="C236" t="s">
        <v>206</v>
      </c>
    </row>
    <row r="237" spans="1:3" x14ac:dyDescent="0.2">
      <c r="B237" t="s">
        <v>203</v>
      </c>
      <c r="C237" t="s">
        <v>206</v>
      </c>
    </row>
    <row r="238" spans="1:3" x14ac:dyDescent="0.2">
      <c r="B238" t="s">
        <v>203</v>
      </c>
      <c r="C238" t="s">
        <v>207</v>
      </c>
    </row>
    <row r="239" spans="1:3" x14ac:dyDescent="0.2">
      <c r="B239" t="s">
        <v>203</v>
      </c>
      <c r="C239" t="s">
        <v>207</v>
      </c>
    </row>
    <row r="240" spans="1:3" x14ac:dyDescent="0.2">
      <c r="B240" t="s">
        <v>203</v>
      </c>
      <c r="C240" t="s">
        <v>207</v>
      </c>
    </row>
    <row r="241" spans="2:3" x14ac:dyDescent="0.2">
      <c r="B241" t="s">
        <v>203</v>
      </c>
      <c r="C241" t="s">
        <v>207</v>
      </c>
    </row>
    <row r="242" spans="2:3" x14ac:dyDescent="0.2">
      <c r="B242" t="s">
        <v>203</v>
      </c>
      <c r="C242" t="s">
        <v>207</v>
      </c>
    </row>
    <row r="243" spans="2:3" x14ac:dyDescent="0.2">
      <c r="B243" t="s">
        <v>203</v>
      </c>
      <c r="C243" t="s">
        <v>207</v>
      </c>
    </row>
    <row r="244" spans="2:3" x14ac:dyDescent="0.2">
      <c r="B244" t="s">
        <v>208</v>
      </c>
      <c r="C244" t="s">
        <v>204</v>
      </c>
    </row>
    <row r="245" spans="2:3" x14ac:dyDescent="0.2">
      <c r="B245" t="s">
        <v>208</v>
      </c>
      <c r="C245" t="s">
        <v>204</v>
      </c>
    </row>
    <row r="246" spans="2:3" x14ac:dyDescent="0.2">
      <c r="B246" t="s">
        <v>208</v>
      </c>
      <c r="C246" t="s">
        <v>204</v>
      </c>
    </row>
    <row r="247" spans="2:3" x14ac:dyDescent="0.2">
      <c r="B247" t="s">
        <v>208</v>
      </c>
      <c r="C247" t="s">
        <v>205</v>
      </c>
    </row>
    <row r="248" spans="2:3" x14ac:dyDescent="0.2">
      <c r="B248" t="s">
        <v>208</v>
      </c>
      <c r="C248" t="s">
        <v>205</v>
      </c>
    </row>
    <row r="249" spans="2:3" x14ac:dyDescent="0.2">
      <c r="B249" t="s">
        <v>208</v>
      </c>
      <c r="C249" t="s">
        <v>205</v>
      </c>
    </row>
    <row r="250" spans="2:3" x14ac:dyDescent="0.2">
      <c r="B250" t="s">
        <v>208</v>
      </c>
      <c r="C250" t="s">
        <v>206</v>
      </c>
    </row>
    <row r="251" spans="2:3" x14ac:dyDescent="0.2">
      <c r="B251" t="s">
        <v>208</v>
      </c>
      <c r="C251" t="s">
        <v>206</v>
      </c>
    </row>
    <row r="252" spans="2:3" x14ac:dyDescent="0.2">
      <c r="B252" t="s">
        <v>208</v>
      </c>
      <c r="C252" t="s">
        <v>206</v>
      </c>
    </row>
    <row r="253" spans="2:3" x14ac:dyDescent="0.2">
      <c r="B253" t="s">
        <v>208</v>
      </c>
      <c r="C253" t="s">
        <v>206</v>
      </c>
    </row>
    <row r="254" spans="2:3" x14ac:dyDescent="0.2">
      <c r="B254" t="s">
        <v>208</v>
      </c>
      <c r="C254" t="s">
        <v>206</v>
      </c>
    </row>
    <row r="255" spans="2:3" x14ac:dyDescent="0.2">
      <c r="B255" t="s">
        <v>208</v>
      </c>
      <c r="C255" t="s">
        <v>206</v>
      </c>
    </row>
    <row r="256" spans="2:3" x14ac:dyDescent="0.2">
      <c r="B256" t="s">
        <v>208</v>
      </c>
      <c r="C256" t="s">
        <v>206</v>
      </c>
    </row>
    <row r="257" spans="2:3" x14ac:dyDescent="0.2">
      <c r="B257" t="s">
        <v>208</v>
      </c>
      <c r="C257" t="s">
        <v>207</v>
      </c>
    </row>
    <row r="258" spans="2:3" x14ac:dyDescent="0.2">
      <c r="B258" t="s">
        <v>208</v>
      </c>
      <c r="C258" t="s">
        <v>207</v>
      </c>
    </row>
    <row r="259" spans="2:3" x14ac:dyDescent="0.2">
      <c r="B259" t="s">
        <v>208</v>
      </c>
      <c r="C259" t="s">
        <v>207</v>
      </c>
    </row>
    <row r="260" spans="2:3" x14ac:dyDescent="0.2">
      <c r="B260" t="s">
        <v>209</v>
      </c>
      <c r="C260" t="s">
        <v>204</v>
      </c>
    </row>
    <row r="261" spans="2:3" x14ac:dyDescent="0.2">
      <c r="B261" t="s">
        <v>209</v>
      </c>
      <c r="C261" t="s">
        <v>204</v>
      </c>
    </row>
    <row r="262" spans="2:3" x14ac:dyDescent="0.2">
      <c r="B262" t="s">
        <v>209</v>
      </c>
      <c r="C262" t="s">
        <v>204</v>
      </c>
    </row>
    <row r="263" spans="2:3" x14ac:dyDescent="0.2">
      <c r="B263" t="s">
        <v>209</v>
      </c>
      <c r="C263" t="s">
        <v>204</v>
      </c>
    </row>
    <row r="264" spans="2:3" x14ac:dyDescent="0.2">
      <c r="B264" t="s">
        <v>209</v>
      </c>
      <c r="C264" t="s">
        <v>204</v>
      </c>
    </row>
    <row r="265" spans="2:3" x14ac:dyDescent="0.2">
      <c r="B265" t="s">
        <v>209</v>
      </c>
      <c r="C265" t="s">
        <v>204</v>
      </c>
    </row>
    <row r="266" spans="2:3" x14ac:dyDescent="0.2">
      <c r="B266" t="s">
        <v>209</v>
      </c>
      <c r="C266" t="s">
        <v>204</v>
      </c>
    </row>
    <row r="267" spans="2:3" x14ac:dyDescent="0.2">
      <c r="B267" t="s">
        <v>209</v>
      </c>
      <c r="C267" t="s">
        <v>204</v>
      </c>
    </row>
    <row r="268" spans="2:3" x14ac:dyDescent="0.2">
      <c r="B268" t="s">
        <v>209</v>
      </c>
      <c r="C268" t="s">
        <v>205</v>
      </c>
    </row>
    <row r="269" spans="2:3" x14ac:dyDescent="0.2">
      <c r="B269" t="s">
        <v>209</v>
      </c>
      <c r="C269" t="s">
        <v>205</v>
      </c>
    </row>
    <row r="270" spans="2:3" x14ac:dyDescent="0.2">
      <c r="B270" t="s">
        <v>209</v>
      </c>
      <c r="C270" t="s">
        <v>205</v>
      </c>
    </row>
    <row r="271" spans="2:3" x14ac:dyDescent="0.2">
      <c r="B271" t="s">
        <v>209</v>
      </c>
      <c r="C271" t="s">
        <v>205</v>
      </c>
    </row>
    <row r="272" spans="2:3" x14ac:dyDescent="0.2">
      <c r="B272" t="s">
        <v>209</v>
      </c>
      <c r="C272" t="s">
        <v>206</v>
      </c>
    </row>
    <row r="273" spans="1:7" x14ac:dyDescent="0.2">
      <c r="B273" t="s">
        <v>209</v>
      </c>
      <c r="C273" t="s">
        <v>206</v>
      </c>
    </row>
    <row r="274" spans="1:7" x14ac:dyDescent="0.2">
      <c r="B274" t="s">
        <v>209</v>
      </c>
      <c r="C274" t="s">
        <v>207</v>
      </c>
    </row>
    <row r="275" spans="1:7" x14ac:dyDescent="0.2">
      <c r="B275" t="s">
        <v>209</v>
      </c>
      <c r="C275" t="s">
        <v>207</v>
      </c>
    </row>
    <row r="276" spans="1:7" x14ac:dyDescent="0.2">
      <c r="B276" t="s">
        <v>209</v>
      </c>
      <c r="C276" t="s">
        <v>207</v>
      </c>
    </row>
    <row r="277" spans="1:7" x14ac:dyDescent="0.2">
      <c r="B277" t="s">
        <v>209</v>
      </c>
      <c r="C277" t="s">
        <v>207</v>
      </c>
    </row>
    <row r="278" spans="1:7" x14ac:dyDescent="0.2">
      <c r="B278" t="s">
        <v>209</v>
      </c>
      <c r="C278" t="s">
        <v>207</v>
      </c>
    </row>
    <row r="279" spans="1:7" x14ac:dyDescent="0.2">
      <c r="B279" t="s">
        <v>209</v>
      </c>
      <c r="C279" t="s">
        <v>207</v>
      </c>
    </row>
    <row r="280" spans="1:7" x14ac:dyDescent="0.2">
      <c r="B280" t="s">
        <v>209</v>
      </c>
      <c r="C280" t="s">
        <v>207</v>
      </c>
    </row>
    <row r="281" spans="1:7" x14ac:dyDescent="0.2">
      <c r="B281" t="s">
        <v>209</v>
      </c>
      <c r="C281" t="s">
        <v>207</v>
      </c>
    </row>
    <row r="283" spans="1:7" x14ac:dyDescent="0.2">
      <c r="A283" s="18" t="s">
        <v>112</v>
      </c>
      <c r="B283" t="s">
        <v>210</v>
      </c>
    </row>
    <row r="284" spans="1:7" x14ac:dyDescent="0.2">
      <c r="A284" s="18" t="s">
        <v>184</v>
      </c>
      <c r="B284" t="s">
        <v>211</v>
      </c>
    </row>
    <row r="286" spans="1:7" x14ac:dyDescent="0.2">
      <c r="B286" s="1" t="s">
        <v>203</v>
      </c>
      <c r="C286" s="1" t="s">
        <v>208</v>
      </c>
      <c r="D286" s="1" t="s">
        <v>209</v>
      </c>
      <c r="E286" s="1" t="s">
        <v>198</v>
      </c>
      <c r="F286" s="1" t="s">
        <v>170</v>
      </c>
      <c r="G286" s="1" t="s">
        <v>213</v>
      </c>
    </row>
    <row r="287" spans="1:7" x14ac:dyDescent="0.2">
      <c r="A287" s="13" t="s">
        <v>204</v>
      </c>
      <c r="B287">
        <f>COUNTIFS($B$232:$B$281,"=" &amp; B$286, $C$232:$C$281,"=" &amp; $A287)</f>
        <v>1</v>
      </c>
      <c r="C287">
        <f t="shared" ref="C287:D287" si="38">COUNTIFS($B$232:$B$281,"=" &amp; C$286, $C$232:$C$281,"=" &amp; $A287)</f>
        <v>3</v>
      </c>
      <c r="D287">
        <f t="shared" si="38"/>
        <v>8</v>
      </c>
      <c r="E287">
        <f>SUM(B287:D287)</f>
        <v>12</v>
      </c>
      <c r="F287" s="10">
        <f>E287/E$291</f>
        <v>0.24</v>
      </c>
      <c r="G287" s="1" t="s">
        <v>214</v>
      </c>
    </row>
    <row r="288" spans="1:7" x14ac:dyDescent="0.2">
      <c r="A288" s="13" t="s">
        <v>205</v>
      </c>
      <c r="B288">
        <f t="shared" ref="B288:D290" si="39">COUNTIFS($B$232:$B$281,"=" &amp; B$286, $C$232:$C$281,"=" &amp; $A288)</f>
        <v>3</v>
      </c>
      <c r="C288">
        <f t="shared" si="39"/>
        <v>3</v>
      </c>
      <c r="D288">
        <f t="shared" si="39"/>
        <v>4</v>
      </c>
      <c r="E288">
        <f t="shared" ref="E288:E290" si="40">SUM(B288:D288)</f>
        <v>10</v>
      </c>
      <c r="F288" s="10">
        <f t="shared" ref="F288:F291" si="41">E288/E$291</f>
        <v>0.2</v>
      </c>
    </row>
    <row r="289" spans="1:6" x14ac:dyDescent="0.2">
      <c r="A289" s="13" t="s">
        <v>206</v>
      </c>
      <c r="B289">
        <f t="shared" si="39"/>
        <v>2</v>
      </c>
      <c r="C289">
        <f t="shared" si="39"/>
        <v>7</v>
      </c>
      <c r="D289">
        <f t="shared" si="39"/>
        <v>2</v>
      </c>
      <c r="E289">
        <f t="shared" si="40"/>
        <v>11</v>
      </c>
      <c r="F289" s="10">
        <f t="shared" si="41"/>
        <v>0.22</v>
      </c>
    </row>
    <row r="290" spans="1:6" x14ac:dyDescent="0.2">
      <c r="A290" s="13" t="s">
        <v>207</v>
      </c>
      <c r="B290">
        <f t="shared" si="39"/>
        <v>6</v>
      </c>
      <c r="C290">
        <f t="shared" si="39"/>
        <v>3</v>
      </c>
      <c r="D290">
        <f t="shared" si="39"/>
        <v>8</v>
      </c>
      <c r="E290">
        <f t="shared" si="40"/>
        <v>17</v>
      </c>
      <c r="F290" s="10">
        <f t="shared" si="41"/>
        <v>0.34</v>
      </c>
    </row>
    <row r="291" spans="1:6" x14ac:dyDescent="0.2">
      <c r="A291" s="13" t="s">
        <v>198</v>
      </c>
      <c r="B291">
        <f>SUM(B287:B290)</f>
        <v>12</v>
      </c>
      <c r="C291">
        <f>SUM(C287:C290)</f>
        <v>16</v>
      </c>
      <c r="D291">
        <f>SUM(D287:D290)</f>
        <v>22</v>
      </c>
      <c r="E291">
        <f>SUM(E287:E290)</f>
        <v>50</v>
      </c>
      <c r="F291" s="10">
        <f t="shared" si="41"/>
        <v>1</v>
      </c>
    </row>
    <row r="292" spans="1:6" x14ac:dyDescent="0.2">
      <c r="A292" s="13" t="s">
        <v>170</v>
      </c>
      <c r="B292" s="10">
        <f>B291/$E291</f>
        <v>0.24</v>
      </c>
      <c r="C292" s="10">
        <f>C291/$E291</f>
        <v>0.32</v>
      </c>
      <c r="D292" s="10">
        <f>D291/$E291</f>
        <v>0.44</v>
      </c>
      <c r="E292" s="10">
        <f>E291/$E291</f>
        <v>1</v>
      </c>
    </row>
    <row r="294" spans="1:6" x14ac:dyDescent="0.2">
      <c r="B294" s="30" t="s">
        <v>97</v>
      </c>
      <c r="C294" s="30" t="s">
        <v>99</v>
      </c>
      <c r="D294" s="30" t="s">
        <v>88</v>
      </c>
      <c r="E294" s="30" t="s">
        <v>106</v>
      </c>
      <c r="F294" s="30" t="s">
        <v>107</v>
      </c>
    </row>
    <row r="295" spans="1:6" x14ac:dyDescent="0.2">
      <c r="A295" s="12" t="str">
        <f>CONCATENATE(B$286, " - ", A287)</f>
        <v>human resources - park</v>
      </c>
      <c r="B295">
        <f>B287</f>
        <v>1</v>
      </c>
      <c r="C295" s="2">
        <f>B$291*F287</f>
        <v>2.88</v>
      </c>
      <c r="D295" s="2">
        <f>B295-C295</f>
        <v>-1.88</v>
      </c>
      <c r="E295" s="2">
        <f>POWER(D295,2)</f>
        <v>3.5343999999999998</v>
      </c>
      <c r="F295" s="2">
        <f>E295/C295</f>
        <v>1.2272222222222222</v>
      </c>
    </row>
    <row r="296" spans="1:6" x14ac:dyDescent="0.2">
      <c r="A296" s="12" t="str">
        <f t="shared" ref="A296:A298" si="42">CONCATENATE(B$286, " - ", A288)</f>
        <v>human resources - restaurant</v>
      </c>
      <c r="B296">
        <f t="shared" ref="B296:B298" si="43">B288</f>
        <v>3</v>
      </c>
      <c r="C296" s="2">
        <f t="shared" ref="C296:C298" si="44">B$291*F288</f>
        <v>2.4000000000000004</v>
      </c>
      <c r="D296" s="2">
        <f t="shared" ref="D296:D300" si="45">B296-C296</f>
        <v>0.59999999999999964</v>
      </c>
      <c r="E296" s="2">
        <f t="shared" ref="E296:E306" si="46">POWER(D296,2)</f>
        <v>0.3599999999999996</v>
      </c>
      <c r="F296" s="2">
        <f t="shared" ref="F296:F300" si="47">E296/C296</f>
        <v>0.1499999999999998</v>
      </c>
    </row>
    <row r="297" spans="1:6" x14ac:dyDescent="0.2">
      <c r="A297" s="12" t="str">
        <f t="shared" si="42"/>
        <v>human resources - boss's house</v>
      </c>
      <c r="B297">
        <f t="shared" si="43"/>
        <v>2</v>
      </c>
      <c r="C297" s="2">
        <f t="shared" si="44"/>
        <v>2.64</v>
      </c>
      <c r="D297" s="2">
        <f t="shared" si="45"/>
        <v>-0.64000000000000012</v>
      </c>
      <c r="E297" s="2">
        <f t="shared" si="46"/>
        <v>0.40960000000000019</v>
      </c>
      <c r="F297" s="2">
        <f t="shared" si="47"/>
        <v>0.15515151515151521</v>
      </c>
    </row>
    <row r="298" spans="1:6" x14ac:dyDescent="0.2">
      <c r="A298" s="12" t="str">
        <f t="shared" si="42"/>
        <v>human resources - ice skating rink</v>
      </c>
      <c r="B298">
        <f t="shared" si="43"/>
        <v>6</v>
      </c>
      <c r="C298" s="2">
        <f t="shared" si="44"/>
        <v>4.08</v>
      </c>
      <c r="D298" s="2">
        <f t="shared" si="45"/>
        <v>1.92</v>
      </c>
      <c r="E298" s="2">
        <f t="shared" si="46"/>
        <v>3.6863999999999999</v>
      </c>
      <c r="F298" s="2">
        <f t="shared" si="47"/>
        <v>0.9035294117647058</v>
      </c>
    </row>
    <row r="299" spans="1:6" x14ac:dyDescent="0.2">
      <c r="A299" s="12" t="str">
        <f>CONCATENATE(C$286, " - ", A287)</f>
        <v>accounting - park</v>
      </c>
      <c r="B299">
        <f>C287</f>
        <v>3</v>
      </c>
      <c r="C299" s="2">
        <f>C$291*F287</f>
        <v>3.84</v>
      </c>
      <c r="D299" s="2">
        <f t="shared" si="45"/>
        <v>-0.83999999999999986</v>
      </c>
      <c r="E299" s="2">
        <f t="shared" si="46"/>
        <v>0.70559999999999978</v>
      </c>
      <c r="F299" s="2">
        <f t="shared" si="47"/>
        <v>0.18374999999999994</v>
      </c>
    </row>
    <row r="300" spans="1:6" x14ac:dyDescent="0.2">
      <c r="A300" s="12" t="str">
        <f t="shared" ref="A300:A302" si="48">CONCATENATE(C$286, " - ", A288)</f>
        <v>accounting - restaurant</v>
      </c>
      <c r="B300">
        <f t="shared" ref="B300:B302" si="49">C288</f>
        <v>3</v>
      </c>
      <c r="C300" s="2">
        <f t="shared" ref="C300:C302" si="50">C$291*F288</f>
        <v>3.2</v>
      </c>
      <c r="D300" s="2">
        <f t="shared" si="45"/>
        <v>-0.20000000000000018</v>
      </c>
      <c r="E300" s="2">
        <f t="shared" si="46"/>
        <v>4.000000000000007E-2</v>
      </c>
      <c r="F300" s="2">
        <f t="shared" si="47"/>
        <v>1.2500000000000022E-2</v>
      </c>
    </row>
    <row r="301" spans="1:6" x14ac:dyDescent="0.2">
      <c r="A301" s="12" t="str">
        <f t="shared" si="48"/>
        <v>accounting - boss's house</v>
      </c>
      <c r="B301">
        <f t="shared" si="49"/>
        <v>7</v>
      </c>
      <c r="C301" s="2">
        <f t="shared" si="50"/>
        <v>3.52</v>
      </c>
      <c r="D301" s="2">
        <f t="shared" ref="D301:D306" si="51">B301-C301</f>
        <v>3.48</v>
      </c>
      <c r="E301" s="2">
        <f t="shared" si="46"/>
        <v>12.1104</v>
      </c>
      <c r="F301" s="2">
        <f t="shared" ref="F301:F306" si="52">E301/C301</f>
        <v>3.4404545454545454</v>
      </c>
    </row>
    <row r="302" spans="1:6" x14ac:dyDescent="0.2">
      <c r="A302" s="12" t="str">
        <f t="shared" si="48"/>
        <v>accounting - ice skating rink</v>
      </c>
      <c r="B302">
        <f t="shared" si="49"/>
        <v>3</v>
      </c>
      <c r="C302" s="2">
        <f t="shared" si="50"/>
        <v>5.44</v>
      </c>
      <c r="D302" s="2">
        <f t="shared" si="51"/>
        <v>-2.4400000000000004</v>
      </c>
      <c r="E302" s="2">
        <f t="shared" si="46"/>
        <v>5.9536000000000016</v>
      </c>
      <c r="F302" s="2">
        <f t="shared" si="52"/>
        <v>1.0944117647058826</v>
      </c>
    </row>
    <row r="303" spans="1:6" x14ac:dyDescent="0.2">
      <c r="A303" s="12" t="str">
        <f>CONCATENATE(D$286, " - ", A287)</f>
        <v>customer service - park</v>
      </c>
      <c r="B303">
        <f>D287</f>
        <v>8</v>
      </c>
      <c r="C303" s="2">
        <f>D$291*F287</f>
        <v>5.2799999999999994</v>
      </c>
      <c r="D303" s="2">
        <f t="shared" si="51"/>
        <v>2.7200000000000006</v>
      </c>
      <c r="E303" s="2">
        <f t="shared" si="46"/>
        <v>7.3984000000000032</v>
      </c>
      <c r="F303" s="2">
        <f t="shared" si="52"/>
        <v>1.401212121212122</v>
      </c>
    </row>
    <row r="304" spans="1:6" x14ac:dyDescent="0.2">
      <c r="A304" s="12" t="str">
        <f t="shared" ref="A304:A306" si="53">CONCATENATE(D$286, " - ", A288)</f>
        <v>customer service - restaurant</v>
      </c>
      <c r="B304">
        <f t="shared" ref="B304:B306" si="54">D288</f>
        <v>4</v>
      </c>
      <c r="C304" s="2">
        <f t="shared" ref="C304:C306" si="55">D$291*F288</f>
        <v>4.4000000000000004</v>
      </c>
      <c r="D304" s="2">
        <f t="shared" si="51"/>
        <v>-0.40000000000000036</v>
      </c>
      <c r="E304" s="2">
        <f t="shared" si="46"/>
        <v>0.16000000000000028</v>
      </c>
      <c r="F304" s="2">
        <f t="shared" si="52"/>
        <v>3.6363636363636424E-2</v>
      </c>
    </row>
    <row r="305" spans="1:6" x14ac:dyDescent="0.2">
      <c r="A305" s="12" t="str">
        <f t="shared" si="53"/>
        <v>customer service - boss's house</v>
      </c>
      <c r="B305">
        <f t="shared" si="54"/>
        <v>2</v>
      </c>
      <c r="C305" s="2">
        <f t="shared" si="55"/>
        <v>4.84</v>
      </c>
      <c r="D305" s="2">
        <f t="shared" si="51"/>
        <v>-2.84</v>
      </c>
      <c r="E305" s="2">
        <f t="shared" si="46"/>
        <v>8.0655999999999999</v>
      </c>
      <c r="F305" s="2">
        <f t="shared" si="52"/>
        <v>1.6664462809917355</v>
      </c>
    </row>
    <row r="306" spans="1:6" x14ac:dyDescent="0.2">
      <c r="A306" s="12" t="str">
        <f t="shared" si="53"/>
        <v>customer service - ice skating rink</v>
      </c>
      <c r="B306">
        <f t="shared" si="54"/>
        <v>8</v>
      </c>
      <c r="C306" s="2">
        <f t="shared" si="55"/>
        <v>7.48</v>
      </c>
      <c r="D306" s="2">
        <f t="shared" si="51"/>
        <v>0.51999999999999957</v>
      </c>
      <c r="E306" s="2">
        <f t="shared" si="46"/>
        <v>0.27039999999999953</v>
      </c>
      <c r="F306" s="2">
        <f t="shared" si="52"/>
        <v>3.6149732620320792E-2</v>
      </c>
    </row>
    <row r="307" spans="1:6" x14ac:dyDescent="0.2">
      <c r="A307" s="16" t="s">
        <v>108</v>
      </c>
      <c r="B307" s="10"/>
      <c r="F307" s="19">
        <f>SUM(F295:F306)</f>
        <v>10.307191230486685</v>
      </c>
    </row>
    <row r="308" spans="1:6" x14ac:dyDescent="0.2">
      <c r="A308" s="16" t="s">
        <v>159</v>
      </c>
      <c r="B308">
        <v>4</v>
      </c>
      <c r="F308" s="2"/>
    </row>
    <row r="309" spans="1:6" x14ac:dyDescent="0.2">
      <c r="A309" s="16" t="s">
        <v>160</v>
      </c>
      <c r="B309">
        <v>3</v>
      </c>
    </row>
    <row r="310" spans="1:6" x14ac:dyDescent="0.2">
      <c r="A310" s="12" t="s">
        <v>109</v>
      </c>
      <c r="B310">
        <f>(B308-1)*(B309-1)</f>
        <v>6</v>
      </c>
      <c r="C310" s="11" t="s">
        <v>162</v>
      </c>
    </row>
    <row r="311" spans="1:6" x14ac:dyDescent="0.2">
      <c r="A311" s="12" t="s">
        <v>4</v>
      </c>
      <c r="B311" s="10">
        <v>0.05</v>
      </c>
      <c r="C311" s="15">
        <f>1-_xlfn.CHISQ.DIST(B313,B310,TRUE)</f>
        <v>0.1122974696444865</v>
      </c>
      <c r="D311" s="28" t="s">
        <v>173</v>
      </c>
      <c r="E311" t="s">
        <v>175</v>
      </c>
    </row>
    <row r="312" spans="1:6" x14ac:dyDescent="0.2">
      <c r="A312" s="12" t="s">
        <v>114</v>
      </c>
      <c r="B312" s="22">
        <f>CHIINV(B311,B310)</f>
        <v>12.591587243743978</v>
      </c>
      <c r="E312" t="s">
        <v>174</v>
      </c>
    </row>
    <row r="313" spans="1:6" x14ac:dyDescent="0.2">
      <c r="A313" s="12" t="s">
        <v>117</v>
      </c>
      <c r="B313" s="27">
        <f>F307</f>
        <v>10.307191230486685</v>
      </c>
    </row>
    <row r="314" spans="1:6" x14ac:dyDescent="0.2">
      <c r="A314" s="1" t="s">
        <v>118</v>
      </c>
      <c r="B314" s="1" t="b">
        <f>B312&lt;=B313</f>
        <v>0</v>
      </c>
      <c r="C314" s="11"/>
    </row>
    <row r="315" spans="1:6" x14ac:dyDescent="0.2">
      <c r="A315" s="1" t="s">
        <v>119</v>
      </c>
      <c r="B315" s="1" t="b">
        <f>B312&gt;B313</f>
        <v>1</v>
      </c>
      <c r="C315" t="s">
        <v>212</v>
      </c>
    </row>
  </sheetData>
  <conditionalFormatting sqref="B27:B28">
    <cfRule type="containsText" dxfId="19" priority="15" operator="containsText" text="TRUE">
      <formula>NOT(ISERROR(SEARCH("TRUE",B27)))</formula>
    </cfRule>
    <cfRule type="containsText" dxfId="18" priority="16" operator="containsText" text="FALSE">
      <formula>NOT(ISERROR(SEARCH("FALSE",B27)))</formula>
    </cfRule>
  </conditionalFormatting>
  <conditionalFormatting sqref="B47:B48">
    <cfRule type="containsText" dxfId="17" priority="13" operator="containsText" text="TRUE">
      <formula>NOT(ISERROR(SEARCH("TRUE",B47)))</formula>
    </cfRule>
    <cfRule type="containsText" dxfId="16" priority="14" operator="containsText" text="FALSE">
      <formula>NOT(ISERROR(SEARCH("FALSE",B47)))</formula>
    </cfRule>
  </conditionalFormatting>
  <conditionalFormatting sqref="B76:B77">
    <cfRule type="containsText" dxfId="15" priority="11" operator="containsText" text="TRUE">
      <formula>NOT(ISERROR(SEARCH("TRUE",B76)))</formula>
    </cfRule>
    <cfRule type="containsText" dxfId="14" priority="12" operator="containsText" text="FALSE">
      <formula>NOT(ISERROR(SEARCH("FALSE",B76)))</formula>
    </cfRule>
  </conditionalFormatting>
  <conditionalFormatting sqref="B103:B104">
    <cfRule type="containsText" dxfId="13" priority="9" operator="containsText" text="TRUE">
      <formula>NOT(ISERROR(SEARCH("TRUE",B103)))</formula>
    </cfRule>
    <cfRule type="containsText" dxfId="12" priority="10" operator="containsText" text="FALSE">
      <formula>NOT(ISERROR(SEARCH("FALSE",B103)))</formula>
    </cfRule>
  </conditionalFormatting>
  <conditionalFormatting sqref="B129:B130">
    <cfRule type="containsText" dxfId="11" priority="7" operator="containsText" text="TRUE">
      <formula>NOT(ISERROR(SEARCH("TRUE",B129)))</formula>
    </cfRule>
    <cfRule type="containsText" dxfId="10" priority="8" operator="containsText" text="FALSE">
      <formula>NOT(ISERROR(SEARCH("FALSE",B129)))</formula>
    </cfRule>
  </conditionalFormatting>
  <conditionalFormatting sqref="B178:B183">
    <cfRule type="containsText" dxfId="9" priority="5" operator="containsText" text="TRUE">
      <formula>NOT(ISERROR(SEARCH("TRUE",B178)))</formula>
    </cfRule>
    <cfRule type="containsText" dxfId="8" priority="6" operator="containsText" text="FALSE">
      <formula>NOT(ISERROR(SEARCH("FALSE",B178)))</formula>
    </cfRule>
  </conditionalFormatting>
  <conditionalFormatting sqref="B226:B227">
    <cfRule type="containsText" dxfId="7" priority="3" operator="containsText" text="TRUE">
      <formula>NOT(ISERROR(SEARCH("TRUE",B226)))</formula>
    </cfRule>
    <cfRule type="containsText" dxfId="6" priority="4" operator="containsText" text="FALSE">
      <formula>NOT(ISERROR(SEARCH("FALSE",B226)))</formula>
    </cfRule>
  </conditionalFormatting>
  <conditionalFormatting sqref="B314:B315">
    <cfRule type="containsText" dxfId="5" priority="1" operator="containsText" text="TRUE">
      <formula>NOT(ISERROR(SEARCH("TRUE",B314)))</formula>
    </cfRule>
    <cfRule type="containsText" dxfId="4" priority="2" operator="containsText" text="FALSE">
      <formula>NOT(ISERROR(SEARCH("FALSE",B314)))</formula>
    </cfRule>
  </conditionalFormatting>
  <hyperlinks>
    <hyperlink ref="G108" r:id="rId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D19" sqref="D19"/>
    </sheetView>
  </sheetViews>
  <sheetFormatPr baseColWidth="10" defaultColWidth="8.83203125" defaultRowHeight="16" x14ac:dyDescent="0.2"/>
  <sheetData>
    <row r="1" spans="1:7" x14ac:dyDescent="0.2">
      <c r="A1" s="1" t="s">
        <v>100</v>
      </c>
      <c r="B1" s="1" t="s">
        <v>98</v>
      </c>
      <c r="C1" s="1" t="s">
        <v>97</v>
      </c>
      <c r="D1" s="1" t="s">
        <v>99</v>
      </c>
      <c r="E1" s="1" t="s">
        <v>88</v>
      </c>
      <c r="F1" s="1" t="s">
        <v>106</v>
      </c>
      <c r="G1" s="1" t="s">
        <v>107</v>
      </c>
    </row>
    <row r="2" spans="1:7" x14ac:dyDescent="0.2">
      <c r="A2" s="12" t="s">
        <v>241</v>
      </c>
      <c r="B2" s="34">
        <v>0.49399999999999999</v>
      </c>
      <c r="C2">
        <v>7558</v>
      </c>
      <c r="D2" s="35">
        <f>B2*C$6</f>
        <v>17321.121999999999</v>
      </c>
      <c r="E2">
        <f>C2-D2</f>
        <v>-9763.1219999999994</v>
      </c>
      <c r="F2">
        <f>POWER(E2,2)</f>
        <v>95318551.186883986</v>
      </c>
      <c r="G2" s="2">
        <f>F2/D2</f>
        <v>5503.0240643119996</v>
      </c>
    </row>
    <row r="3" spans="1:7" x14ac:dyDescent="0.2">
      <c r="A3" s="12" t="s">
        <v>242</v>
      </c>
      <c r="B3" s="34">
        <v>8.8869900000000002E-2</v>
      </c>
      <c r="C3">
        <v>2968</v>
      </c>
      <c r="D3" s="35">
        <f>B3*C$6</f>
        <v>3116.0453037000002</v>
      </c>
      <c r="E3">
        <f t="shared" ref="E3:E5" si="0">C3-D3</f>
        <v>-148.0453037000002</v>
      </c>
      <c r="F3">
        <f t="shared" ref="F3:F5" si="1">POWER(E3,2)</f>
        <v>21917.411947625293</v>
      </c>
      <c r="G3" s="2">
        <f t="shared" ref="G3:G5" si="2">F3/D3</f>
        <v>7.0337269877304101</v>
      </c>
    </row>
    <row r="4" spans="1:7" x14ac:dyDescent="0.2">
      <c r="A4" s="12" t="s">
        <v>243</v>
      </c>
      <c r="B4" s="34">
        <v>0.29854732</v>
      </c>
      <c r="C4">
        <v>17675</v>
      </c>
      <c r="D4" s="35">
        <f>B4*C$6</f>
        <v>10467.96468116</v>
      </c>
      <c r="E4">
        <f t="shared" si="0"/>
        <v>7207.0353188400004</v>
      </c>
      <c r="F4">
        <f t="shared" si="1"/>
        <v>51941358.087007187</v>
      </c>
      <c r="G4" s="2">
        <f t="shared" si="2"/>
        <v>4961.9347857076782</v>
      </c>
    </row>
    <row r="5" spans="1:7" ht="14.5" customHeight="1" x14ac:dyDescent="0.2">
      <c r="A5" s="12" t="s">
        <v>244</v>
      </c>
      <c r="B5" s="34">
        <v>3.3112580000000003E-2</v>
      </c>
      <c r="C5">
        <v>1687</v>
      </c>
      <c r="D5" s="35">
        <f>B5*C$6</f>
        <v>1161.0263925400002</v>
      </c>
      <c r="E5">
        <f t="shared" si="0"/>
        <v>525.97360745999981</v>
      </c>
      <c r="F5">
        <f t="shared" si="1"/>
        <v>276648.23574448598</v>
      </c>
      <c r="G5" s="2">
        <f t="shared" si="2"/>
        <v>238.2790240790799</v>
      </c>
    </row>
    <row r="6" spans="1:7" x14ac:dyDescent="0.2">
      <c r="A6" s="16" t="s">
        <v>108</v>
      </c>
      <c r="B6" s="10">
        <f>SUM(B2:B5)</f>
        <v>0.91452979999999995</v>
      </c>
      <c r="C6">
        <v>35063</v>
      </c>
      <c r="D6">
        <f>SUM(D2:D5)</f>
        <v>32066.158377399999</v>
      </c>
      <c r="G6" s="19">
        <f>SUM(G2:G5)</f>
        <v>10710.271601086488</v>
      </c>
    </row>
    <row r="7" spans="1:7" x14ac:dyDescent="0.2">
      <c r="A7" s="16" t="s">
        <v>110</v>
      </c>
      <c r="B7">
        <v>5</v>
      </c>
    </row>
    <row r="8" spans="1:7" x14ac:dyDescent="0.2">
      <c r="A8" s="12" t="s">
        <v>109</v>
      </c>
      <c r="B8">
        <f>B7-1</f>
        <v>4</v>
      </c>
    </row>
    <row r="9" spans="1:7" x14ac:dyDescent="0.2">
      <c r="A9" s="12" t="s">
        <v>4</v>
      </c>
      <c r="B9" s="10">
        <v>0.1</v>
      </c>
      <c r="C9" s="2">
        <f>B9</f>
        <v>0.1</v>
      </c>
      <c r="D9" s="11" t="s">
        <v>116</v>
      </c>
    </row>
    <row r="10" spans="1:7" x14ac:dyDescent="0.2">
      <c r="A10" s="12" t="s">
        <v>114</v>
      </c>
      <c r="B10" s="19">
        <f>CHIINV(B9,B8)</f>
        <v>7.7794403397348582</v>
      </c>
      <c r="C10" s="11" t="s">
        <v>115</v>
      </c>
    </row>
    <row r="11" spans="1:7" x14ac:dyDescent="0.2">
      <c r="A11" s="12" t="s">
        <v>117</v>
      </c>
      <c r="B11" s="19">
        <f>G6</f>
        <v>10710.271601086488</v>
      </c>
    </row>
    <row r="12" spans="1:7" x14ac:dyDescent="0.2">
      <c r="A12" s="1" t="s">
        <v>118</v>
      </c>
      <c r="B12" s="1" t="b">
        <f>B10&lt;=B11</f>
        <v>1</v>
      </c>
    </row>
    <row r="13" spans="1:7" x14ac:dyDescent="0.2">
      <c r="A13" s="1" t="s">
        <v>119</v>
      </c>
      <c r="B13" s="1" t="b">
        <f>B10&gt;B11</f>
        <v>0</v>
      </c>
    </row>
    <row r="14" spans="1:7" x14ac:dyDescent="0.2">
      <c r="A14" s="1"/>
      <c r="B14" s="1"/>
    </row>
    <row r="16" spans="1:7" x14ac:dyDescent="0.2">
      <c r="A16" s="18" t="s">
        <v>112</v>
      </c>
      <c r="B16" t="s">
        <v>126</v>
      </c>
    </row>
    <row r="17" spans="1:2" x14ac:dyDescent="0.2">
      <c r="A17" s="18" t="s">
        <v>111</v>
      </c>
      <c r="B17" t="s">
        <v>113</v>
      </c>
    </row>
  </sheetData>
  <conditionalFormatting sqref="B14">
    <cfRule type="containsText" dxfId="3" priority="3" operator="containsText" text="TRUE">
      <formula>NOT(ISERROR(SEARCH("TRUE",B14)))</formula>
    </cfRule>
    <cfRule type="containsText" dxfId="2" priority="4" operator="containsText" text="FALSE">
      <formula>NOT(ISERROR(SEARCH("FALSE",B14)))</formula>
    </cfRule>
  </conditionalFormatting>
  <conditionalFormatting sqref="B12:B13">
    <cfRule type="containsText" dxfId="1" priority="1" operator="containsText" text="TRUE">
      <formula>NOT(ISERROR(SEARCH("TRUE",B12)))</formula>
    </cfRule>
    <cfRule type="containsText" dxfId="0" priority="2" operator="containsText" text="FALSE">
      <formula>NOT(ISERROR(SEARCH("FALSE",B12)))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C20" sqref="C20"/>
    </sheetView>
  </sheetViews>
  <sheetFormatPr baseColWidth="10" defaultColWidth="10.6640625" defaultRowHeight="16" x14ac:dyDescent="0.2"/>
  <sheetData>
    <row r="1" spans="1:10" s="1" customFormat="1" x14ac:dyDescent="0.35">
      <c r="D1" s="1" t="s">
        <v>229</v>
      </c>
      <c r="E1" s="1" t="s">
        <v>230</v>
      </c>
      <c r="F1" s="1" t="s">
        <v>231</v>
      </c>
      <c r="H1" s="1" t="s">
        <v>232</v>
      </c>
      <c r="I1" s="1" t="s">
        <v>233</v>
      </c>
      <c r="J1" s="1" t="s">
        <v>234</v>
      </c>
    </row>
    <row r="2" spans="1:10" x14ac:dyDescent="0.35">
      <c r="A2">
        <v>32</v>
      </c>
      <c r="B2">
        <v>20</v>
      </c>
      <c r="D2" s="3">
        <f>AVERAGE($A$1:$A$34)</f>
        <v>21</v>
      </c>
      <c r="E2" s="3">
        <f>A2-D2</f>
        <v>11</v>
      </c>
      <c r="F2">
        <f>POWER(E2,2)</f>
        <v>121</v>
      </c>
      <c r="H2" s="3">
        <f>AVERAGE($B$1:$B$34)</f>
        <v>15</v>
      </c>
      <c r="I2">
        <f>B2-H2</f>
        <v>5</v>
      </c>
      <c r="J2">
        <f>POWER(I2,2)</f>
        <v>25</v>
      </c>
    </row>
    <row r="3" spans="1:10" x14ac:dyDescent="0.35">
      <c r="A3">
        <v>15</v>
      </c>
      <c r="B3">
        <v>15</v>
      </c>
      <c r="D3" s="3">
        <f t="shared" ref="D3:D16" si="0">AVERAGE($A$1:$A$34)</f>
        <v>21</v>
      </c>
      <c r="E3" s="3">
        <f t="shared" ref="E3:E16" si="1">A3-D3</f>
        <v>-6</v>
      </c>
      <c r="F3">
        <f t="shared" ref="F3:F16" si="2">POWER(E3,2)</f>
        <v>36</v>
      </c>
      <c r="H3" s="3">
        <f t="shared" ref="H3:H16" si="3">AVERAGE($B$1:$B$34)</f>
        <v>15</v>
      </c>
      <c r="I3">
        <f t="shared" ref="I3:I16" si="4">B3-H3</f>
        <v>0</v>
      </c>
      <c r="J3">
        <f t="shared" ref="J3:J16" si="5">POWER(I3,2)</f>
        <v>0</v>
      </c>
    </row>
    <row r="4" spans="1:10" x14ac:dyDescent="0.35">
      <c r="A4">
        <v>0</v>
      </c>
      <c r="B4">
        <v>15</v>
      </c>
      <c r="D4" s="3">
        <f t="shared" si="0"/>
        <v>21</v>
      </c>
      <c r="E4" s="3">
        <f t="shared" si="1"/>
        <v>-21</v>
      </c>
      <c r="F4">
        <f t="shared" si="2"/>
        <v>441</v>
      </c>
      <c r="H4" s="3">
        <f t="shared" si="3"/>
        <v>15</v>
      </c>
      <c r="I4">
        <f t="shared" si="4"/>
        <v>0</v>
      </c>
      <c r="J4">
        <f t="shared" si="5"/>
        <v>0</v>
      </c>
    </row>
    <row r="5" spans="1:10" x14ac:dyDescent="0.35">
      <c r="A5">
        <v>39</v>
      </c>
      <c r="B5">
        <v>0</v>
      </c>
      <c r="D5" s="3">
        <f t="shared" si="0"/>
        <v>21</v>
      </c>
      <c r="E5" s="3">
        <f t="shared" si="1"/>
        <v>18</v>
      </c>
      <c r="F5">
        <f t="shared" si="2"/>
        <v>324</v>
      </c>
      <c r="H5" s="3">
        <f t="shared" si="3"/>
        <v>15</v>
      </c>
      <c r="I5">
        <f t="shared" si="4"/>
        <v>-15</v>
      </c>
      <c r="J5">
        <f t="shared" si="5"/>
        <v>225</v>
      </c>
    </row>
    <row r="6" spans="1:10" x14ac:dyDescent="0.35">
      <c r="A6">
        <v>26</v>
      </c>
      <c r="B6">
        <v>7</v>
      </c>
      <c r="D6" s="3">
        <f t="shared" si="0"/>
        <v>21</v>
      </c>
      <c r="E6" s="3">
        <f t="shared" si="1"/>
        <v>5</v>
      </c>
      <c r="F6">
        <f t="shared" si="2"/>
        <v>25</v>
      </c>
      <c r="H6" s="3">
        <f t="shared" si="3"/>
        <v>15</v>
      </c>
      <c r="I6">
        <f t="shared" si="4"/>
        <v>-8</v>
      </c>
      <c r="J6">
        <f t="shared" si="5"/>
        <v>64</v>
      </c>
    </row>
    <row r="7" spans="1:10" x14ac:dyDescent="0.35">
      <c r="A7">
        <v>36</v>
      </c>
      <c r="B7">
        <v>0</v>
      </c>
      <c r="D7" s="3">
        <f t="shared" si="0"/>
        <v>21</v>
      </c>
      <c r="E7" s="3">
        <f t="shared" si="1"/>
        <v>15</v>
      </c>
      <c r="F7">
        <f t="shared" si="2"/>
        <v>225</v>
      </c>
      <c r="H7" s="3">
        <f t="shared" si="3"/>
        <v>15</v>
      </c>
      <c r="I7">
        <f t="shared" si="4"/>
        <v>-15</v>
      </c>
      <c r="J7">
        <f t="shared" si="5"/>
        <v>225</v>
      </c>
    </row>
    <row r="8" spans="1:10" x14ac:dyDescent="0.35">
      <c r="A8">
        <v>12</v>
      </c>
      <c r="B8">
        <v>36</v>
      </c>
      <c r="D8" s="3">
        <f t="shared" si="0"/>
        <v>21</v>
      </c>
      <c r="E8" s="3">
        <f t="shared" si="1"/>
        <v>-9</v>
      </c>
      <c r="F8">
        <f t="shared" si="2"/>
        <v>81</v>
      </c>
      <c r="H8" s="3">
        <f t="shared" si="3"/>
        <v>15</v>
      </c>
      <c r="I8">
        <f t="shared" si="4"/>
        <v>21</v>
      </c>
      <c r="J8">
        <f t="shared" si="5"/>
        <v>441</v>
      </c>
    </row>
    <row r="9" spans="1:10" x14ac:dyDescent="0.35">
      <c r="A9">
        <v>4</v>
      </c>
      <c r="B9">
        <v>21</v>
      </c>
      <c r="D9" s="3">
        <f t="shared" si="0"/>
        <v>21</v>
      </c>
      <c r="E9" s="3">
        <f t="shared" si="1"/>
        <v>-17</v>
      </c>
      <c r="F9">
        <f t="shared" si="2"/>
        <v>289</v>
      </c>
      <c r="H9" s="3">
        <f t="shared" si="3"/>
        <v>15</v>
      </c>
      <c r="I9">
        <f t="shared" si="4"/>
        <v>6</v>
      </c>
      <c r="J9">
        <f t="shared" si="5"/>
        <v>36</v>
      </c>
    </row>
    <row r="10" spans="1:10" x14ac:dyDescent="0.35">
      <c r="A10">
        <v>17</v>
      </c>
      <c r="B10">
        <v>6</v>
      </c>
      <c r="D10" s="3">
        <f t="shared" si="0"/>
        <v>21</v>
      </c>
      <c r="E10" s="3">
        <f t="shared" si="1"/>
        <v>-4</v>
      </c>
      <c r="F10">
        <f t="shared" si="2"/>
        <v>16</v>
      </c>
      <c r="H10" s="3">
        <f t="shared" si="3"/>
        <v>15</v>
      </c>
      <c r="I10">
        <f t="shared" si="4"/>
        <v>-9</v>
      </c>
      <c r="J10">
        <f t="shared" si="5"/>
        <v>81</v>
      </c>
    </row>
    <row r="11" spans="1:10" x14ac:dyDescent="0.35">
      <c r="A11">
        <v>13</v>
      </c>
      <c r="B11">
        <v>22</v>
      </c>
      <c r="D11" s="3">
        <f t="shared" si="0"/>
        <v>21</v>
      </c>
      <c r="E11" s="3">
        <f t="shared" si="1"/>
        <v>-8</v>
      </c>
      <c r="F11">
        <f t="shared" si="2"/>
        <v>64</v>
      </c>
      <c r="H11" s="3">
        <f t="shared" si="3"/>
        <v>15</v>
      </c>
      <c r="I11">
        <f t="shared" si="4"/>
        <v>7</v>
      </c>
      <c r="J11">
        <f t="shared" si="5"/>
        <v>49</v>
      </c>
    </row>
    <row r="12" spans="1:10" x14ac:dyDescent="0.35">
      <c r="A12">
        <v>0</v>
      </c>
      <c r="B12">
        <v>26</v>
      </c>
      <c r="D12" s="3">
        <f t="shared" si="0"/>
        <v>21</v>
      </c>
      <c r="E12" s="3">
        <f t="shared" si="1"/>
        <v>-21</v>
      </c>
      <c r="F12">
        <f t="shared" si="2"/>
        <v>441</v>
      </c>
      <c r="H12" s="3">
        <f t="shared" si="3"/>
        <v>15</v>
      </c>
      <c r="I12">
        <f t="shared" si="4"/>
        <v>11</v>
      </c>
      <c r="J12">
        <f t="shared" si="5"/>
        <v>121</v>
      </c>
    </row>
    <row r="13" spans="1:10" x14ac:dyDescent="0.35">
      <c r="A13">
        <v>25</v>
      </c>
      <c r="B13">
        <v>20</v>
      </c>
      <c r="D13" s="3">
        <f t="shared" si="0"/>
        <v>21</v>
      </c>
      <c r="E13" s="3">
        <f t="shared" si="1"/>
        <v>4</v>
      </c>
      <c r="F13">
        <f t="shared" si="2"/>
        <v>16</v>
      </c>
      <c r="H13" s="3">
        <f t="shared" si="3"/>
        <v>15</v>
      </c>
      <c r="I13">
        <f t="shared" si="4"/>
        <v>5</v>
      </c>
      <c r="J13">
        <f t="shared" si="5"/>
        <v>25</v>
      </c>
    </row>
    <row r="14" spans="1:10" x14ac:dyDescent="0.35">
      <c r="A14">
        <v>38</v>
      </c>
      <c r="B14">
        <v>8</v>
      </c>
      <c r="D14" s="3">
        <f t="shared" si="0"/>
        <v>21</v>
      </c>
      <c r="E14" s="3">
        <f t="shared" si="1"/>
        <v>17</v>
      </c>
      <c r="F14">
        <f t="shared" si="2"/>
        <v>289</v>
      </c>
      <c r="H14" s="3">
        <f t="shared" si="3"/>
        <v>15</v>
      </c>
      <c r="I14">
        <f t="shared" si="4"/>
        <v>-7</v>
      </c>
      <c r="J14">
        <f t="shared" si="5"/>
        <v>49</v>
      </c>
    </row>
    <row r="15" spans="1:10" x14ac:dyDescent="0.35">
      <c r="A15">
        <v>33</v>
      </c>
      <c r="B15">
        <v>28</v>
      </c>
      <c r="D15" s="3">
        <f t="shared" si="0"/>
        <v>21</v>
      </c>
      <c r="E15" s="3">
        <f t="shared" si="1"/>
        <v>12</v>
      </c>
      <c r="F15">
        <f t="shared" si="2"/>
        <v>144</v>
      </c>
      <c r="H15" s="3">
        <f t="shared" si="3"/>
        <v>15</v>
      </c>
      <c r="I15">
        <f t="shared" si="4"/>
        <v>13</v>
      </c>
      <c r="J15">
        <f t="shared" si="5"/>
        <v>169</v>
      </c>
    </row>
    <row r="16" spans="1:10" x14ac:dyDescent="0.35">
      <c r="A16">
        <v>25</v>
      </c>
      <c r="B16">
        <v>1</v>
      </c>
      <c r="D16" s="3">
        <f t="shared" si="0"/>
        <v>21</v>
      </c>
      <c r="E16" s="3">
        <f t="shared" si="1"/>
        <v>4</v>
      </c>
      <c r="F16">
        <f t="shared" si="2"/>
        <v>16</v>
      </c>
      <c r="H16" s="3">
        <f t="shared" si="3"/>
        <v>15</v>
      </c>
      <c r="I16">
        <f t="shared" si="4"/>
        <v>-14</v>
      </c>
      <c r="J16">
        <f t="shared" si="5"/>
        <v>196</v>
      </c>
    </row>
    <row r="35" spans="1:10" x14ac:dyDescent="0.2">
      <c r="E35" s="13" t="s">
        <v>147</v>
      </c>
      <c r="F35" s="1">
        <f>SUM(F2:F34)</f>
        <v>2528</v>
      </c>
      <c r="I35" s="13" t="s">
        <v>147</v>
      </c>
      <c r="J35" s="1">
        <f>SUM(J2:J34)</f>
        <v>1706</v>
      </c>
    </row>
    <row r="36" spans="1:10" x14ac:dyDescent="0.2">
      <c r="B36" s="1">
        <v>1</v>
      </c>
      <c r="C36" s="1">
        <v>2</v>
      </c>
    </row>
    <row r="37" spans="1:10" x14ac:dyDescent="0.2">
      <c r="A37" s="1" t="s">
        <v>217</v>
      </c>
      <c r="B37" s="33">
        <f>D2</f>
        <v>21</v>
      </c>
      <c r="C37" s="33">
        <f>H2</f>
        <v>15</v>
      </c>
    </row>
    <row r="38" spans="1:10" x14ac:dyDescent="0.2">
      <c r="A38" s="1" t="s">
        <v>235</v>
      </c>
      <c r="B38">
        <f>COUNT(A1:A34)</f>
        <v>15</v>
      </c>
      <c r="C38">
        <f>COUNT(B1:B34)</f>
        <v>15</v>
      </c>
      <c r="D38" t="s">
        <v>237</v>
      </c>
    </row>
    <row r="39" spans="1:10" x14ac:dyDescent="0.2">
      <c r="A39" s="1" t="s">
        <v>236</v>
      </c>
      <c r="B39" s="2">
        <f>SQRT(F35/B38)</f>
        <v>12.982038874280624</v>
      </c>
      <c r="C39" s="2">
        <f>SQRT(J35/C38)</f>
        <v>10.664583129843066</v>
      </c>
      <c r="D39" t="s">
        <v>16</v>
      </c>
      <c r="F39" t="s">
        <v>238</v>
      </c>
    </row>
    <row r="41" spans="1:10" x14ac:dyDescent="0.2">
      <c r="A41" t="s">
        <v>109</v>
      </c>
      <c r="B41">
        <f>(B38 - 1) + (C38 - 1)</f>
        <v>28</v>
      </c>
    </row>
    <row r="42" spans="1:10" x14ac:dyDescent="0.2">
      <c r="A42" t="s">
        <v>222</v>
      </c>
      <c r="B42">
        <v>1</v>
      </c>
      <c r="C42">
        <v>2</v>
      </c>
    </row>
    <row r="43" spans="1:10" x14ac:dyDescent="0.2">
      <c r="A43" t="s">
        <v>4</v>
      </c>
      <c r="B43" s="10">
        <v>0.05</v>
      </c>
    </row>
    <row r="44" spans="1:10" x14ac:dyDescent="0.2">
      <c r="A44" t="s">
        <v>220</v>
      </c>
      <c r="B44" s="32">
        <f>_xlfn.T.INV(1-($B43/B42),$B41)</f>
        <v>1.7011309342659309</v>
      </c>
      <c r="C44" s="32">
        <f>_xlfn.T.INV(1-($B43/C42),$B41)</f>
        <v>2.0484071417952445</v>
      </c>
    </row>
    <row r="45" spans="1:10" x14ac:dyDescent="0.2">
      <c r="A45" t="s">
        <v>219</v>
      </c>
      <c r="B45" s="14">
        <f>SQRT( ( (B38 * POWER(B39, 2) ) +(C38 * POWER(C39, 2)  )  ) / ( B38 + C38 - 2 ) ) * SQRT( (B38 + C38) / (B38 * C38) )</f>
        <v>4.4902009712155158</v>
      </c>
      <c r="G45" s="2"/>
      <c r="H45" s="2"/>
    </row>
    <row r="46" spans="1:10" x14ac:dyDescent="0.2">
      <c r="A46" t="s">
        <v>221</v>
      </c>
      <c r="B46" s="19">
        <f>(B37 - C37)/B45</f>
        <v>1.3362430854349434</v>
      </c>
    </row>
    <row r="48" spans="1:10" x14ac:dyDescent="0.2">
      <c r="A48" t="s">
        <v>223</v>
      </c>
      <c r="B48" t="s">
        <v>226</v>
      </c>
      <c r="C48" t="s">
        <v>227</v>
      </c>
    </row>
    <row r="49" spans="1:8" x14ac:dyDescent="0.2">
      <c r="A49" t="s">
        <v>224</v>
      </c>
      <c r="B49" t="s">
        <v>225</v>
      </c>
      <c r="C49" t="s">
        <v>228</v>
      </c>
    </row>
    <row r="51" spans="1:8" x14ac:dyDescent="0.2">
      <c r="G51" s="14"/>
      <c r="H51"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E13" sqref="E13"/>
    </sheetView>
  </sheetViews>
  <sheetFormatPr baseColWidth="10" defaultColWidth="10.6640625" defaultRowHeight="16" x14ac:dyDescent="0.2"/>
  <cols>
    <col min="1" max="1" width="23.1640625" bestFit="1" customWidth="1"/>
    <col min="2" max="2" width="20.6640625" bestFit="1" customWidth="1"/>
  </cols>
  <sheetData>
    <row r="1" spans="1:5" x14ac:dyDescent="0.35">
      <c r="B1" t="s">
        <v>215</v>
      </c>
      <c r="C1" t="s">
        <v>216</v>
      </c>
    </row>
    <row r="2" spans="1:5" x14ac:dyDescent="0.35">
      <c r="A2" t="s">
        <v>217</v>
      </c>
      <c r="B2">
        <v>9.25</v>
      </c>
      <c r="C2">
        <v>8.5</v>
      </c>
    </row>
    <row r="3" spans="1:5" x14ac:dyDescent="0.35">
      <c r="A3" t="s">
        <v>218</v>
      </c>
      <c r="B3">
        <v>75</v>
      </c>
      <c r="C3">
        <v>125</v>
      </c>
    </row>
    <row r="4" spans="1:5" x14ac:dyDescent="0.35">
      <c r="A4" t="s">
        <v>16</v>
      </c>
      <c r="B4">
        <v>1.25</v>
      </c>
      <c r="C4">
        <v>0.95</v>
      </c>
    </row>
    <row r="6" spans="1:5" x14ac:dyDescent="0.35">
      <c r="A6" t="s">
        <v>109</v>
      </c>
      <c r="B6">
        <f>(n_1 - 1) + (n_2 - 1)</f>
        <v>198</v>
      </c>
    </row>
    <row r="7" spans="1:5" x14ac:dyDescent="0.35">
      <c r="A7" t="s">
        <v>222</v>
      </c>
      <c r="B7">
        <v>1</v>
      </c>
      <c r="C7">
        <v>2</v>
      </c>
    </row>
    <row r="8" spans="1:5" x14ac:dyDescent="0.35">
      <c r="A8" t="s">
        <v>4</v>
      </c>
      <c r="B8" s="10">
        <v>0.05</v>
      </c>
    </row>
    <row r="9" spans="1:5" x14ac:dyDescent="0.35">
      <c r="A9" t="s">
        <v>220</v>
      </c>
      <c r="B9" s="32">
        <f>_xlfn.T.INV(1 - (alpha / tails),  degrees_of_freedom)</f>
        <v>1.6525857836178461</v>
      </c>
      <c r="C9" s="32">
        <f>_xlfn.T.INV(1 - (alpha / C7),  degrees_of_freedom)</f>
        <v>1.9720174778363073</v>
      </c>
    </row>
    <row r="10" spans="1:5" x14ac:dyDescent="0.35">
      <c r="A10" t="s">
        <v>219</v>
      </c>
      <c r="B10" s="31">
        <f>SQRT( ( (n_1 * POWER(s_1, 2) ) +(n_2 * POWER(s_2, 2)  )  ) / ( n_1 + n_2 - 2 ) ) * SQRT( (n_1 + n_2) / (n_1 * n_2) )</f>
        <v>0.15742028071739925</v>
      </c>
    </row>
    <row r="11" spans="1:5" x14ac:dyDescent="0.35">
      <c r="A11" t="s">
        <v>221</v>
      </c>
      <c r="B11" s="19">
        <f>(x_1 - x_2)/estimate_of_std_err_of_mean</f>
        <v>4.7643162404620494</v>
      </c>
      <c r="D11" s="24" t="s">
        <v>239</v>
      </c>
    </row>
    <row r="12" spans="1:5" x14ac:dyDescent="0.35">
      <c r="E12" t="s">
        <v>240</v>
      </c>
    </row>
    <row r="13" spans="1:5" x14ac:dyDescent="0.35">
      <c r="A13" t="s">
        <v>223</v>
      </c>
      <c r="B13" t="s">
        <v>226</v>
      </c>
      <c r="C13" t="s">
        <v>227</v>
      </c>
    </row>
    <row r="14" spans="1:5" x14ac:dyDescent="0.35">
      <c r="A14" t="s">
        <v>224</v>
      </c>
      <c r="B14" t="s">
        <v>225</v>
      </c>
      <c r="C14" t="s">
        <v>228</v>
      </c>
    </row>
    <row r="41" spans="2:3" x14ac:dyDescent="0.2">
      <c r="B41" s="31"/>
      <c r="C41" s="31"/>
    </row>
    <row r="45" spans="2:3" x14ac:dyDescent="0.2">
      <c r="B45" s="10"/>
    </row>
    <row r="46" spans="2:3" x14ac:dyDescent="0.2">
      <c r="B46" s="32"/>
      <c r="C46" s="32"/>
    </row>
    <row r="47" spans="2:3" x14ac:dyDescent="0.2">
      <c r="B47" s="2"/>
    </row>
    <row r="48" spans="2:3" x14ac:dyDescent="0.2">
      <c r="B48" s="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5" sqref="B5"/>
    </sheetView>
  </sheetViews>
  <sheetFormatPr baseColWidth="10" defaultColWidth="10.6640625" defaultRowHeight="16" x14ac:dyDescent="0.2"/>
  <cols>
    <col min="1" max="1" width="23.1640625" style="1" bestFit="1" customWidth="1"/>
  </cols>
  <sheetData>
    <row r="1" spans="1:8" x14ac:dyDescent="0.35">
      <c r="A1" s="1" t="s">
        <v>1</v>
      </c>
      <c r="B1" t="s">
        <v>2</v>
      </c>
      <c r="H1" s="8"/>
    </row>
    <row r="2" spans="1:8" x14ac:dyDescent="0.35">
      <c r="A2" s="1" t="s">
        <v>0</v>
      </c>
      <c r="B2" t="s">
        <v>3</v>
      </c>
    </row>
    <row r="4" spans="1:8" x14ac:dyDescent="0.35">
      <c r="B4" t="s">
        <v>17</v>
      </c>
      <c r="C4" t="s">
        <v>18</v>
      </c>
    </row>
    <row r="5" spans="1:8" x14ac:dyDescent="0.35">
      <c r="A5" s="1" t="s">
        <v>58</v>
      </c>
      <c r="B5" s="2">
        <f>AVERAGE(data!A:A)</f>
        <v>4.5333333333333332</v>
      </c>
      <c r="C5" s="2">
        <f>AVERAGE(data!B:B)</f>
        <v>4.0303030303030303</v>
      </c>
    </row>
    <row r="6" spans="1:8" x14ac:dyDescent="0.35">
      <c r="A6" s="1" t="s">
        <v>59</v>
      </c>
      <c r="B6" s="2">
        <f>MEDIAN(data!A:A)</f>
        <v>3.5</v>
      </c>
      <c r="C6" s="2">
        <f>MEDIAN(data!B:B)</f>
        <v>3</v>
      </c>
    </row>
    <row r="7" spans="1:8" x14ac:dyDescent="0.35">
      <c r="A7" s="1" t="s">
        <v>57</v>
      </c>
      <c r="B7" s="2">
        <f>MODE(data!A:A)</f>
        <v>1</v>
      </c>
      <c r="C7" s="2">
        <f>MODE(data!B:B)</f>
        <v>3</v>
      </c>
    </row>
    <row r="8" spans="1:8" x14ac:dyDescent="0.35">
      <c r="A8" s="1" t="s">
        <v>16</v>
      </c>
      <c r="B8" s="2">
        <f>STDEV(data!A:A)</f>
        <v>3.7391990045198584</v>
      </c>
      <c r="C8" s="2">
        <f>STDEV(data!B:B)</f>
        <v>3.2450428395173816</v>
      </c>
      <c r="D8" t="s">
        <v>72</v>
      </c>
    </row>
    <row r="9" spans="1:8" x14ac:dyDescent="0.35">
      <c r="A9" s="1" t="s">
        <v>20</v>
      </c>
      <c r="B9" s="2">
        <f>group1_mean-(2*group1_standard_deviation)</f>
        <v>-2.9450646757063836</v>
      </c>
      <c r="C9" s="2">
        <f>group2_mean-(2*group2_standard_deviation)</f>
        <v>-2.4597826487317329</v>
      </c>
      <c r="D9" t="s">
        <v>73</v>
      </c>
    </row>
    <row r="10" spans="1:8" x14ac:dyDescent="0.35">
      <c r="A10" s="1" t="s">
        <v>19</v>
      </c>
      <c r="B10" s="2">
        <f>group1_mean+(2*group1_standard_deviation)</f>
        <v>12.01173134237305</v>
      </c>
      <c r="C10" s="2">
        <f>group2_mean+(2*group2_standard_deviation)</f>
        <v>10.520388709337794</v>
      </c>
    </row>
    <row r="11" spans="1:8" x14ac:dyDescent="0.35">
      <c r="A11" s="1" t="s">
        <v>74</v>
      </c>
      <c r="B11" s="2">
        <f>_xlfn.QUARTILE.EXC(data!A:A,3) - _xlfn.QUARTILE.EXC(data!A:A,1)</f>
        <v>5.25</v>
      </c>
      <c r="C11" s="2">
        <f>_xlfn.QUARTILE.EXC(data!B:B,3) - _xlfn.QUARTILE.EXC(data!B:B,1)</f>
        <v>3.5</v>
      </c>
      <c r="D11" t="s">
        <v>79</v>
      </c>
    </row>
    <row r="12" spans="1:8" x14ac:dyDescent="0.35">
      <c r="A12" s="1" t="s">
        <v>75</v>
      </c>
      <c r="B12" s="2">
        <f>_xlfn.QUARTILE.EXC(data!A:A,1) - (1.5 * group1_iqr)</f>
        <v>-6.125</v>
      </c>
      <c r="C12" s="2">
        <f>_xlfn.QUARTILE.EXC(data!B:B,1) - (1.5 * group2_iqr)</f>
        <v>-3.25</v>
      </c>
      <c r="D12" t="s">
        <v>76</v>
      </c>
    </row>
    <row r="13" spans="1:8" x14ac:dyDescent="0.35">
      <c r="A13" s="1" t="s">
        <v>78</v>
      </c>
      <c r="B13" s="2">
        <f>_xlfn.QUARTILE.EXC(data!A:A,3) + (1.5 * group1_iqr)</f>
        <v>14.875</v>
      </c>
      <c r="C13" s="2">
        <f>_xlfn.QUARTILE.EXC(data!B:B,3) + (1.5 * group2_iqr)</f>
        <v>10.75</v>
      </c>
      <c r="D13" t="s">
        <v>77</v>
      </c>
    </row>
    <row r="14" spans="1:8" x14ac:dyDescent="0.35">
      <c r="B14" s="2"/>
    </row>
    <row r="15" spans="1:8" x14ac:dyDescent="0.35">
      <c r="B15" s="2"/>
    </row>
    <row r="16" spans="1:8" x14ac:dyDescent="0.35">
      <c r="B1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28" sqref="C28"/>
    </sheetView>
  </sheetViews>
  <sheetFormatPr baseColWidth="10" defaultColWidth="10.6640625" defaultRowHeight="16" x14ac:dyDescent="0.2"/>
  <cols>
    <col min="1" max="1" width="21.1640625" style="1" customWidth="1"/>
    <col min="2" max="7" width="16.5" customWidth="1"/>
  </cols>
  <sheetData>
    <row r="1" spans="1:7" x14ac:dyDescent="0.35">
      <c r="A1" s="9" t="s">
        <v>28</v>
      </c>
      <c r="B1" t="s">
        <v>29</v>
      </c>
    </row>
    <row r="2" spans="1:7" x14ac:dyDescent="0.35">
      <c r="A2" s="1" t="s">
        <v>30</v>
      </c>
      <c r="B2" t="s">
        <v>31</v>
      </c>
    </row>
    <row r="3" spans="1:7" x14ac:dyDescent="0.35">
      <c r="A3" s="1" t="s">
        <v>32</v>
      </c>
      <c r="B3" t="s">
        <v>33</v>
      </c>
    </row>
    <row r="4" spans="1:7" x14ac:dyDescent="0.35">
      <c r="A4" s="1" t="s">
        <v>34</v>
      </c>
      <c r="B4" t="s">
        <v>35</v>
      </c>
    </row>
    <row r="6" spans="1:7" x14ac:dyDescent="0.35">
      <c r="A6" s="1" t="s">
        <v>21</v>
      </c>
      <c r="B6" s="1" t="s">
        <v>24</v>
      </c>
      <c r="C6" s="1" t="s">
        <v>23</v>
      </c>
      <c r="D6" s="1" t="s">
        <v>25</v>
      </c>
      <c r="E6" s="1"/>
      <c r="F6" s="1" t="s">
        <v>26</v>
      </c>
      <c r="G6" s="1" t="s">
        <v>27</v>
      </c>
    </row>
    <row r="7" spans="1:7" x14ac:dyDescent="0.2">
      <c r="A7" s="38" t="s">
        <v>22</v>
      </c>
      <c r="B7" s="37" t="s">
        <v>36</v>
      </c>
      <c r="C7" t="s">
        <v>37</v>
      </c>
      <c r="D7" t="s">
        <v>38</v>
      </c>
    </row>
    <row r="8" spans="1:7" x14ac:dyDescent="0.2">
      <c r="A8" s="38"/>
      <c r="B8" s="37"/>
      <c r="C8" t="s">
        <v>39</v>
      </c>
      <c r="D8" t="s">
        <v>39</v>
      </c>
    </row>
    <row r="9" spans="1:7" x14ac:dyDescent="0.2">
      <c r="A9" s="38"/>
      <c r="B9" s="37"/>
      <c r="C9" t="s">
        <v>41</v>
      </c>
      <c r="D9" t="s">
        <v>40</v>
      </c>
    </row>
    <row r="10" spans="1:7" x14ac:dyDescent="0.2">
      <c r="A10" s="38"/>
      <c r="B10" s="37" t="s">
        <v>42</v>
      </c>
      <c r="C10" t="s">
        <v>43</v>
      </c>
      <c r="D10" t="s">
        <v>45</v>
      </c>
    </row>
    <row r="11" spans="1:7" x14ac:dyDescent="0.2">
      <c r="A11" s="38"/>
      <c r="B11" s="37"/>
      <c r="C11" t="s">
        <v>44</v>
      </c>
      <c r="D11" t="s">
        <v>45</v>
      </c>
    </row>
    <row r="12" spans="1:7" x14ac:dyDescent="0.2">
      <c r="A12" s="38" t="s">
        <v>46</v>
      </c>
      <c r="B12" s="37" t="s">
        <v>36</v>
      </c>
      <c r="C12" s="37" t="s">
        <v>47</v>
      </c>
      <c r="D12" t="s">
        <v>48</v>
      </c>
    </row>
    <row r="13" spans="1:7" x14ac:dyDescent="0.2">
      <c r="A13" s="38"/>
      <c r="B13" s="37"/>
      <c r="C13" s="37"/>
      <c r="D13" t="s">
        <v>49</v>
      </c>
    </row>
    <row r="14" spans="1:7" x14ac:dyDescent="0.2">
      <c r="A14" s="38"/>
      <c r="B14" s="37"/>
      <c r="C14" t="s">
        <v>51</v>
      </c>
      <c r="D14" t="s">
        <v>50</v>
      </c>
    </row>
    <row r="15" spans="1:7" x14ac:dyDescent="0.2">
      <c r="A15" s="38"/>
      <c r="B15" s="37"/>
      <c r="C15" t="s">
        <v>52</v>
      </c>
      <c r="D15" t="s">
        <v>53</v>
      </c>
    </row>
    <row r="16" spans="1:7" x14ac:dyDescent="0.2">
      <c r="A16" s="38"/>
      <c r="B16" s="37" t="s">
        <v>42</v>
      </c>
      <c r="C16" s="37" t="s">
        <v>47</v>
      </c>
      <c r="D16" t="s">
        <v>54</v>
      </c>
      <c r="E16" t="s">
        <v>55</v>
      </c>
    </row>
    <row r="17" spans="1:5" x14ac:dyDescent="0.2">
      <c r="A17" s="38"/>
      <c r="B17" s="37"/>
      <c r="C17" s="37"/>
      <c r="D17" t="s">
        <v>45</v>
      </c>
      <c r="E17" t="s">
        <v>56</v>
      </c>
    </row>
    <row r="18" spans="1:5" x14ac:dyDescent="0.2">
      <c r="A18" s="38"/>
      <c r="B18" s="37"/>
      <c r="C18" t="s">
        <v>51</v>
      </c>
      <c r="D18" t="s">
        <v>45</v>
      </c>
    </row>
    <row r="22" spans="1:5" x14ac:dyDescent="0.2">
      <c r="A22" s="1" t="s">
        <v>60</v>
      </c>
      <c r="B22" t="s">
        <v>61</v>
      </c>
      <c r="C22" t="s">
        <v>62</v>
      </c>
      <c r="D22" t="s">
        <v>63</v>
      </c>
      <c r="E22" t="s">
        <v>64</v>
      </c>
    </row>
    <row r="23" spans="1:5" x14ac:dyDescent="0.2">
      <c r="A23" s="1" t="s">
        <v>65</v>
      </c>
      <c r="B23" t="s">
        <v>69</v>
      </c>
      <c r="C23" t="s">
        <v>69</v>
      </c>
      <c r="D23" t="s">
        <v>69</v>
      </c>
      <c r="E23" t="s">
        <v>69</v>
      </c>
    </row>
    <row r="24" spans="1:5" x14ac:dyDescent="0.2">
      <c r="A24" s="1" t="s">
        <v>66</v>
      </c>
      <c r="B24" t="s">
        <v>71</v>
      </c>
      <c r="C24" t="s">
        <v>69</v>
      </c>
      <c r="D24" t="s">
        <v>69</v>
      </c>
      <c r="E24" t="s">
        <v>69</v>
      </c>
    </row>
    <row r="25" spans="1:5" x14ac:dyDescent="0.2">
      <c r="A25" s="1" t="s">
        <v>67</v>
      </c>
      <c r="B25" t="s">
        <v>71</v>
      </c>
      <c r="C25" t="s">
        <v>71</v>
      </c>
      <c r="D25" t="s">
        <v>69</v>
      </c>
      <c r="E25" t="s">
        <v>69</v>
      </c>
    </row>
    <row r="26" spans="1:5" x14ac:dyDescent="0.2">
      <c r="A26" s="1" t="s">
        <v>70</v>
      </c>
      <c r="B26" t="s">
        <v>71</v>
      </c>
      <c r="C26" t="s">
        <v>71</v>
      </c>
      <c r="D26" t="s">
        <v>69</v>
      </c>
      <c r="E26" t="s">
        <v>69</v>
      </c>
    </row>
    <row r="27" spans="1:5" x14ac:dyDescent="0.2">
      <c r="A27" s="1" t="s">
        <v>68</v>
      </c>
      <c r="B27" t="s">
        <v>71</v>
      </c>
      <c r="C27" t="s">
        <v>71</v>
      </c>
      <c r="D27" t="s">
        <v>71</v>
      </c>
      <c r="E27" t="s">
        <v>69</v>
      </c>
    </row>
  </sheetData>
  <mergeCells count="8">
    <mergeCell ref="B7:B9"/>
    <mergeCell ref="B10:B11"/>
    <mergeCell ref="A7:A11"/>
    <mergeCell ref="C12:C13"/>
    <mergeCell ref="A12:A18"/>
    <mergeCell ref="B12:B15"/>
    <mergeCell ref="B16:B18"/>
    <mergeCell ref="C16:C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B12" sqref="B12"/>
    </sheetView>
  </sheetViews>
  <sheetFormatPr baseColWidth="10" defaultColWidth="10.6640625" defaultRowHeight="16" x14ac:dyDescent="0.2"/>
  <sheetData>
    <row r="1" spans="1:13" x14ac:dyDescent="0.2">
      <c r="A1">
        <v>3</v>
      </c>
      <c r="B1">
        <v>2</v>
      </c>
      <c r="E1" t="s">
        <v>5</v>
      </c>
      <c r="G1" t="s">
        <v>6</v>
      </c>
      <c r="H1">
        <v>10</v>
      </c>
      <c r="J1" s="7" t="s">
        <v>12</v>
      </c>
      <c r="K1" s="7" t="s">
        <v>14</v>
      </c>
    </row>
    <row r="2" spans="1:13" x14ac:dyDescent="0.2">
      <c r="A2">
        <v>1</v>
      </c>
      <c r="B2">
        <v>3</v>
      </c>
      <c r="D2">
        <v>1</v>
      </c>
      <c r="E2" s="3">
        <f t="shared" ref="E2:E11" si="0">H$6/H$2*D2</f>
        <v>2</v>
      </c>
      <c r="G2" t="s">
        <v>11</v>
      </c>
      <c r="H2">
        <v>10</v>
      </c>
      <c r="J2" s="4">
        <v>2</v>
      </c>
      <c r="K2" s="5">
        <v>12</v>
      </c>
    </row>
    <row r="3" spans="1:13" x14ac:dyDescent="0.2">
      <c r="A3">
        <v>2</v>
      </c>
      <c r="B3">
        <v>1</v>
      </c>
      <c r="D3">
        <v>2</v>
      </c>
      <c r="E3" s="3">
        <f t="shared" si="0"/>
        <v>4</v>
      </c>
      <c r="G3" t="s">
        <v>10</v>
      </c>
      <c r="H3">
        <f>MIN(A:A)</f>
        <v>0</v>
      </c>
      <c r="J3" s="4">
        <v>4</v>
      </c>
      <c r="K3" s="5">
        <v>6</v>
      </c>
    </row>
    <row r="4" spans="1:13" x14ac:dyDescent="0.2">
      <c r="A4">
        <v>1</v>
      </c>
      <c r="B4">
        <v>4</v>
      </c>
      <c r="D4">
        <v>3</v>
      </c>
      <c r="E4" s="3">
        <f t="shared" si="0"/>
        <v>6</v>
      </c>
      <c r="G4" t="s">
        <v>9</v>
      </c>
      <c r="H4">
        <f>MAX(A:A)</f>
        <v>15</v>
      </c>
      <c r="J4" s="4">
        <v>6</v>
      </c>
      <c r="K4" s="5">
        <v>4</v>
      </c>
    </row>
    <row r="5" spans="1:13" x14ac:dyDescent="0.2">
      <c r="A5">
        <v>1</v>
      </c>
      <c r="B5">
        <v>7</v>
      </c>
      <c r="D5">
        <v>4</v>
      </c>
      <c r="E5" s="3">
        <f t="shared" si="0"/>
        <v>8</v>
      </c>
      <c r="G5" t="s">
        <v>7</v>
      </c>
      <c r="H5">
        <f>ROUNDDOWN(H3, -1)</f>
        <v>0</v>
      </c>
      <c r="J5" s="4">
        <v>8</v>
      </c>
      <c r="K5" s="5">
        <v>3</v>
      </c>
    </row>
    <row r="6" spans="1:13" x14ac:dyDescent="0.2">
      <c r="A6">
        <v>3</v>
      </c>
      <c r="B6">
        <v>4</v>
      </c>
      <c r="D6">
        <v>5</v>
      </c>
      <c r="E6" s="3">
        <f t="shared" si="0"/>
        <v>10</v>
      </c>
      <c r="G6" t="s">
        <v>8</v>
      </c>
      <c r="H6">
        <f>MROUND(H4,H2)</f>
        <v>20</v>
      </c>
      <c r="J6" s="4">
        <v>10</v>
      </c>
      <c r="K6" s="5">
        <v>3</v>
      </c>
    </row>
    <row r="7" spans="1:13" x14ac:dyDescent="0.2">
      <c r="A7">
        <v>9</v>
      </c>
      <c r="B7">
        <v>3</v>
      </c>
      <c r="D7">
        <v>6</v>
      </c>
      <c r="E7" s="3">
        <f t="shared" si="0"/>
        <v>12</v>
      </c>
      <c r="J7" s="4">
        <v>12</v>
      </c>
      <c r="K7" s="5">
        <v>0</v>
      </c>
    </row>
    <row r="8" spans="1:13" x14ac:dyDescent="0.2">
      <c r="A8">
        <v>1</v>
      </c>
      <c r="B8">
        <v>5</v>
      </c>
      <c r="D8">
        <v>7</v>
      </c>
      <c r="E8" s="3">
        <f t="shared" si="0"/>
        <v>14</v>
      </c>
      <c r="J8" s="4">
        <v>14</v>
      </c>
      <c r="K8" s="5">
        <v>1</v>
      </c>
    </row>
    <row r="9" spans="1:13" x14ac:dyDescent="0.2">
      <c r="A9">
        <v>4</v>
      </c>
      <c r="B9">
        <v>7</v>
      </c>
      <c r="D9">
        <v>8</v>
      </c>
      <c r="E9" s="3">
        <f t="shared" si="0"/>
        <v>16</v>
      </c>
      <c r="J9" s="4">
        <v>16</v>
      </c>
      <c r="K9" s="5">
        <v>1</v>
      </c>
    </row>
    <row r="10" spans="1:13" x14ac:dyDescent="0.2">
      <c r="A10">
        <v>2</v>
      </c>
      <c r="B10">
        <v>9</v>
      </c>
      <c r="D10">
        <v>9</v>
      </c>
      <c r="E10" s="3">
        <f t="shared" si="0"/>
        <v>18</v>
      </c>
      <c r="J10" s="4">
        <v>18</v>
      </c>
      <c r="K10" s="5">
        <v>0</v>
      </c>
    </row>
    <row r="11" spans="1:13" x14ac:dyDescent="0.2">
      <c r="A11">
        <v>6</v>
      </c>
      <c r="B11">
        <v>4</v>
      </c>
      <c r="D11">
        <v>10</v>
      </c>
      <c r="E11" s="3">
        <f t="shared" si="0"/>
        <v>20</v>
      </c>
      <c r="J11" s="4">
        <v>20</v>
      </c>
      <c r="K11" s="5">
        <v>0</v>
      </c>
    </row>
    <row r="12" spans="1:13" ht="17" thickBot="1" x14ac:dyDescent="0.25">
      <c r="A12">
        <v>4</v>
      </c>
      <c r="B12">
        <v>7</v>
      </c>
      <c r="J12" s="6" t="s">
        <v>13</v>
      </c>
      <c r="K12" s="6">
        <v>0</v>
      </c>
    </row>
    <row r="13" spans="1:13" x14ac:dyDescent="0.2">
      <c r="A13">
        <v>9</v>
      </c>
      <c r="B13">
        <v>3</v>
      </c>
      <c r="M13" t="s">
        <v>15</v>
      </c>
    </row>
    <row r="14" spans="1:13" x14ac:dyDescent="0.2">
      <c r="A14">
        <v>13</v>
      </c>
      <c r="B14">
        <v>3</v>
      </c>
    </row>
    <row r="15" spans="1:13" x14ac:dyDescent="0.2">
      <c r="A15">
        <v>15</v>
      </c>
      <c r="B15">
        <v>3</v>
      </c>
    </row>
    <row r="16" spans="1:13" x14ac:dyDescent="0.2">
      <c r="A16">
        <v>2</v>
      </c>
      <c r="B16">
        <v>3</v>
      </c>
    </row>
    <row r="17" spans="1:2" x14ac:dyDescent="0.2">
      <c r="A17">
        <v>5</v>
      </c>
      <c r="B17">
        <v>3</v>
      </c>
    </row>
    <row r="18" spans="1:2" x14ac:dyDescent="0.2">
      <c r="A18">
        <v>5</v>
      </c>
      <c r="B18">
        <v>16</v>
      </c>
    </row>
    <row r="19" spans="1:2" x14ac:dyDescent="0.2">
      <c r="A19">
        <v>2</v>
      </c>
      <c r="B19">
        <v>1</v>
      </c>
    </row>
    <row r="20" spans="1:2" x14ac:dyDescent="0.2">
      <c r="A20">
        <v>7</v>
      </c>
      <c r="B20">
        <v>1</v>
      </c>
    </row>
    <row r="21" spans="1:2" x14ac:dyDescent="0.2">
      <c r="A21">
        <v>3</v>
      </c>
      <c r="B21">
        <v>1</v>
      </c>
    </row>
    <row r="22" spans="1:2" x14ac:dyDescent="0.2">
      <c r="A22">
        <v>0</v>
      </c>
      <c r="B22">
        <v>0</v>
      </c>
    </row>
    <row r="23" spans="1:2" x14ac:dyDescent="0.2">
      <c r="A23">
        <v>1</v>
      </c>
      <c r="B23">
        <v>0</v>
      </c>
    </row>
    <row r="24" spans="1:2" x14ac:dyDescent="0.2">
      <c r="A24">
        <v>2</v>
      </c>
      <c r="B24">
        <v>3</v>
      </c>
    </row>
    <row r="25" spans="1:2" x14ac:dyDescent="0.2">
      <c r="A25">
        <v>7</v>
      </c>
      <c r="B25">
        <v>5</v>
      </c>
    </row>
    <row r="26" spans="1:2" x14ac:dyDescent="0.2">
      <c r="A26">
        <v>1</v>
      </c>
      <c r="B26">
        <v>8</v>
      </c>
    </row>
    <row r="27" spans="1:2" x14ac:dyDescent="0.2">
      <c r="A27">
        <v>8</v>
      </c>
      <c r="B27">
        <v>9</v>
      </c>
    </row>
    <row r="28" spans="1:2" x14ac:dyDescent="0.2">
      <c r="A28">
        <v>6</v>
      </c>
      <c r="B28">
        <v>2</v>
      </c>
    </row>
    <row r="29" spans="1:2" x14ac:dyDescent="0.2">
      <c r="A29">
        <v>9</v>
      </c>
      <c r="B29">
        <v>6</v>
      </c>
    </row>
    <row r="30" spans="1:2" x14ac:dyDescent="0.2">
      <c r="A30">
        <v>4</v>
      </c>
      <c r="B30">
        <v>3</v>
      </c>
    </row>
    <row r="31" spans="1:2" x14ac:dyDescent="0.2">
      <c r="B31">
        <v>3</v>
      </c>
    </row>
    <row r="32" spans="1:2" x14ac:dyDescent="0.2">
      <c r="B32">
        <v>2</v>
      </c>
    </row>
    <row r="33" spans="2:2" x14ac:dyDescent="0.2">
      <c r="B33">
        <v>2</v>
      </c>
    </row>
  </sheetData>
  <sortState ref="J2:J11">
    <sortCondition ref="J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Chi-square</vt:lpstr>
      <vt:lpstr>temp-play</vt:lpstr>
      <vt:lpstr>t-test</vt:lpstr>
      <vt:lpstr>t-test simple</vt:lpstr>
      <vt:lpstr>descriptive</vt:lpstr>
      <vt:lpstr>possible tests</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2016-05-02T04:42:56Z</dcterms:created>
  <dcterms:modified xsi:type="dcterms:W3CDTF">2016-10-21T17:26:52Z</dcterms:modified>
</cp:coreProperties>
</file>