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ne\QuantLib\QuantLibXL-1.16\Mods\v1.16XL Point at 1.19 QuantExt SwaptionModified\Examples\"/>
    </mc:Choice>
  </mc:AlternateContent>
  <xr:revisionPtr revIDLastSave="0" documentId="13_ncr:1_{607AEDCB-3071-443A-8350-DD9DB6DE8FAC}" xr6:coauthVersionLast="45" xr6:coauthVersionMax="45" xr10:uidLastSave="{00000000-0000-0000-0000-000000000000}"/>
  <bookViews>
    <workbookView xWindow="0" yWindow="10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19" i="1" a="1"/>
  <c r="F6" i="1"/>
  <c r="F7" i="1"/>
  <c r="F12" i="1"/>
  <c r="F9" i="1"/>
  <c r="B5" i="1"/>
  <c r="F10" i="1"/>
  <c r="B7" i="1"/>
  <c r="B6" i="1"/>
  <c r="F13" i="1"/>
  <c r="B2" i="1"/>
  <c r="F8" i="1"/>
  <c r="F11" i="1"/>
  <c r="F5" i="1"/>
  <c r="B19" i="1" l="1"/>
  <c r="M8" i="1"/>
  <c r="M7" i="1"/>
  <c r="M6" i="1"/>
  <c r="G4" i="1"/>
  <c r="A28" i="1" a="1"/>
  <c r="A28" i="1" l="1"/>
  <c r="A27" i="1" a="1"/>
  <c r="G5" i="1" a="1"/>
  <c r="G1" i="1" a="1"/>
  <c r="K4" i="1"/>
  <c r="G2" i="1" a="1"/>
  <c r="K5" i="1" a="1"/>
  <c r="A27" i="1" l="1"/>
  <c r="K10" i="1"/>
  <c r="K5" i="1"/>
  <c r="K6" i="1"/>
  <c r="K13" i="1"/>
  <c r="K7" i="1"/>
  <c r="K12" i="1"/>
  <c r="K8" i="1"/>
  <c r="K11" i="1"/>
  <c r="K9" i="1"/>
  <c r="G1" i="1"/>
  <c r="G11" i="1"/>
  <c r="G10" i="1"/>
  <c r="G9" i="1"/>
  <c r="G7" i="1"/>
  <c r="G8" i="1"/>
  <c r="G12" i="1"/>
  <c r="G13" i="1"/>
  <c r="G6" i="1"/>
  <c r="G5" i="1"/>
  <c r="G2" i="1"/>
  <c r="K2" i="1" a="1"/>
  <c r="L11" i="1" l="1"/>
  <c r="K2" i="1"/>
  <c r="L13" i="1"/>
  <c r="L8" i="1"/>
  <c r="L6" i="1"/>
  <c r="L12" i="1"/>
  <c r="L5" i="1"/>
  <c r="L9" i="1"/>
  <c r="L7" i="1"/>
  <c r="L10" i="1"/>
  <c r="B17" i="1" a="1"/>
  <c r="O2" i="1" a="1"/>
  <c r="D30" i="1" a="1"/>
  <c r="D17" i="1" a="1"/>
  <c r="D30" i="1" l="1"/>
  <c r="D17" i="1"/>
  <c r="O2" i="1"/>
  <c r="B17" i="1"/>
  <c r="D28" i="1" a="1"/>
  <c r="F15" i="1" a="1"/>
  <c r="J15" i="1" a="1"/>
  <c r="B16" i="1" a="1"/>
  <c r="D31" i="1" a="1"/>
  <c r="D15" i="1" a="1"/>
  <c r="D16" i="1" a="1"/>
  <c r="K15" i="1" a="1"/>
  <c r="D29" i="1" a="1"/>
  <c r="I15" i="1" a="1"/>
  <c r="H15" i="1" a="1"/>
  <c r="F17" i="1" a="1"/>
  <c r="G15" i="1" a="1"/>
  <c r="D28" i="1" l="1"/>
  <c r="D31" i="1"/>
  <c r="D29" i="1"/>
  <c r="B16" i="1"/>
  <c r="K15" i="1"/>
  <c r="H15" i="1"/>
  <c r="D16" i="1"/>
  <c r="J15" i="1"/>
  <c r="G15" i="1"/>
  <c r="I15" i="1"/>
  <c r="D15" i="1"/>
  <c r="F15" i="1"/>
  <c r="R17" i="1"/>
  <c r="N21" i="1"/>
  <c r="J25" i="1"/>
  <c r="G23" i="1"/>
  <c r="U19" i="1"/>
  <c r="Q23" i="1"/>
  <c r="S22" i="1"/>
  <c r="U21" i="1"/>
  <c r="F19" i="1"/>
  <c r="M21" i="1"/>
  <c r="Q17" i="1"/>
  <c r="U18" i="1"/>
  <c r="Q22" i="1"/>
  <c r="O22" i="1"/>
  <c r="K17" i="1"/>
  <c r="G21" i="1"/>
  <c r="T24" i="1"/>
  <c r="H25" i="1"/>
  <c r="N24" i="1"/>
  <c r="H21" i="1"/>
  <c r="Q25" i="1"/>
  <c r="H19" i="1"/>
  <c r="U22" i="1"/>
  <c r="J23" i="1"/>
  <c r="O17" i="1"/>
  <c r="K21" i="1"/>
  <c r="G25" i="1"/>
  <c r="T25" i="1"/>
  <c r="I25" i="1"/>
  <c r="T21" i="1"/>
  <c r="N17" i="1"/>
  <c r="J21" i="1"/>
  <c r="F25" i="1"/>
  <c r="M25" i="1"/>
  <c r="P20" i="1"/>
  <c r="L24" i="1"/>
  <c r="I17" i="1"/>
  <c r="U25" i="1"/>
  <c r="R20" i="1"/>
  <c r="I23" i="1"/>
  <c r="O18" i="1"/>
  <c r="L19" i="1"/>
  <c r="V23" i="1"/>
  <c r="N22" i="1"/>
  <c r="Q21" i="1"/>
  <c r="O19" i="1"/>
  <c r="G18" i="1"/>
  <c r="T17" i="1"/>
  <c r="R21" i="1"/>
  <c r="Q18" i="1"/>
  <c r="M22" i="1"/>
  <c r="P21" i="1"/>
  <c r="G17" i="1"/>
  <c r="T20" i="1"/>
  <c r="P24" i="1"/>
  <c r="Q24" i="1"/>
  <c r="J24" i="1"/>
  <c r="M20" i="1"/>
  <c r="V24" i="1"/>
  <c r="S23" i="1"/>
  <c r="T19" i="1"/>
  <c r="P23" i="1"/>
  <c r="P25" i="1"/>
  <c r="J18" i="1"/>
  <c r="F22" i="1"/>
  <c r="S25" i="1"/>
  <c r="H18" i="1"/>
  <c r="L17" i="1"/>
  <c r="M24" i="1"/>
  <c r="G22" i="1"/>
  <c r="G20" i="1"/>
  <c r="T23" i="1"/>
  <c r="M17" i="1"/>
  <c r="N18" i="1"/>
  <c r="J22" i="1"/>
  <c r="R19" i="1"/>
  <c r="T18" i="1"/>
  <c r="P17" i="1"/>
  <c r="L25" i="1"/>
  <c r="M18" i="1"/>
  <c r="I22" i="1"/>
  <c r="V25" i="1"/>
  <c r="S17" i="1"/>
  <c r="O21" i="1"/>
  <c r="K25" i="1"/>
  <c r="K19" i="1"/>
  <c r="S18" i="1"/>
  <c r="P19" i="1"/>
  <c r="L23" i="1"/>
  <c r="U24" i="1"/>
  <c r="F18" i="1"/>
  <c r="S21" i="1"/>
  <c r="O25" i="1"/>
  <c r="U17" i="1"/>
  <c r="H17" i="1"/>
  <c r="N23" i="1"/>
  <c r="P18" i="1"/>
  <c r="F17" i="1"/>
  <c r="S20" i="1"/>
  <c r="O24" i="1"/>
  <c r="J20" i="1"/>
  <c r="I19" i="1"/>
  <c r="V22" i="1"/>
  <c r="U20" i="1"/>
  <c r="N20" i="1"/>
  <c r="K18" i="1"/>
  <c r="G19" i="1"/>
  <c r="J17" i="1"/>
  <c r="F21" i="1"/>
  <c r="S24" i="1"/>
  <c r="I21" i="1"/>
  <c r="M19" i="1"/>
  <c r="L21" i="1"/>
  <c r="V20" i="1"/>
  <c r="S19" i="1"/>
  <c r="H23" i="1"/>
  <c r="R18" i="1"/>
  <c r="I20" i="1"/>
  <c r="V19" i="1"/>
  <c r="O20" i="1"/>
  <c r="K24" i="1"/>
  <c r="V18" i="1"/>
  <c r="R22" i="1"/>
  <c r="Q20" i="1"/>
  <c r="F20" i="1"/>
  <c r="L18" i="1"/>
  <c r="V17" i="1"/>
  <c r="N25" i="1"/>
  <c r="F23" i="1"/>
  <c r="I18" i="1"/>
  <c r="L20" i="1"/>
  <c r="N19" i="1"/>
  <c r="H22" i="1"/>
  <c r="O23" i="1"/>
  <c r="J19" i="1"/>
  <c r="R23" i="1"/>
  <c r="F24" i="1"/>
  <c r="P22" i="1"/>
  <c r="V21" i="1"/>
  <c r="H24" i="1"/>
  <c r="T22" i="1"/>
  <c r="Q19" i="1"/>
  <c r="K22" i="1"/>
  <c r="H20" i="1"/>
  <c r="R25" i="1"/>
  <c r="K20" i="1"/>
  <c r="M23" i="1"/>
  <c r="U23" i="1"/>
  <c r="L22" i="1"/>
  <c r="R24" i="1"/>
  <c r="K23" i="1"/>
  <c r="G24" i="1"/>
  <c r="I24" i="1"/>
  <c r="F16" i="1" a="1"/>
  <c r="G16" i="1" a="1"/>
  <c r="H16" i="1" a="1"/>
  <c r="H16" i="1" l="1"/>
  <c r="G16" i="1"/>
  <c r="F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<sst xmlns="http://schemas.openxmlformats.org/spreadsheetml/2006/main" count="13" uniqueCount="12">
  <si>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TARGET</t>
  </si>
  <si>
    <t>1y</t>
  </si>
  <si>
    <t>2y</t>
  </si>
  <si>
    <t>3y</t>
  </si>
  <si>
    <t>1Y</t>
  </si>
  <si>
    <t>1Y3M</t>
  </si>
  <si>
    <t>1Y6M</t>
  </si>
  <si>
    <t>1Y9M</t>
  </si>
  <si>
    <t>2Y</t>
  </si>
  <si>
    <t>2Y3M</t>
  </si>
  <si>
    <t>2Y6M</t>
  </si>
  <si>
    <t>2Y9M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</si>
</sst>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00%"/>
    <numFmt numFmtId="166" formatCode="0.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A7" workbookViewId="0">
      <selection activeCell="D25" sqref="D25"/>
    </sheetView>
  </sheetViews>
  <sheetFormatPr defaultRowHeight="15" x14ac:dyDescent="0.25"/>
  <cols>
    <col min="6" max="7" width="10.140625" bestFit="1" customWidth="1"/>
    <col min="12" max="12" width="10.140625" bestFit="1" customWidth="1"/>
  </cols>
  <sheetData>
    <row r="1" spans="1:15" x14ac:dyDescent="0.25">
      <c r="B1" t="s">
        <v>0</v>
      </c>
      <c r="G1" t="str" cm="1">
        <f t="array" aca="1" ref="G1" ca="1">_xll.qlDiscountingSwapEngine(,G4)</f>
        <v>obj_00003#0005</v>
      </c>
    </row>
    <row r="2" spans="1:15" x14ac:dyDescent="0.25">
      <c r="B2" t="b">
        <f ca="1">_xll.qlSettingsSetEvaluationDate(B4)</f>
        <v>1</v>
      </c>
      <c r="G2" t="str" cm="1">
        <f t="array" aca="1" ref="G2" ca="1">_xll.qlEuribor(,"3m",G4)</f>
        <v>obj_00005#0005</v>
      </c>
      <c r="K2" t="str" cm="1">
        <f t="array" aca="1" ref="K2" ca="1">_xll.qlEuribor(,"6m",K4)</f>
        <v>obj_00006#0005</v>
      </c>
      <c r="N2" s="1">
        <v>44305</v>
      </c>
      <c r="O2" cm="1">
        <f t="array" aca="1" ref="O2" ca="1">_xll.qlIndexFixing(K2,N2)</f>
        <v>1.9030334139502759E-2</v>
      </c>
    </row>
    <row r="4" spans="1:15" x14ac:dyDescent="0.25">
      <c r="B4" s="1">
        <f ca="1">TODAY()</f>
        <v>44058</v>
      </c>
      <c r="G4" t="str">
        <f ca="1">_xll.qlZeroCurve(,B4:B7,C4:C7)</f>
        <v>obj_00000#0005</v>
      </c>
      <c r="K4" t="str">
        <f ca="1">_xll.qlInterpolatedPiecewiseZeroSpreadedTermStructure(,G4,J5:J7,B5:B7)</f>
        <v>obj_00004#0005</v>
      </c>
    </row>
    <row r="5" spans="1:15" x14ac:dyDescent="0.25">
      <c r="A5" t="s">
        <v>1</v>
      </c>
      <c r="B5" s="1">
        <f ca="1">_xll.qlCalendarAdvance(B$1,B$4,A5)</f>
        <v>44424</v>
      </c>
      <c r="C5" s="2">
        <v>0.01</v>
      </c>
      <c r="E5" t="s">
        <v>4</v>
      </c>
      <c r="F5">
        <f ca="1">_xll.qlCalendarAdvance(B$1,B$4,E5)</f>
        <v>44424</v>
      </c>
      <c r="G5" s="3">
        <f t="array" aca="1" ref="G5:G13" ca="1">_xll.qlYieldTSZeroRate(G4,$F5:$F13,"Actual/365 (Fixed)")</f>
        <v>9.999999999999962E-3</v>
      </c>
      <c r="J5">
        <v>1E-3</v>
      </c>
      <c r="K5" s="3">
        <f t="array" aca="1" ref="K5:K13" ca="1">_xll.qlYieldTSZeroRate(K4,$F5:$F13,"Actual/365 (Fixed)")</f>
        <v>1.099999999999994E-2</v>
      </c>
      <c r="L5" s="5">
        <f ca="1">K5-G5</f>
        <v>9.9999999999997834E-4</v>
      </c>
    </row>
    <row r="6" spans="1:15" x14ac:dyDescent="0.25">
      <c r="A6" t="s">
        <v>2</v>
      </c>
      <c r="B6" s="1">
        <f ca="1">_xll.qlCalendarAdvance(B$1,B$4,A6)</f>
        <v>44788</v>
      </c>
      <c r="C6" s="2">
        <v>0.02</v>
      </c>
      <c r="E6" t="s">
        <v>5</v>
      </c>
      <c r="F6">
        <f ca="1">_xll.qlCalendarAdvance(B$1,B$4,E6)</f>
        <v>44515</v>
      </c>
      <c r="G6" s="3">
        <f ca="1"/>
        <v>1.2500000000000004E-2</v>
      </c>
      <c r="J6">
        <v>0</v>
      </c>
      <c r="K6" s="3">
        <f ca="1"/>
        <v>1.3250000000000069E-2</v>
      </c>
      <c r="L6" s="5">
        <f t="shared" ref="L6:L12" ca="1" si="0">K6-G6</f>
        <v>7.5000000000006485E-4</v>
      </c>
      <c r="M6">
        <f ca="1">((F$9-F6)*J$5+(F6-F$5)*J$6)/(F$9-F$5)</f>
        <v>7.5000000000000002E-4</v>
      </c>
    </row>
    <row r="7" spans="1:15" x14ac:dyDescent="0.25">
      <c r="A7" t="s">
        <v>3</v>
      </c>
      <c r="B7" s="1">
        <f ca="1">_xll.qlCalendarAdvance(B$1,B$4,A7)</f>
        <v>45153</v>
      </c>
      <c r="C7" s="2">
        <v>0.02</v>
      </c>
      <c r="E7" t="s">
        <v>6</v>
      </c>
      <c r="F7">
        <f ca="1">_xll.qlCalendarAdvance(B$1,B$4,E7)</f>
        <v>44607</v>
      </c>
      <c r="G7" s="3">
        <f ca="1"/>
        <v>1.5027472527472467E-2</v>
      </c>
      <c r="J7">
        <v>0</v>
      </c>
      <c r="K7" s="3">
        <f ca="1"/>
        <v>1.5524725274725199E-2</v>
      </c>
      <c r="L7" s="5">
        <f t="shared" ca="1" si="0"/>
        <v>4.9725274725273202E-4</v>
      </c>
      <c r="M7">
        <f t="shared" ref="M7:M8" ca="1" si="1">((F$9-F7)*J$5+(F7-F$5)*J$6)/(F$9-F$5)</f>
        <v>4.972527472527472E-4</v>
      </c>
    </row>
    <row r="8" spans="1:15" x14ac:dyDescent="0.25">
      <c r="E8" t="s">
        <v>7</v>
      </c>
      <c r="F8">
        <f ca="1">_xll.qlCalendarAdvance(B$1,B$4,E8)</f>
        <v>44697</v>
      </c>
      <c r="G8">
        <f ca="1"/>
        <v>1.7500000000000022E-2</v>
      </c>
      <c r="K8">
        <f ca="1"/>
        <v>1.7750000000000033E-2</v>
      </c>
      <c r="L8" s="5">
        <f t="shared" ca="1" si="0"/>
        <v>2.5000000000001063E-4</v>
      </c>
      <c r="M8">
        <f t="shared" ca="1" si="1"/>
        <v>2.5000000000000001E-4</v>
      </c>
    </row>
    <row r="9" spans="1:15" x14ac:dyDescent="0.25">
      <c r="E9" t="s">
        <v>8</v>
      </c>
      <c r="F9">
        <f ca="1">_xll.qlCalendarAdvance(B$1,B$4,E9)</f>
        <v>44788</v>
      </c>
      <c r="G9">
        <f ca="1"/>
        <v>1.9999999999999993E-2</v>
      </c>
      <c r="K9">
        <f ca="1"/>
        <v>1.9999999999999993E-2</v>
      </c>
      <c r="L9" s="4">
        <f t="shared" ca="1" si="0"/>
        <v>0</v>
      </c>
    </row>
    <row r="10" spans="1:15" x14ac:dyDescent="0.25">
      <c r="E10" t="s">
        <v>9</v>
      </c>
      <c r="F10">
        <f ca="1">_xll.qlCalendarAdvance(B$1,B$4,E10)</f>
        <v>44880</v>
      </c>
      <c r="G10">
        <f ca="1"/>
        <v>1.999999999999998E-2</v>
      </c>
      <c r="K10">
        <f ca="1"/>
        <v>1.999999999999998E-2</v>
      </c>
      <c r="L10" s="4">
        <f t="shared" ca="1" si="0"/>
        <v>0</v>
      </c>
    </row>
    <row r="11" spans="1:15" x14ac:dyDescent="0.25">
      <c r="E11" t="s">
        <v>10</v>
      </c>
      <c r="F11">
        <f ca="1">_xll.qlCalendarAdvance(B$1,B$4,E11)</f>
        <v>44972</v>
      </c>
      <c r="G11">
        <f ca="1"/>
        <v>2.0000000000000004E-2</v>
      </c>
      <c r="K11">
        <f ca="1"/>
        <v>2.0000000000000004E-2</v>
      </c>
      <c r="L11" s="4">
        <f t="shared" ca="1" si="0"/>
        <v>0</v>
      </c>
    </row>
    <row r="12" spans="1:15" x14ac:dyDescent="0.25">
      <c r="E12" t="s">
        <v>11</v>
      </c>
      <c r="F12">
        <f ca="1">_xll.qlCalendarAdvance(B$1,B$4,E12)</f>
        <v>45061</v>
      </c>
      <c r="G12">
        <f ca="1"/>
        <v>1.9999999999999952E-2</v>
      </c>
      <c r="K12">
        <f ca="1"/>
        <v>1.9999999999999952E-2</v>
      </c>
      <c r="L12" s="4">
        <f t="shared" ca="1" si="0"/>
        <v>0</v>
      </c>
    </row>
    <row r="13" spans="1:15" x14ac:dyDescent="0.25">
      <c r="E13" t="s">
        <v>3</v>
      </c>
      <c r="F13">
        <f ca="1">_xll.qlCalendarAdvance(B$1,B$4,E13)</f>
        <v>45153</v>
      </c>
      <c r="G13">
        <f ca="1"/>
        <v>2.0000000000000007E-2</v>
      </c>
      <c r="K13">
        <f ca="1"/>
        <v>2.0000000000000007E-2</v>
      </c>
      <c r="L13" s="4">
        <f ca="1">K13-G13</f>
        <v>0</v>
      </c>
    </row>
    <row r="15" spans="1:15" x14ac:dyDescent="0.25">
      <c r="D15" t="b" cm="1">
        <f t="array" aca="1" ref="D15" ca="1">_xll.qlInstrumentSetPricingEngine(D17,G1)</f>
        <v>1</v>
      </c>
      <c r="F15" cm="1">
        <f t="array" aca="1" ref="F15" ca="1">_xll.qlTenorBasisSwapNominal(D17)</f>
        <v>1000000</v>
      </c>
      <c r="G15" cm="1">
        <f t="array" aca="1" ref="G15" ca="1">_xll.qlTenorBasisSwapShortIndexLegNPV(D17)</f>
        <v>39572.948848213731</v>
      </c>
      <c r="H15" cm="1">
        <f t="array" aca="1" ref="H15" ca="1">_xll.qlTenorBasisSwapShortIndexLegBPS(D17)</f>
        <v>198.961012924378</v>
      </c>
      <c r="I15" cm="1">
        <f t="array" aca="1" ref="I15" ca="1">_xll.qlTenorBasisSwapShortIndexLegFairSpread(D17)</f>
        <v>-2.9674575108498652E-6</v>
      </c>
      <c r="J15" cm="1">
        <f t="array" aca="1" ref="J15" ca="1">_xll.qlTenorBasisSwapShortIndexSpread(D17)</f>
        <v>0</v>
      </c>
      <c r="K15" t="str" cm="1">
        <f t="array" aca="1" ref="K15" ca="1">_xll.qlTenorBasisSwapShortIndexPayTenor(D17)</f>
        <v>3M</v>
      </c>
    </row>
    <row r="16" spans="1:15" x14ac:dyDescent="0.25">
      <c r="B16" cm="1">
        <f t="array" aca="1" ref="B16" ca="1">_xll.qlInstrumentNPV(B17)</f>
        <v>4.1891274345816354E-4</v>
      </c>
      <c r="D16" cm="1">
        <f t="array" aca="1" ref="D16" ca="1">_xll.qlInstrumentNPV(D17)</f>
        <v>5.9040835216874257</v>
      </c>
      <c r="F16" t="str" cm="1">
        <f t="array" aca="1" ref="F16" ca="1">_xll.ohRangeRetrieveError(F15)</f>
        <v/>
      </c>
      <c r="G16" t="str" cm="1">
        <f t="array" aca="1" ref="G16" ca="1">_xll.ohRangeRetrieveError(G15)</f>
        <v/>
      </c>
      <c r="H16" t="str" cm="1">
        <f t="array" aca="1" ref="H16" ca="1">_xll.ohRangeRetrieveError(H15)</f>
        <v/>
      </c>
    </row>
    <row r="17" spans="1:22" x14ac:dyDescent="0.25">
      <c r="B17" t="str" cm="1">
        <f t="array" aca="1" ref="B17" ca="1">_xll.qlMakeVanillaSwap(,2,"2y",K2,0.02,"0d","Actual/365 (Fixed)",0,G1)</f>
        <v>obj_00007#0005</v>
      </c>
      <c r="D17" t="str" cm="1">
        <f t="array" aca="1" ref="D17" ca="1">_xll.qlTenorBasisSwap2(,B4+7,1000000,"2y",TRUE,K2,0,G2,0,"3m","Backward",FALSE,"COMPOUNDING")</f>
        <v>obj_00009#0005</v>
      </c>
      <c r="F17" t="str">
        <f t="array" aca="1" ref="F17:V25" ca="1">_xll.qlTenorBasisSwapLongIndexLegAnalysis(D17)</f>
        <v>Payment Date</v>
      </c>
      <c r="G17" t="str">
        <f ca="1"/>
        <v>Amount</v>
      </c>
      <c r="H17" t="str">
        <f ca="1"/>
        <v>Nominal</v>
      </c>
      <c r="I17" t="str">
        <f ca="1"/>
        <v>Accrual Start Date</v>
      </c>
      <c r="J17" t="str">
        <f ca="1"/>
        <v>Accrual End Date</v>
      </c>
      <c r="K17" t="str">
        <f ca="1"/>
        <v>Accrual Days</v>
      </c>
      <c r="L17" t="str">
        <f ca="1"/>
        <v>Index</v>
      </c>
      <c r="M17" t="str">
        <f ca="1"/>
        <v>Fixing Days</v>
      </c>
      <c r="N17" t="str">
        <f ca="1"/>
        <v>Fixing Dates</v>
      </c>
      <c r="O17" t="str">
        <f ca="1"/>
        <v>Day Counter</v>
      </c>
      <c r="P17" t="str">
        <f ca="1"/>
        <v>Accrual Period</v>
      </c>
      <c r="Q17" t="str">
        <f ca="1"/>
        <v>Effective Rate</v>
      </c>
      <c r="R17" t="str">
        <f ca="1"/>
        <v>Floor</v>
      </c>
      <c r="S17" t="str">
        <f ca="1"/>
        <v>Gearing</v>
      </c>
      <c r="T17" t="str">
        <f ca="1"/>
        <v>Index Fixing</v>
      </c>
      <c r="U17" t="str">
        <f ca="1"/>
        <v>Conv. Adj.</v>
      </c>
      <c r="V17" t="str">
        <f ca="1"/>
        <v>Spread</v>
      </c>
    </row>
    <row r="18" spans="1:22" x14ac:dyDescent="0.25">
      <c r="F18">
        <f ca="1"/>
        <v>44249</v>
      </c>
      <c r="G18">
        <f ca="1"/>
        <v>3228.5856757254815</v>
      </c>
      <c r="H18">
        <f ca="1"/>
        <v>1000000</v>
      </c>
      <c r="I18">
        <f ca="1"/>
        <v>44067</v>
      </c>
      <c r="J18">
        <f ca="1"/>
        <v>44249</v>
      </c>
      <c r="K18">
        <f ca="1"/>
        <v>182</v>
      </c>
      <c r="L18" t="str">
        <f ca="1"/>
        <v>Euribor6M Actual/360</v>
      </c>
      <c r="M18">
        <f ca="1"/>
        <v>2</v>
      </c>
      <c r="N18">
        <f ca="1"/>
        <v>44063</v>
      </c>
      <c r="O18" t="str">
        <f ca="1"/>
        <v>Actual/360</v>
      </c>
      <c r="P18">
        <f ca="1"/>
        <v>0.50555555555555554</v>
      </c>
      <c r="Q18">
        <f ca="1"/>
        <v>6.3862134245119421E-3</v>
      </c>
      <c r="R18" t="str">
        <f ca="1"/>
        <v>#N/A</v>
      </c>
      <c r="S18">
        <f ca="1"/>
        <v>1</v>
      </c>
      <c r="T18">
        <f ca="1"/>
        <v>6.3862134245119421E-3</v>
      </c>
      <c r="U18">
        <f ca="1"/>
        <v>0</v>
      </c>
      <c r="V18">
        <f ca="1"/>
        <v>0</v>
      </c>
    </row>
    <row r="19" spans="1:22" x14ac:dyDescent="0.25">
      <c r="B19" t="e" cm="1">
        <f t="array" ref="B19">_xll.qlSubPeriodsSwapHelper()</f>
        <v>#NUM!</v>
      </c>
      <c r="F19">
        <f ca="1"/>
        <v>44431</v>
      </c>
      <c r="G19">
        <f ca="1"/>
        <v>8197.2756130315174</v>
      </c>
      <c r="H19">
        <f ca="1"/>
        <v>1000000</v>
      </c>
      <c r="I19">
        <f ca="1"/>
        <v>44249</v>
      </c>
      <c r="J19">
        <f ca="1"/>
        <v>44431</v>
      </c>
      <c r="K19">
        <f ca="1"/>
        <v>182</v>
      </c>
      <c r="L19" t="str">
        <f ca="1"/>
        <v>Euribor6M Actual/360</v>
      </c>
      <c r="M19">
        <f ca="1"/>
        <v>2</v>
      </c>
      <c r="N19">
        <f ca="1"/>
        <v>44245</v>
      </c>
      <c r="O19" t="str">
        <f ca="1"/>
        <v>Actual/360</v>
      </c>
      <c r="P19">
        <f ca="1"/>
        <v>0.50555555555555554</v>
      </c>
      <c r="Q19">
        <f ca="1"/>
        <v>1.6214391322479926E-2</v>
      </c>
      <c r="R19" t="str">
        <f ca="1"/>
        <v>#N/A</v>
      </c>
      <c r="S19">
        <f ca="1"/>
        <v>1</v>
      </c>
      <c r="T19">
        <f ca="1"/>
        <v>1.6214391322479926E-2</v>
      </c>
      <c r="U19">
        <f ca="1"/>
        <v>0</v>
      </c>
      <c r="V19">
        <f ca="1"/>
        <v>0</v>
      </c>
    </row>
    <row r="20" spans="1:22" x14ac:dyDescent="0.25">
      <c r="F20">
        <f ca="1"/>
        <v>44614</v>
      </c>
      <c r="G20">
        <f ca="1"/>
        <v>12572.682161557936</v>
      </c>
      <c r="H20">
        <f ca="1"/>
        <v>1000000</v>
      </c>
      <c r="I20">
        <f ca="1"/>
        <v>44431</v>
      </c>
      <c r="J20">
        <f ca="1"/>
        <v>44614</v>
      </c>
      <c r="K20">
        <f ca="1"/>
        <v>183</v>
      </c>
      <c r="L20" t="str">
        <f ca="1"/>
        <v>Euribor6M Actual/360</v>
      </c>
      <c r="M20">
        <f ca="1"/>
        <v>2</v>
      </c>
      <c r="N20">
        <f ca="1"/>
        <v>44427</v>
      </c>
      <c r="O20" t="str">
        <f ca="1"/>
        <v>Actual/360</v>
      </c>
      <c r="P20">
        <f ca="1"/>
        <v>0.5083333333333333</v>
      </c>
      <c r="Q20">
        <f ca="1"/>
        <v>2.4733145235851677E-2</v>
      </c>
      <c r="R20" t="str">
        <f ca="1"/>
        <v>#N/A</v>
      </c>
      <c r="S20">
        <f ca="1"/>
        <v>1</v>
      </c>
      <c r="T20">
        <f ca="1"/>
        <v>2.4733145235851677E-2</v>
      </c>
      <c r="U20">
        <f ca="1"/>
        <v>0</v>
      </c>
      <c r="V20">
        <f ca="1"/>
        <v>0</v>
      </c>
    </row>
    <row r="21" spans="1:22" x14ac:dyDescent="0.25">
      <c r="F21">
        <f ca="1"/>
        <v>44795</v>
      </c>
      <c r="G21">
        <f ca="1"/>
        <v>16607.692702104381</v>
      </c>
      <c r="H21">
        <f ca="1"/>
        <v>1000000</v>
      </c>
      <c r="I21">
        <f ca="1"/>
        <v>44614</v>
      </c>
      <c r="J21">
        <f ca="1"/>
        <v>44795</v>
      </c>
      <c r="K21">
        <f ca="1"/>
        <v>181</v>
      </c>
      <c r="L21" t="str">
        <f ca="1"/>
        <v>Euribor6M Actual/360</v>
      </c>
      <c r="M21">
        <f ca="1"/>
        <v>2</v>
      </c>
      <c r="N21">
        <f ca="1"/>
        <v>44610</v>
      </c>
      <c r="O21" t="str">
        <f ca="1"/>
        <v>Actual/360</v>
      </c>
      <c r="P21">
        <f ca="1"/>
        <v>0.50277777777777777</v>
      </c>
      <c r="Q21">
        <f ca="1"/>
        <v>3.3031874987610926E-2</v>
      </c>
      <c r="R21" t="str">
        <f ca="1"/>
        <v>#N/A</v>
      </c>
      <c r="S21">
        <f ca="1"/>
        <v>1</v>
      </c>
      <c r="T21">
        <f ca="1"/>
        <v>3.3031874987610926E-2</v>
      </c>
      <c r="U21">
        <f ca="1"/>
        <v>0</v>
      </c>
      <c r="V21">
        <f ca="1"/>
        <v>0</v>
      </c>
    </row>
    <row r="22" spans="1:22" x14ac:dyDescent="0.25">
      <c r="F22" t="e">
        <f ca="1"/>
        <v>#N/A</v>
      </c>
      <c r="G22" t="e">
        <f ca="1"/>
        <v>#N/A</v>
      </c>
      <c r="H22" t="e">
        <f ca="1"/>
        <v>#N/A</v>
      </c>
      <c r="I22" t="e">
        <f ca="1"/>
        <v>#N/A</v>
      </c>
      <c r="J22" t="e">
        <f ca="1"/>
        <v>#N/A</v>
      </c>
      <c r="K22" t="e">
        <f ca="1"/>
        <v>#N/A</v>
      </c>
      <c r="L22" t="e">
        <f ca="1"/>
        <v>#N/A</v>
      </c>
      <c r="M22" t="e">
        <f ca="1"/>
        <v>#N/A</v>
      </c>
      <c r="N22" t="e">
        <f ca="1"/>
        <v>#N/A</v>
      </c>
      <c r="O22" t="e">
        <f ca="1"/>
        <v>#N/A</v>
      </c>
      <c r="P22" t="e">
        <f ca="1"/>
        <v>#N/A</v>
      </c>
      <c r="Q22" t="e">
        <f ca="1"/>
        <v>#N/A</v>
      </c>
      <c r="R22" t="e">
        <f ca="1"/>
        <v>#N/A</v>
      </c>
      <c r="S22" t="e">
        <f ca="1"/>
        <v>#N/A</v>
      </c>
      <c r="T22" t="e">
        <f ca="1"/>
        <v>#N/A</v>
      </c>
      <c r="U22" t="e">
        <f ca="1"/>
        <v>#N/A</v>
      </c>
      <c r="V22" t="e">
        <f ca="1"/>
        <v>#N/A</v>
      </c>
    </row>
    <row r="23" spans="1:22" x14ac:dyDescent="0.25">
      <c r="F23" t="e">
        <f ca="1"/>
        <v>#N/A</v>
      </c>
      <c r="G23" t="e">
        <f ca="1"/>
        <v>#N/A</v>
      </c>
      <c r="H23" t="e">
        <f ca="1"/>
        <v>#N/A</v>
      </c>
      <c r="I23" t="e">
        <f ca="1"/>
        <v>#N/A</v>
      </c>
      <c r="J23" t="e">
        <f ca="1"/>
        <v>#N/A</v>
      </c>
      <c r="K23" t="e">
        <f ca="1"/>
        <v>#N/A</v>
      </c>
      <c r="L23" t="e">
        <f ca="1"/>
        <v>#N/A</v>
      </c>
      <c r="M23" t="e">
        <f ca="1"/>
        <v>#N/A</v>
      </c>
      <c r="N23" t="e">
        <f ca="1"/>
        <v>#N/A</v>
      </c>
      <c r="O23" t="e">
        <f ca="1"/>
        <v>#N/A</v>
      </c>
      <c r="P23" t="e">
        <f ca="1"/>
        <v>#N/A</v>
      </c>
      <c r="Q23" t="e">
        <f ca="1"/>
        <v>#N/A</v>
      </c>
      <c r="R23" t="e">
        <f ca="1"/>
        <v>#N/A</v>
      </c>
      <c r="S23" t="e">
        <f ca="1"/>
        <v>#N/A</v>
      </c>
      <c r="T23" t="e">
        <f ca="1"/>
        <v>#N/A</v>
      </c>
      <c r="U23" t="e">
        <f ca="1"/>
        <v>#N/A</v>
      </c>
      <c r="V23" t="e">
        <f ca="1"/>
        <v>#N/A</v>
      </c>
    </row>
    <row r="24" spans="1:22" x14ac:dyDescent="0.25">
      <c r="F24" t="e">
        <f ca="1"/>
        <v>#N/A</v>
      </c>
      <c r="G24" t="e">
        <f ca="1"/>
        <v>#N/A</v>
      </c>
      <c r="H24" t="e">
        <f ca="1"/>
        <v>#N/A</v>
      </c>
      <c r="I24" t="e">
        <f ca="1"/>
        <v>#N/A</v>
      </c>
      <c r="J24" t="e">
        <f ca="1"/>
        <v>#N/A</v>
      </c>
      <c r="K24" t="e">
        <f ca="1"/>
        <v>#N/A</v>
      </c>
      <c r="L24" t="e">
        <f ca="1"/>
        <v>#N/A</v>
      </c>
      <c r="M24" t="e">
        <f ca="1"/>
        <v>#N/A</v>
      </c>
      <c r="N24" t="e">
        <f ca="1"/>
        <v>#N/A</v>
      </c>
      <c r="O24" t="e">
        <f ca="1"/>
        <v>#N/A</v>
      </c>
      <c r="P24" t="e">
        <f ca="1"/>
        <v>#N/A</v>
      </c>
      <c r="Q24" t="e">
        <f ca="1"/>
        <v>#N/A</v>
      </c>
      <c r="R24" t="e">
        <f ca="1"/>
        <v>#N/A</v>
      </c>
      <c r="S24" t="e">
        <f ca="1"/>
        <v>#N/A</v>
      </c>
      <c r="T24" t="e">
        <f ca="1"/>
        <v>#N/A</v>
      </c>
      <c r="U24" t="e">
        <f ca="1"/>
        <v>#N/A</v>
      </c>
      <c r="V24" t="e">
        <f ca="1"/>
        <v>#N/A</v>
      </c>
    </row>
    <row r="25" spans="1:22" x14ac:dyDescent="0.25">
      <c r="F25" t="e">
        <f ca="1"/>
        <v>#N/A</v>
      </c>
      <c r="G25" t="e">
        <f ca="1"/>
        <v>#N/A</v>
      </c>
      <c r="H25" t="e">
        <f ca="1"/>
        <v>#N/A</v>
      </c>
      <c r="I25" t="e">
        <f ca="1"/>
        <v>#N/A</v>
      </c>
      <c r="J25" t="e">
        <f ca="1"/>
        <v>#N/A</v>
      </c>
      <c r="K25" t="e">
        <f ca="1"/>
        <v>#N/A</v>
      </c>
      <c r="L25" t="e">
        <f ca="1"/>
        <v>#N/A</v>
      </c>
      <c r="M25" t="e">
        <f ca="1"/>
        <v>#N/A</v>
      </c>
      <c r="N25" t="e">
        <f ca="1"/>
        <v>#N/A</v>
      </c>
      <c r="O25" t="e">
        <f ca="1"/>
        <v>#N/A</v>
      </c>
      <c r="P25" t="e">
        <f ca="1"/>
        <v>#N/A</v>
      </c>
      <c r="Q25" t="e">
        <f ca="1"/>
        <v>#N/A</v>
      </c>
      <c r="R25" t="e">
        <f ca="1"/>
        <v>#N/A</v>
      </c>
      <c r="S25" t="e">
        <f ca="1"/>
        <v>#N/A</v>
      </c>
      <c r="T25" t="e">
        <f ca="1"/>
        <v>#N/A</v>
      </c>
      <c r="U25" t="e">
        <f ca="1"/>
        <v>#N/A</v>
      </c>
      <c r="V25" t="e">
        <f ca="1"/>
        <v>#N/A</v>
      </c>
    </row>
    <row r="27" spans="1:22" x14ac:dyDescent="0.25">
      <c r="A27" t="str" cm="1">
        <f t="array" aca="1" ref="A27" ca="1">_xll.qlEonia(,G4)</f>
        <v>obj_00002#0005</v>
      </c>
    </row>
    <row r="28" spans="1:22" x14ac:dyDescent="0.25">
      <c r="A28" t="str" cm="1">
        <f t="array" aca="1" ref="A28" ca="1">_xll.qlSchedule(,B4+7,B6+7,"3M")</f>
        <v>obj_00001#0005</v>
      </c>
      <c r="D28" t="b" cm="1">
        <f t="array" aca="1" ref="D28" ca="1">_xll.qlInstrumentSetPricingEngine(D30,G1)</f>
        <v>1</v>
      </c>
    </row>
    <row r="29" spans="1:22" x14ac:dyDescent="0.25">
      <c r="D29" cm="1">
        <f t="array" aca="1" ref="D29" ca="1">_xll.qlInstrumentNPV(D30)</f>
        <v>-764.49051736167166</v>
      </c>
    </row>
    <row r="30" spans="1:22" x14ac:dyDescent="0.25">
      <c r="D30" t="str" cm="1">
        <f t="array" aca="1" ref="D30" ca="1">_xll.qlOvernightIndexedBasisSwap(,"Payer",10000000,A28,A27,A28,K2)</f>
        <v>obj_00008#0005</v>
      </c>
    </row>
    <row r="31" spans="1:22" x14ac:dyDescent="0.25">
      <c r="D31" cm="1">
        <f t="array" aca="1" ref="D31" ca="1">_xll.qlOvernightIndexedBasisSwapOisLegFairOvernightSpread(D30)</f>
        <v>3.8317381787816035E-5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2018-12-05T16:41:13Z</dcterms:created>
  <dcterms:modified xsi:type="dcterms:W3CDTF">2020-08-15T17:46:20Z</dcterms:modified>
</cp:coreProperties>
</file>