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C480" lockStructure="1"/>
  <bookViews>
    <workbookView xWindow="-360" yWindow="435" windowWidth="11865" windowHeight="6375" tabRatio="601"/>
  </bookViews>
  <sheets>
    <sheet name="s1" sheetId="1" r:id="rId1"/>
    <sheet name="zerortn" sheetId="2" r:id="rId2"/>
    <sheet name="s2" sheetId="3" r:id="rId3"/>
    <sheet name="s2a" sheetId="4" r:id="rId4"/>
    <sheet name="s3, 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, s6a" sheetId="9" r:id="rId12"/>
    <sheet name="s7" sheetId="10" r:id="rId13"/>
    <sheet name="col" sheetId="11" state="hidden" r:id="rId14"/>
    <sheet name="dis" sheetId="12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_CAG1">s2a!$B$123</definedName>
    <definedName name="_CHG1">s2a!$C$123</definedName>
    <definedName name="_CLG1">s2a!$D$123</definedName>
    <definedName name="_DOG1">s2a!$E$123</definedName>
    <definedName name="_ELG1">s2a!$F$123</definedName>
    <definedName name="_ESG1">s2a!$G$123</definedName>
    <definedName name="_EUG1">s2a!$H$123</definedName>
    <definedName name="_HUG1">s2a!$I$123</definedName>
    <definedName name="_JET1">'s5'!$C$34</definedName>
    <definedName name="_JET2">'s5'!$E$34</definedName>
    <definedName name="_LAG1">s2a!$J$123</definedName>
    <definedName name="_LIG1">s2a!$K$123</definedName>
    <definedName name="_LYG1">s2a!$L$123</definedName>
    <definedName name="_MIG1">s2a!$M$123</definedName>
    <definedName name="_NET5">'s4'!$G$9</definedName>
    <definedName name="_NYG1">s2a!$N$123</definedName>
    <definedName name="_PEG1">s2a!$O$123</definedName>
    <definedName name="_ST5">'s1'!$E$126</definedName>
    <definedName name="_STG1">s2a!$P$123</definedName>
    <definedName name="_WAG1">s2a!$Q$123</definedName>
    <definedName name="_WHG1">s2a!$R$123</definedName>
    <definedName name="ActivityMonth">'s1'!$AO$2</definedName>
    <definedName name="ADMINFEES">'s4'!$F$53</definedName>
    <definedName name="AmtData">'s6, s6a'!$R$8:$R$24</definedName>
    <definedName name="AmtHdng">'s6, s6a'!$R$6:$R$7</definedName>
    <definedName name="AV_OPT">'s6, s6a'!$T$25</definedName>
    <definedName name="AvCaBase">'s6, s6a'!$O$8</definedName>
    <definedName name="AvCaDed">'s6, s6a'!$R$8</definedName>
    <definedName name="AvCaGals">'s6, s6a'!$L$8</definedName>
    <definedName name="AvCaPer">'s6, s6a'!$Q$8</definedName>
    <definedName name="AvChBase">'s6, s6a'!$O$9</definedName>
    <definedName name="AvChDed">'s6, s6a'!$R$9</definedName>
    <definedName name="AvChGals">'s6, s6a'!$L$9</definedName>
    <definedName name="AvChPer">'s6, s6a'!$Q$9</definedName>
    <definedName name="AvClBase">'s6, s6a'!$O$10</definedName>
    <definedName name="AvClDed">'s6, s6a'!$R$10</definedName>
    <definedName name="AvClGals">'s6, s6a'!$L$10</definedName>
    <definedName name="AvClPer">'s6, s6a'!$Q$10</definedName>
    <definedName name="AvDeduct">'s6, s6a'!$R$25</definedName>
    <definedName name="AvDoBase">'s6, s6a'!$O$11</definedName>
    <definedName name="AvDoDed">'s6, s6a'!$R$11</definedName>
    <definedName name="AvDoGals">'s6, s6a'!$L$11</definedName>
    <definedName name="AvDoPer">'s6, s6a'!$Q$11</definedName>
    <definedName name="AvElBase">'s6, s6a'!$O$12</definedName>
    <definedName name="AvElDed">'s6, s6a'!$R$12</definedName>
    <definedName name="AvElGals">'s6, s6a'!$L$12</definedName>
    <definedName name="AvElPer">'s6, s6a'!$Q$12</definedName>
    <definedName name="AvEsBase">'s6, s6a'!$O$13</definedName>
    <definedName name="AvEsDed">'s6, s6a'!$R$13</definedName>
    <definedName name="AvEsGals">'s6, s6a'!$L$13</definedName>
    <definedName name="AvEsPer">'s6, s6a'!$Q$13</definedName>
    <definedName name="AvEuBase">'s6, s6a'!$O$14</definedName>
    <definedName name="AvEuDed">'s6, s6a'!$R$14</definedName>
    <definedName name="AvEuGals">'s6, s6a'!$L$14</definedName>
    <definedName name="AvEuPer">'s6, s6a'!$Q$14</definedName>
    <definedName name="AVGAS10.5">'s6, s6a'!$O$25</definedName>
    <definedName name="AvHuBase">'s6, s6a'!$O$15</definedName>
    <definedName name="AvHuDed">'s6, s6a'!$R$15</definedName>
    <definedName name="AvHuGals">'s6, s6a'!$L$15</definedName>
    <definedName name="AvHuPer">'s6, s6a'!$Q$15</definedName>
    <definedName name="AvLaBase">'s6, s6a'!$O$16</definedName>
    <definedName name="AvLaDed">'s6, s6a'!$R$16</definedName>
    <definedName name="AvLaGals">'s6, s6a'!$L$16</definedName>
    <definedName name="AvLaPer">'s6, s6a'!$Q$16</definedName>
    <definedName name="AvLiBase">'s6, s6a'!$O$17</definedName>
    <definedName name="AvLiDed">'s6, s6a'!$R$17</definedName>
    <definedName name="AvLiGals">'s6, s6a'!$L$17</definedName>
    <definedName name="AvLiPer">'s6, s6a'!$Q$17</definedName>
    <definedName name="AvLyBase">'s6, s6a'!$O$18</definedName>
    <definedName name="AvLyDed">'s6, s6a'!$R$18</definedName>
    <definedName name="AvLyGals">'s6, s6a'!$L$18</definedName>
    <definedName name="AvLyPer">'s6, s6a'!$Q$18</definedName>
    <definedName name="AvMiBase">'s6, s6a'!$O$19</definedName>
    <definedName name="AvMiDed">'s6, s6a'!$R$19</definedName>
    <definedName name="AvMiGals">'s6, s6a'!$L$19</definedName>
    <definedName name="AvMiPer">'s6, s6a'!$Q$19</definedName>
    <definedName name="AvNyBase">'s6, s6a'!$O$20</definedName>
    <definedName name="AvNyDed">'s6, s6a'!$R$20</definedName>
    <definedName name="AvNyGals">'s6, s6a'!$L$20</definedName>
    <definedName name="AvNyPer">'s6, s6a'!$Q$20</definedName>
    <definedName name="AvPeBase">'s6, s6a'!$O$21</definedName>
    <definedName name="AvPeDed">'s6, s6a'!$R$21</definedName>
    <definedName name="AvPeGals">'s6, s6a'!$L$21</definedName>
    <definedName name="AvPePer">'s6, s6a'!$Q$21</definedName>
    <definedName name="AvStBase">'s6, s6a'!$O$22</definedName>
    <definedName name="AvStDed">'s6, s6a'!$R$22</definedName>
    <definedName name="AvStGals">'s6, s6a'!$L$22</definedName>
    <definedName name="AvStPer">'s6, s6a'!$Q$22</definedName>
    <definedName name="AvWaBase">'s6, s6a'!$O$23</definedName>
    <definedName name="AvWaDed">'s6, s6a'!$R$23</definedName>
    <definedName name="AvWaGals">'s6, s6a'!$L$23</definedName>
    <definedName name="AvWaPer">'s6, s6a'!$Q$23</definedName>
    <definedName name="AvWhBase">'s6, s6a'!$O$24</definedName>
    <definedName name="AvWhDed">'s6, s6a'!$R$24</definedName>
    <definedName name="AvWhGals">'s6, s6a'!$L$24</definedName>
    <definedName name="AvWhPer">'s6, s6a'!$Q$24</definedName>
    <definedName name="CA">'s1'!$M$124</definedName>
    <definedName name="CAG">'s2'!$B$122</definedName>
    <definedName name="CAP">'s6, s6a'!$P$25</definedName>
    <definedName name="CH">'s1'!$N$124</definedName>
    <definedName name="CHG">'s2'!$C$122</definedName>
    <definedName name="CIVILA">'s4'!$E$53</definedName>
    <definedName name="CL">'s1'!$O$124</definedName>
    <definedName name="CLG">'s2'!$D$122</definedName>
    <definedName name="color" localSheetId="16">[1]s1!$A$104:$A$106,[1]s1!$A$7</definedName>
    <definedName name="color">'s1'!$A$124:$A$126,'s1'!$A$7</definedName>
    <definedName name="COUNTY1">s2a!$S$123</definedName>
    <definedName name="COUNTYOPTION">'s2'!$S$122</definedName>
    <definedName name="COUNTYTOTAL">'s3, s3b, s3d'!$H$172</definedName>
    <definedName name="CUFEE">'s7'!$B$92</definedName>
    <definedName name="DEALERS">zerortn!$B$9:$B$27</definedName>
    <definedName name="Diff">'s6, s6a'!$R$29</definedName>
    <definedName name="Dist_1">'s6, s6a'!$AE$8:$AE$24</definedName>
    <definedName name="Dist_2">'s6, s6a'!$AF$8:$AF$24</definedName>
    <definedName name="Dist_3">'s6, s6a'!$AG$8:$AG$24</definedName>
    <definedName name="DISTSTUDY" localSheetId="16">[1]s4!#REF!</definedName>
    <definedName name="DISTSTUDY">'s4'!#REF!</definedName>
    <definedName name="DO">'s1'!$P$124</definedName>
    <definedName name="DOG">'s2'!$E$122</definedName>
    <definedName name="EL">'s1'!$Q$124</definedName>
    <definedName name="ELG">'s2'!$F$122</definedName>
    <definedName name="ES">'s1'!$R$124</definedName>
    <definedName name="ESG">'s2'!$G$122</definedName>
    <definedName name="EU">'s1'!$S$124</definedName>
    <definedName name="EUG">'s2'!$H$122</definedName>
    <definedName name="HU">'s1'!$T$124</definedName>
    <definedName name="HUG">'s2'!$I$122</definedName>
    <definedName name="INSFEE">'s7'!$C$92</definedName>
    <definedName name="Jan96_M_F_Stat_s6_List">#REF!</definedName>
    <definedName name="JETTOTAL">'s5'!$B$35</definedName>
    <definedName name="LA">'s1'!$U$124</definedName>
    <definedName name="LAG">'s2'!$J$122</definedName>
    <definedName name="LessAF535">'s4'!$F$10</definedName>
    <definedName name="LessWP535">'s4'!$C$10</definedName>
    <definedName name="LI">'s1'!$V$124</definedName>
    <definedName name="LICFEE">'s4'!$B$52</definedName>
    <definedName name="LIG">'s2'!$K$122</definedName>
    <definedName name="LY">'s1'!$W$124</definedName>
    <definedName name="LYG">'s2'!$L$122</definedName>
    <definedName name="MI">'s1'!$X$124</definedName>
    <definedName name="MIG">'s2'!$M$122</definedName>
    <definedName name="MthDist">'s6, s6a'!$S$8:$S$24</definedName>
    <definedName name="NET12.65">'s4'!$G$8</definedName>
    <definedName name="NET5.35">'s4'!$G$10</definedName>
    <definedName name="NETAV">'s6, s6a'!$W$25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's1'!$Y$124</definedName>
    <definedName name="NYG">'s2'!$N$122</definedName>
    <definedName name="OldClkFig">2701.14</definedName>
    <definedName name="PARKWILD" localSheetId="16">[1]s4!$C$52</definedName>
    <definedName name="PARKWILD">'s4'!$C$53</definedName>
    <definedName name="PE">'s1'!$Z$124</definedName>
    <definedName name="PEG">'s2'!$O$122</definedName>
    <definedName name="_xlnm.Print_Area" localSheetId="16">Journal!$A$1:$G$55</definedName>
    <definedName name="_xlnm.Print_Area" localSheetId="0">'s1'!$A$1:$J$132</definedName>
    <definedName name="_xlnm.Print_Area" localSheetId="2">'s2'!$B$12:$S$122</definedName>
    <definedName name="_xlnm.Print_Area" localSheetId="3">s2a!$B$13:$S$123</definedName>
    <definedName name="_xlnm.Print_Area" localSheetId="5">s3a!$A$1:$K$58</definedName>
    <definedName name="_xlnm.Print_Area" localSheetId="6">s3b!$A$1:$O$42</definedName>
    <definedName name="_xlnm.Print_Area" localSheetId="7">s3c!$A$63:$I$115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's1'!$L$12:$AD$127</definedName>
    <definedName name="S1_MONEY">'s1'!$B$12:$J$126</definedName>
    <definedName name="S1Z_PR">zerortn!$A$1:$G$45</definedName>
    <definedName name="S2_MONEY">'s2'!$B$11:$S$122</definedName>
    <definedName name="S2A_MONEY">s2a!$B$13:$S$123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's5'!$A$1:$F$34</definedName>
    <definedName name="S5A_PR">s5a!$A$1:$T$23</definedName>
    <definedName name="S6_PR">'s6, s6a'!$A$1:$L$25</definedName>
    <definedName name="S6A_PR">'s6, s6a'!$N$1:$V$25</definedName>
    <definedName name="S7_PR">'s7'!$A$12:$S$92</definedName>
    <definedName name="ST">'s1'!$AA$124</definedName>
    <definedName name="ST12.65">'s1'!$D$126</definedName>
    <definedName name="ST5.35">'s1'!$F$126</definedName>
    <definedName name="STG">'s2'!$P$122</definedName>
    <definedName name="TapeCF">'s7'!$B$95</definedName>
    <definedName name="TapeGas">'s1'!$J$130</definedName>
    <definedName name="TapeIF">'s7'!$C$95</definedName>
    <definedName name="TapeJet">'s5'!$B$36</definedName>
    <definedName name="TotalCOL">col!$A$1:$C$17</definedName>
    <definedName name="TotalDIS">dis!$A$1:$C$19</definedName>
    <definedName name="TOTALREF">'s4'!$D$53</definedName>
    <definedName name="TOTGAL">'s1'!$B$126</definedName>
    <definedName name="WA">'s1'!$AB$124</definedName>
    <definedName name="WAG">'s2'!$Q$122</definedName>
    <definedName name="WH">'s1'!$AC$124</definedName>
    <definedName name="WHG">'s2'!$R$122</definedName>
    <definedName name="WILDPARK">'s4'!$C$53</definedName>
  </definedNames>
  <calcPr calcId="145621" fullPrecision="0"/>
</workbook>
</file>

<file path=xl/calcChain.xml><?xml version="1.0" encoding="utf-8"?>
<calcChain xmlns="http://schemas.openxmlformats.org/spreadsheetml/2006/main">
  <c r="A3" i="11" l="1"/>
  <c r="E24" i="11"/>
  <c r="C27" i="11"/>
  <c r="B39" i="11"/>
  <c r="B50" i="11"/>
  <c r="B52" i="11"/>
  <c r="A3" i="12"/>
  <c r="C6" i="21"/>
  <c r="G6" i="21" s="1"/>
  <c r="E6" i="21"/>
  <c r="F6" i="21"/>
  <c r="C7" i="21"/>
  <c r="E7" i="21"/>
  <c r="F7" i="21"/>
  <c r="G7" i="21"/>
  <c r="C8" i="21"/>
  <c r="E8" i="21"/>
  <c r="F8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A7" i="1"/>
  <c r="D13" i="1"/>
  <c r="E13" i="1"/>
  <c r="F13" i="1"/>
  <c r="H13" i="1"/>
  <c r="I13" i="1"/>
  <c r="AD13" i="1"/>
  <c r="AF13" i="1"/>
  <c r="B12" i="3" s="1"/>
  <c r="AG13" i="1"/>
  <c r="AH13" i="1"/>
  <c r="AI13" i="1"/>
  <c r="E12" i="3" s="1"/>
  <c r="AJ13" i="1"/>
  <c r="F12" i="3" s="1"/>
  <c r="AK13" i="1"/>
  <c r="G12" i="3" s="1"/>
  <c r="AL13" i="1"/>
  <c r="H12" i="3" s="1"/>
  <c r="AM13" i="1"/>
  <c r="I12" i="3" s="1"/>
  <c r="AN13" i="1"/>
  <c r="J12" i="3" s="1"/>
  <c r="AO13" i="1"/>
  <c r="K12" i="3" s="1"/>
  <c r="AP13" i="1"/>
  <c r="L12" i="3" s="1"/>
  <c r="AQ13" i="1"/>
  <c r="M12" i="3" s="1"/>
  <c r="AR13" i="1"/>
  <c r="N12" i="3" s="1"/>
  <c r="AS13" i="1"/>
  <c r="O12" i="3" s="1"/>
  <c r="AT13" i="1"/>
  <c r="AU13" i="1"/>
  <c r="AV13" i="1"/>
  <c r="D14" i="1"/>
  <c r="E14" i="1"/>
  <c r="F14" i="1"/>
  <c r="H14" i="1"/>
  <c r="I14" i="1"/>
  <c r="AD14" i="1"/>
  <c r="AF14" i="1"/>
  <c r="AG14" i="1"/>
  <c r="C13" i="3" s="1"/>
  <c r="AH14" i="1"/>
  <c r="D13" i="3" s="1"/>
  <c r="AI14" i="1"/>
  <c r="AJ14" i="1"/>
  <c r="AK14" i="1"/>
  <c r="AL14" i="1"/>
  <c r="H13" i="3" s="1"/>
  <c r="AM14" i="1"/>
  <c r="I13" i="3" s="1"/>
  <c r="AN14" i="1"/>
  <c r="J13" i="3" s="1"/>
  <c r="AO14" i="1"/>
  <c r="AP14" i="1"/>
  <c r="AQ14" i="1"/>
  <c r="M13" i="3" s="1"/>
  <c r="AR14" i="1"/>
  <c r="N13" i="3" s="1"/>
  <c r="AS14" i="1"/>
  <c r="O13" i="3" s="1"/>
  <c r="AT14" i="1"/>
  <c r="P13" i="3" s="1"/>
  <c r="AU14" i="1"/>
  <c r="Q13" i="3" s="1"/>
  <c r="AV14" i="1"/>
  <c r="R13" i="3" s="1"/>
  <c r="AW14" i="1"/>
  <c r="G14" i="1" s="1"/>
  <c r="D15" i="1"/>
  <c r="E15" i="1"/>
  <c r="F15" i="1"/>
  <c r="H15" i="1"/>
  <c r="I15" i="1"/>
  <c r="AD15" i="1"/>
  <c r="AF15" i="1"/>
  <c r="AG15" i="1"/>
  <c r="C14" i="3" s="1"/>
  <c r="AH15" i="1"/>
  <c r="D14" i="3" s="1"/>
  <c r="AI15" i="1"/>
  <c r="E14" i="3" s="1"/>
  <c r="AJ15" i="1"/>
  <c r="F14" i="3" s="1"/>
  <c r="AK15" i="1"/>
  <c r="G14" i="3" s="1"/>
  <c r="AL15" i="1"/>
  <c r="H14" i="3" s="1"/>
  <c r="AM15" i="1"/>
  <c r="I14" i="3" s="1"/>
  <c r="AN15" i="1"/>
  <c r="J14" i="3" s="1"/>
  <c r="AO15" i="1"/>
  <c r="K14" i="3" s="1"/>
  <c r="AP15" i="1"/>
  <c r="AQ15" i="1"/>
  <c r="AR15" i="1"/>
  <c r="N14" i="3" s="1"/>
  <c r="AS15" i="1"/>
  <c r="O14" i="3" s="1"/>
  <c r="AT15" i="1"/>
  <c r="P14" i="3" s="1"/>
  <c r="AU15" i="1"/>
  <c r="Q14" i="3" s="1"/>
  <c r="AV15" i="1"/>
  <c r="R14" i="3" s="1"/>
  <c r="D16" i="1"/>
  <c r="E16" i="1"/>
  <c r="F16" i="1"/>
  <c r="H16" i="1"/>
  <c r="I16" i="1"/>
  <c r="AD16" i="1"/>
  <c r="AF16" i="1"/>
  <c r="AG16" i="1"/>
  <c r="C15" i="3" s="1"/>
  <c r="AH16" i="1"/>
  <c r="D15" i="3" s="1"/>
  <c r="AI16" i="1"/>
  <c r="E15" i="3" s="1"/>
  <c r="AJ16" i="1"/>
  <c r="AK16" i="1"/>
  <c r="AL16" i="1"/>
  <c r="AM16" i="1"/>
  <c r="AN16" i="1"/>
  <c r="AO16" i="1"/>
  <c r="AP16" i="1"/>
  <c r="AQ16" i="1"/>
  <c r="AR16" i="1"/>
  <c r="AS16" i="1"/>
  <c r="AT16" i="1"/>
  <c r="P15" i="3" s="1"/>
  <c r="AU16" i="1"/>
  <c r="Q15" i="3" s="1"/>
  <c r="AV16" i="1"/>
  <c r="R15" i="3" s="1"/>
  <c r="D17" i="1"/>
  <c r="E17" i="1"/>
  <c r="F17" i="1"/>
  <c r="H17" i="1"/>
  <c r="I17" i="1"/>
  <c r="AD17" i="1"/>
  <c r="AF17" i="1"/>
  <c r="B16" i="3" s="1"/>
  <c r="AG17" i="1"/>
  <c r="C16" i="3" s="1"/>
  <c r="AH17" i="1"/>
  <c r="D16" i="3" s="1"/>
  <c r="AI17" i="1"/>
  <c r="AJ17" i="1"/>
  <c r="AK17" i="1"/>
  <c r="AL17" i="1"/>
  <c r="AM17" i="1"/>
  <c r="AN17" i="1"/>
  <c r="AO17" i="1"/>
  <c r="AP17" i="1"/>
  <c r="AQ17" i="1"/>
  <c r="AR17" i="1"/>
  <c r="AS17" i="1"/>
  <c r="O16" i="3" s="1"/>
  <c r="AT17" i="1"/>
  <c r="AU17" i="1"/>
  <c r="Q16" i="3" s="1"/>
  <c r="AV17" i="1"/>
  <c r="R16" i="3" s="1"/>
  <c r="D18" i="1"/>
  <c r="E18" i="1"/>
  <c r="F18" i="1"/>
  <c r="H18" i="1"/>
  <c r="I18" i="1"/>
  <c r="AD18" i="1"/>
  <c r="AF18" i="1"/>
  <c r="AG18" i="1"/>
  <c r="AH18" i="1"/>
  <c r="D17" i="3" s="1"/>
  <c r="AI18" i="1"/>
  <c r="E17" i="3" s="1"/>
  <c r="AJ18" i="1"/>
  <c r="F17" i="3" s="1"/>
  <c r="AK18" i="1"/>
  <c r="G17" i="3" s="1"/>
  <c r="AL18" i="1"/>
  <c r="H17" i="3" s="1"/>
  <c r="AM18" i="1"/>
  <c r="I17" i="3" s="1"/>
  <c r="AN18" i="1"/>
  <c r="J17" i="3" s="1"/>
  <c r="AO18" i="1"/>
  <c r="K17" i="3" s="1"/>
  <c r="AP18" i="1"/>
  <c r="L17" i="3" s="1"/>
  <c r="AQ18" i="1"/>
  <c r="M17" i="3" s="1"/>
  <c r="AR18" i="1"/>
  <c r="N17" i="3" s="1"/>
  <c r="AS18" i="1"/>
  <c r="O17" i="3" s="1"/>
  <c r="AT18" i="1"/>
  <c r="P17" i="3" s="1"/>
  <c r="AU18" i="1"/>
  <c r="Q17" i="3" s="1"/>
  <c r="AV18" i="1"/>
  <c r="R17" i="3" s="1"/>
  <c r="D19" i="1"/>
  <c r="E19" i="1"/>
  <c r="F19" i="1"/>
  <c r="H19" i="1"/>
  <c r="I19" i="1"/>
  <c r="AD19" i="1"/>
  <c r="AF19" i="1"/>
  <c r="AG19" i="1"/>
  <c r="C18" i="3" s="1"/>
  <c r="AH19" i="1"/>
  <c r="D18" i="3" s="1"/>
  <c r="AI19" i="1"/>
  <c r="E18" i="3" s="1"/>
  <c r="AJ19" i="1"/>
  <c r="F18" i="3" s="1"/>
  <c r="AK19" i="1"/>
  <c r="G18" i="3" s="1"/>
  <c r="AL19" i="1"/>
  <c r="H18" i="3" s="1"/>
  <c r="AM19" i="1"/>
  <c r="I18" i="3" s="1"/>
  <c r="AN19" i="1"/>
  <c r="J18" i="3" s="1"/>
  <c r="AO19" i="1"/>
  <c r="K18" i="3" s="1"/>
  <c r="AP19" i="1"/>
  <c r="L18" i="3" s="1"/>
  <c r="AQ19" i="1"/>
  <c r="M18" i="3" s="1"/>
  <c r="AR19" i="1"/>
  <c r="N18" i="3" s="1"/>
  <c r="AS19" i="1"/>
  <c r="O18" i="3" s="1"/>
  <c r="AT19" i="1"/>
  <c r="P18" i="3" s="1"/>
  <c r="AU19" i="1"/>
  <c r="Q18" i="3" s="1"/>
  <c r="AV19" i="1"/>
  <c r="R18" i="3" s="1"/>
  <c r="D20" i="1"/>
  <c r="E20" i="1"/>
  <c r="F20" i="1"/>
  <c r="H20" i="1"/>
  <c r="I20" i="1"/>
  <c r="AD20" i="1"/>
  <c r="AF20" i="1"/>
  <c r="B19" i="3" s="1"/>
  <c r="AG20" i="1"/>
  <c r="C19" i="3" s="1"/>
  <c r="AH20" i="1"/>
  <c r="D19" i="3" s="1"/>
  <c r="AI20" i="1"/>
  <c r="E19" i="3" s="1"/>
  <c r="AJ20" i="1"/>
  <c r="F19" i="3" s="1"/>
  <c r="AK20" i="1"/>
  <c r="G19" i="3" s="1"/>
  <c r="AL20" i="1"/>
  <c r="H19" i="3" s="1"/>
  <c r="AM20" i="1"/>
  <c r="I19" i="3" s="1"/>
  <c r="AN20" i="1"/>
  <c r="J19" i="3" s="1"/>
  <c r="AO20" i="1"/>
  <c r="K19" i="3" s="1"/>
  <c r="AP20" i="1"/>
  <c r="L19" i="3" s="1"/>
  <c r="AQ20" i="1"/>
  <c r="M19" i="3" s="1"/>
  <c r="AR20" i="1"/>
  <c r="N19" i="3" s="1"/>
  <c r="AS20" i="1"/>
  <c r="O19" i="3" s="1"/>
  <c r="AT20" i="1"/>
  <c r="P19" i="3" s="1"/>
  <c r="AU20" i="1"/>
  <c r="Q19" i="3" s="1"/>
  <c r="AV20" i="1"/>
  <c r="R19" i="3" s="1"/>
  <c r="D21" i="1"/>
  <c r="E21" i="1"/>
  <c r="F21" i="1"/>
  <c r="H21" i="1"/>
  <c r="I21" i="1"/>
  <c r="AD21" i="1"/>
  <c r="AF21" i="1"/>
  <c r="B20" i="3" s="1"/>
  <c r="AG21" i="1"/>
  <c r="C20" i="3" s="1"/>
  <c r="AH21" i="1"/>
  <c r="D20" i="3" s="1"/>
  <c r="AI21" i="1"/>
  <c r="E20" i="3" s="1"/>
  <c r="AJ21" i="1"/>
  <c r="F20" i="3" s="1"/>
  <c r="AK21" i="1"/>
  <c r="G20" i="3" s="1"/>
  <c r="AL21" i="1"/>
  <c r="H20" i="3" s="1"/>
  <c r="AM21" i="1"/>
  <c r="I20" i="3" s="1"/>
  <c r="AN21" i="1"/>
  <c r="J20" i="3" s="1"/>
  <c r="AO21" i="1"/>
  <c r="K20" i="3" s="1"/>
  <c r="AP21" i="1"/>
  <c r="L20" i="3" s="1"/>
  <c r="AQ21" i="1"/>
  <c r="M20" i="3" s="1"/>
  <c r="AR21" i="1"/>
  <c r="N20" i="3" s="1"/>
  <c r="AS21" i="1"/>
  <c r="O20" i="3" s="1"/>
  <c r="AT21" i="1"/>
  <c r="P20" i="3" s="1"/>
  <c r="AU21" i="1"/>
  <c r="Q20" i="3" s="1"/>
  <c r="AV21" i="1"/>
  <c r="R20" i="3" s="1"/>
  <c r="D22" i="1"/>
  <c r="E22" i="1"/>
  <c r="F22" i="1"/>
  <c r="H22" i="1"/>
  <c r="I22" i="1"/>
  <c r="AD22" i="1"/>
  <c r="AF22" i="1"/>
  <c r="AG22" i="1"/>
  <c r="AH22" i="1"/>
  <c r="AI22" i="1"/>
  <c r="E21" i="3" s="1"/>
  <c r="AJ22" i="1"/>
  <c r="F21" i="3" s="1"/>
  <c r="AK22" i="1"/>
  <c r="G21" i="3" s="1"/>
  <c r="AL22" i="1"/>
  <c r="H21" i="3" s="1"/>
  <c r="AM22" i="1"/>
  <c r="I21" i="3" s="1"/>
  <c r="AN22" i="1"/>
  <c r="J21" i="3" s="1"/>
  <c r="AO22" i="1"/>
  <c r="K21" i="3" s="1"/>
  <c r="AP22" i="1"/>
  <c r="L21" i="3" s="1"/>
  <c r="AQ22" i="1"/>
  <c r="M21" i="3" s="1"/>
  <c r="AR22" i="1"/>
  <c r="N21" i="3" s="1"/>
  <c r="AS22" i="1"/>
  <c r="O21" i="3" s="1"/>
  <c r="AT22" i="1"/>
  <c r="AU22" i="1"/>
  <c r="AV22" i="1"/>
  <c r="AW22" i="1"/>
  <c r="G22" i="1" s="1"/>
  <c r="D23" i="1"/>
  <c r="E23" i="1"/>
  <c r="F23" i="1"/>
  <c r="H23" i="1"/>
  <c r="I23" i="1"/>
  <c r="AD23" i="1"/>
  <c r="AF23" i="1"/>
  <c r="B22" i="3" s="1"/>
  <c r="AG23" i="1"/>
  <c r="C22" i="3" s="1"/>
  <c r="AH23" i="1"/>
  <c r="D22" i="3" s="1"/>
  <c r="AI23" i="1"/>
  <c r="E22" i="3" s="1"/>
  <c r="AJ23" i="1"/>
  <c r="AK23" i="1"/>
  <c r="AL23" i="1"/>
  <c r="AM23" i="1"/>
  <c r="AN23" i="1"/>
  <c r="AO23" i="1"/>
  <c r="AP23" i="1"/>
  <c r="AQ23" i="1"/>
  <c r="AR23" i="1"/>
  <c r="AS23" i="1"/>
  <c r="AT23" i="1"/>
  <c r="P22" i="3" s="1"/>
  <c r="AU23" i="1"/>
  <c r="AV23" i="1"/>
  <c r="D24" i="1"/>
  <c r="E24" i="1"/>
  <c r="F24" i="1"/>
  <c r="H24" i="1"/>
  <c r="I24" i="1"/>
  <c r="AD24" i="1"/>
  <c r="AF24" i="1"/>
  <c r="B23" i="3" s="1"/>
  <c r="AG24" i="1"/>
  <c r="AH24" i="1"/>
  <c r="D23" i="3" s="1"/>
  <c r="AI24" i="1"/>
  <c r="E23" i="3" s="1"/>
  <c r="AJ24" i="1"/>
  <c r="F23" i="3" s="1"/>
  <c r="AK24" i="1"/>
  <c r="G23" i="3" s="1"/>
  <c r="AL24" i="1"/>
  <c r="H23" i="3" s="1"/>
  <c r="AM24" i="1"/>
  <c r="I23" i="3" s="1"/>
  <c r="AN24" i="1"/>
  <c r="J23" i="3" s="1"/>
  <c r="AO24" i="1"/>
  <c r="K23" i="3" s="1"/>
  <c r="AP24" i="1"/>
  <c r="L23" i="3" s="1"/>
  <c r="AQ24" i="1"/>
  <c r="M23" i="3" s="1"/>
  <c r="AR24" i="1"/>
  <c r="N23" i="3" s="1"/>
  <c r="AS24" i="1"/>
  <c r="O23" i="3" s="1"/>
  <c r="AT24" i="1"/>
  <c r="P23" i="3" s="1"/>
  <c r="AU24" i="1"/>
  <c r="Q23" i="3" s="1"/>
  <c r="AV24" i="1"/>
  <c r="R23" i="3" s="1"/>
  <c r="D25" i="1"/>
  <c r="E25" i="1"/>
  <c r="F25" i="1"/>
  <c r="H25" i="1"/>
  <c r="I25" i="1"/>
  <c r="AD25" i="1"/>
  <c r="AF25" i="1"/>
  <c r="AG25" i="1"/>
  <c r="AH25" i="1"/>
  <c r="D24" i="3" s="1"/>
  <c r="AI25" i="1"/>
  <c r="AJ25" i="1"/>
  <c r="F24" i="3" s="1"/>
  <c r="AK25" i="1"/>
  <c r="G24" i="3" s="1"/>
  <c r="AL25" i="1"/>
  <c r="H24" i="3" s="1"/>
  <c r="AM25" i="1"/>
  <c r="I24" i="3" s="1"/>
  <c r="AN25" i="1"/>
  <c r="J24" i="3" s="1"/>
  <c r="AO25" i="1"/>
  <c r="AP25" i="1"/>
  <c r="L24" i="3" s="1"/>
  <c r="AQ25" i="1"/>
  <c r="AR25" i="1"/>
  <c r="AS25" i="1"/>
  <c r="AT25" i="1"/>
  <c r="AU25" i="1"/>
  <c r="AV25" i="1"/>
  <c r="R24" i="3" s="1"/>
  <c r="AW25" i="1"/>
  <c r="G25" i="1" s="1"/>
  <c r="D26" i="1"/>
  <c r="E26" i="1"/>
  <c r="F26" i="1"/>
  <c r="H26" i="1"/>
  <c r="I26" i="1"/>
  <c r="AD26" i="1"/>
  <c r="AF26" i="1"/>
  <c r="AG26" i="1"/>
  <c r="C25" i="3" s="1"/>
  <c r="AH26" i="1"/>
  <c r="D25" i="3" s="1"/>
  <c r="AI26" i="1"/>
  <c r="E25" i="3" s="1"/>
  <c r="AJ26" i="1"/>
  <c r="F25" i="3" s="1"/>
  <c r="AK26" i="1"/>
  <c r="G25" i="3" s="1"/>
  <c r="AL26" i="1"/>
  <c r="H25" i="3" s="1"/>
  <c r="AM26" i="1"/>
  <c r="I25" i="3" s="1"/>
  <c r="AN26" i="1"/>
  <c r="J25" i="3" s="1"/>
  <c r="AO26" i="1"/>
  <c r="K25" i="3" s="1"/>
  <c r="AP26" i="1"/>
  <c r="L25" i="3" s="1"/>
  <c r="AQ26" i="1"/>
  <c r="M25" i="3" s="1"/>
  <c r="AR26" i="1"/>
  <c r="N25" i="3" s="1"/>
  <c r="AS26" i="1"/>
  <c r="O25" i="3" s="1"/>
  <c r="AT26" i="1"/>
  <c r="P25" i="3" s="1"/>
  <c r="AU26" i="1"/>
  <c r="Q25" i="3" s="1"/>
  <c r="AV26" i="1"/>
  <c r="R25" i="3" s="1"/>
  <c r="D27" i="1"/>
  <c r="E27" i="1"/>
  <c r="F27" i="1"/>
  <c r="H27" i="1"/>
  <c r="I27" i="1"/>
  <c r="AD27" i="1"/>
  <c r="AF27" i="1"/>
  <c r="B26" i="3" s="1"/>
  <c r="AG27" i="1"/>
  <c r="C26" i="3" s="1"/>
  <c r="AH27" i="1"/>
  <c r="D26" i="3" s="1"/>
  <c r="AI27" i="1"/>
  <c r="E26" i="3" s="1"/>
  <c r="AJ27" i="1"/>
  <c r="F26" i="3" s="1"/>
  <c r="AK27" i="1"/>
  <c r="G26" i="3" s="1"/>
  <c r="AL27" i="1"/>
  <c r="H26" i="3" s="1"/>
  <c r="AM27" i="1"/>
  <c r="I26" i="3" s="1"/>
  <c r="AN27" i="1"/>
  <c r="J26" i="3" s="1"/>
  <c r="AO27" i="1"/>
  <c r="K26" i="3" s="1"/>
  <c r="AP27" i="1"/>
  <c r="L26" i="3" s="1"/>
  <c r="AQ27" i="1"/>
  <c r="AR27" i="1"/>
  <c r="AS27" i="1"/>
  <c r="AT27" i="1"/>
  <c r="AU27" i="1"/>
  <c r="AV27" i="1"/>
  <c r="D28" i="1"/>
  <c r="E28" i="1"/>
  <c r="F28" i="1"/>
  <c r="H28" i="1"/>
  <c r="I28" i="1"/>
  <c r="AD28" i="1"/>
  <c r="AF28" i="1"/>
  <c r="AG28" i="1"/>
  <c r="AH28" i="1"/>
  <c r="AI28" i="1"/>
  <c r="E27" i="3" s="1"/>
  <c r="AJ28" i="1"/>
  <c r="F27" i="3" s="1"/>
  <c r="AK28" i="1"/>
  <c r="G27" i="3" s="1"/>
  <c r="AL28" i="1"/>
  <c r="H27" i="3" s="1"/>
  <c r="AM28" i="1"/>
  <c r="I27" i="3" s="1"/>
  <c r="AN28" i="1"/>
  <c r="J27" i="3" s="1"/>
  <c r="AO28" i="1"/>
  <c r="K27" i="3" s="1"/>
  <c r="AP28" i="1"/>
  <c r="L27" i="3" s="1"/>
  <c r="AQ28" i="1"/>
  <c r="M27" i="3" s="1"/>
  <c r="AR28" i="1"/>
  <c r="N27" i="3" s="1"/>
  <c r="AS28" i="1"/>
  <c r="O27" i="3" s="1"/>
  <c r="AT28" i="1"/>
  <c r="P27" i="3" s="1"/>
  <c r="AU28" i="1"/>
  <c r="Q27" i="3" s="1"/>
  <c r="AV28" i="1"/>
  <c r="R27" i="3" s="1"/>
  <c r="D29" i="1"/>
  <c r="E29" i="1"/>
  <c r="F29" i="1"/>
  <c r="H29" i="1"/>
  <c r="I29" i="1"/>
  <c r="AD29" i="1"/>
  <c r="AF29" i="1"/>
  <c r="B28" i="3" s="1"/>
  <c r="AG29" i="1"/>
  <c r="C28" i="3" s="1"/>
  <c r="AH29" i="1"/>
  <c r="D28" i="3" s="1"/>
  <c r="AI29" i="1"/>
  <c r="E28" i="3" s="1"/>
  <c r="AJ29" i="1"/>
  <c r="F28" i="3" s="1"/>
  <c r="AK29" i="1"/>
  <c r="AL29" i="1"/>
  <c r="H28" i="3" s="1"/>
  <c r="AM29" i="1"/>
  <c r="I28" i="3" s="1"/>
  <c r="AN29" i="1"/>
  <c r="J28" i="3" s="1"/>
  <c r="AO29" i="1"/>
  <c r="K28" i="3" s="1"/>
  <c r="AP29" i="1"/>
  <c r="L28" i="3" s="1"/>
  <c r="AQ29" i="1"/>
  <c r="M28" i="3" s="1"/>
  <c r="AR29" i="1"/>
  <c r="N28" i="3" s="1"/>
  <c r="AS29" i="1"/>
  <c r="O28" i="3" s="1"/>
  <c r="AT29" i="1"/>
  <c r="P28" i="3" s="1"/>
  <c r="AU29" i="1"/>
  <c r="Q28" i="3" s="1"/>
  <c r="AV29" i="1"/>
  <c r="R28" i="3" s="1"/>
  <c r="D30" i="1"/>
  <c r="E30" i="1"/>
  <c r="F30" i="1"/>
  <c r="H30" i="1"/>
  <c r="I30" i="1"/>
  <c r="AD30" i="1"/>
  <c r="AF30" i="1"/>
  <c r="AG30" i="1"/>
  <c r="C29" i="3" s="1"/>
  <c r="AH30" i="1"/>
  <c r="D29" i="3" s="1"/>
  <c r="AI30" i="1"/>
  <c r="E29" i="3" s="1"/>
  <c r="AJ30" i="1"/>
  <c r="F29" i="3" s="1"/>
  <c r="AK30" i="1"/>
  <c r="G29" i="3" s="1"/>
  <c r="AL30" i="1"/>
  <c r="AM30" i="1"/>
  <c r="I29" i="3" s="1"/>
  <c r="AN30" i="1"/>
  <c r="AO30" i="1"/>
  <c r="AP30" i="1"/>
  <c r="AQ30" i="1"/>
  <c r="AR30" i="1"/>
  <c r="AS30" i="1"/>
  <c r="AT30" i="1"/>
  <c r="AU30" i="1"/>
  <c r="Q29" i="3" s="1"/>
  <c r="AV30" i="1"/>
  <c r="R29" i="3" s="1"/>
  <c r="D31" i="1"/>
  <c r="E31" i="1"/>
  <c r="F31" i="1"/>
  <c r="H31" i="1"/>
  <c r="I31" i="1"/>
  <c r="AD31" i="1"/>
  <c r="AF31" i="1"/>
  <c r="AG31" i="1"/>
  <c r="AH31" i="1"/>
  <c r="AI31" i="1"/>
  <c r="AJ31" i="1"/>
  <c r="AK31" i="1"/>
  <c r="AL31" i="1"/>
  <c r="H30" i="3" s="1"/>
  <c r="AM31" i="1"/>
  <c r="I30" i="3" s="1"/>
  <c r="AN31" i="1"/>
  <c r="J30" i="3" s="1"/>
  <c r="AO31" i="1"/>
  <c r="AP31" i="1"/>
  <c r="AQ31" i="1"/>
  <c r="AR31" i="1"/>
  <c r="AS31" i="1"/>
  <c r="AT31" i="1"/>
  <c r="AU31" i="1"/>
  <c r="AV31" i="1"/>
  <c r="D32" i="1"/>
  <c r="E32" i="1"/>
  <c r="F32" i="1"/>
  <c r="H32" i="1"/>
  <c r="I32" i="1"/>
  <c r="AD32" i="1"/>
  <c r="AF32" i="1"/>
  <c r="B31" i="3" s="1"/>
  <c r="AG32" i="1"/>
  <c r="C31" i="3" s="1"/>
  <c r="AH32" i="1"/>
  <c r="D31" i="3" s="1"/>
  <c r="AI32" i="1"/>
  <c r="E31" i="3" s="1"/>
  <c r="AJ32" i="1"/>
  <c r="F31" i="3" s="1"/>
  <c r="AK32" i="1"/>
  <c r="G31" i="3" s="1"/>
  <c r="AL32" i="1"/>
  <c r="H31" i="3" s="1"/>
  <c r="AM32" i="1"/>
  <c r="I31" i="3" s="1"/>
  <c r="AN32" i="1"/>
  <c r="J31" i="3" s="1"/>
  <c r="AO32" i="1"/>
  <c r="K31" i="3" s="1"/>
  <c r="AP32" i="1"/>
  <c r="L31" i="3" s="1"/>
  <c r="AQ32" i="1"/>
  <c r="M31" i="3" s="1"/>
  <c r="AR32" i="1"/>
  <c r="N31" i="3" s="1"/>
  <c r="AS32" i="1"/>
  <c r="O31" i="3" s="1"/>
  <c r="AT32" i="1"/>
  <c r="P31" i="3" s="1"/>
  <c r="AU32" i="1"/>
  <c r="Q31" i="3" s="1"/>
  <c r="AV32" i="1"/>
  <c r="R31" i="3" s="1"/>
  <c r="D33" i="1"/>
  <c r="E33" i="1"/>
  <c r="F33" i="1"/>
  <c r="H33" i="1"/>
  <c r="I33" i="1"/>
  <c r="AD33" i="1"/>
  <c r="AF33" i="1"/>
  <c r="B32" i="3" s="1"/>
  <c r="AG33" i="1"/>
  <c r="C32" i="3" s="1"/>
  <c r="AH33" i="1"/>
  <c r="D32" i="3" s="1"/>
  <c r="AI33" i="1"/>
  <c r="E32" i="3" s="1"/>
  <c r="AJ33" i="1"/>
  <c r="F32" i="3" s="1"/>
  <c r="AK33" i="1"/>
  <c r="G32" i="3" s="1"/>
  <c r="AL33" i="1"/>
  <c r="H32" i="3" s="1"/>
  <c r="AM33" i="1"/>
  <c r="I32" i="3" s="1"/>
  <c r="AN33" i="1"/>
  <c r="J32" i="3" s="1"/>
  <c r="AO33" i="1"/>
  <c r="K32" i="3" s="1"/>
  <c r="AP33" i="1"/>
  <c r="L32" i="3" s="1"/>
  <c r="AQ33" i="1"/>
  <c r="M32" i="3" s="1"/>
  <c r="AR33" i="1"/>
  <c r="N32" i="3" s="1"/>
  <c r="AS33" i="1"/>
  <c r="O32" i="3" s="1"/>
  <c r="AT33" i="1"/>
  <c r="P32" i="3" s="1"/>
  <c r="AU33" i="1"/>
  <c r="Q32" i="3" s="1"/>
  <c r="AV33" i="1"/>
  <c r="R32" i="3" s="1"/>
  <c r="D34" i="1"/>
  <c r="E34" i="1"/>
  <c r="F34" i="1"/>
  <c r="H34" i="1"/>
  <c r="I34" i="1"/>
  <c r="AD34" i="1"/>
  <c r="AF34" i="1"/>
  <c r="AG34" i="1"/>
  <c r="C33" i="3" s="1"/>
  <c r="AH34" i="1"/>
  <c r="D33" i="3" s="1"/>
  <c r="AI34" i="1"/>
  <c r="E33" i="3" s="1"/>
  <c r="AJ34" i="1"/>
  <c r="F33" i="3" s="1"/>
  <c r="AK34" i="1"/>
  <c r="G33" i="3" s="1"/>
  <c r="AL34" i="1"/>
  <c r="H33" i="3" s="1"/>
  <c r="AM34" i="1"/>
  <c r="I33" i="3" s="1"/>
  <c r="AN34" i="1"/>
  <c r="J33" i="3" s="1"/>
  <c r="AO34" i="1"/>
  <c r="K33" i="3" s="1"/>
  <c r="AP34" i="1"/>
  <c r="L33" i="3" s="1"/>
  <c r="AQ34" i="1"/>
  <c r="M33" i="3" s="1"/>
  <c r="AR34" i="1"/>
  <c r="N33" i="3" s="1"/>
  <c r="AS34" i="1"/>
  <c r="O33" i="3" s="1"/>
  <c r="AT34" i="1"/>
  <c r="P33" i="3" s="1"/>
  <c r="AU34" i="1"/>
  <c r="Q33" i="3" s="1"/>
  <c r="AV34" i="1"/>
  <c r="R33" i="3" s="1"/>
  <c r="D35" i="1"/>
  <c r="E35" i="1"/>
  <c r="F35" i="1"/>
  <c r="H35" i="1"/>
  <c r="I35" i="1"/>
  <c r="AD35" i="1"/>
  <c r="AF35" i="1"/>
  <c r="AG35" i="1"/>
  <c r="C34" i="3" s="1"/>
  <c r="AH35" i="1"/>
  <c r="D34" i="3" s="1"/>
  <c r="AI35" i="1"/>
  <c r="E34" i="3" s="1"/>
  <c r="AJ35" i="1"/>
  <c r="F34" i="3" s="1"/>
  <c r="AK35" i="1"/>
  <c r="G34" i="3" s="1"/>
  <c r="AL35" i="1"/>
  <c r="H34" i="3" s="1"/>
  <c r="AM35" i="1"/>
  <c r="I34" i="3" s="1"/>
  <c r="AN35" i="1"/>
  <c r="J34" i="3" s="1"/>
  <c r="AO35" i="1"/>
  <c r="K34" i="3" s="1"/>
  <c r="AP35" i="1"/>
  <c r="L34" i="3" s="1"/>
  <c r="AQ35" i="1"/>
  <c r="M34" i="3" s="1"/>
  <c r="AR35" i="1"/>
  <c r="N34" i="3" s="1"/>
  <c r="AS35" i="1"/>
  <c r="O34" i="3" s="1"/>
  <c r="AT35" i="1"/>
  <c r="AU35" i="1"/>
  <c r="AV35" i="1"/>
  <c r="D36" i="1"/>
  <c r="E36" i="1"/>
  <c r="F36" i="1"/>
  <c r="H36" i="1"/>
  <c r="I36" i="1"/>
  <c r="AD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D37" i="1"/>
  <c r="E37" i="1"/>
  <c r="F37" i="1"/>
  <c r="H37" i="1"/>
  <c r="I37" i="1"/>
  <c r="AD37" i="1"/>
  <c r="AF37" i="1"/>
  <c r="AG37" i="1"/>
  <c r="C36" i="3" s="1"/>
  <c r="AH37" i="1"/>
  <c r="D36" i="3" s="1"/>
  <c r="AI37" i="1"/>
  <c r="E36" i="3" s="1"/>
  <c r="AJ37" i="1"/>
  <c r="F36" i="3" s="1"/>
  <c r="AK37" i="1"/>
  <c r="G36" i="3" s="1"/>
  <c r="AL37" i="1"/>
  <c r="H36" i="3" s="1"/>
  <c r="AM37" i="1"/>
  <c r="I36" i="3" s="1"/>
  <c r="AN37" i="1"/>
  <c r="J36" i="3" s="1"/>
  <c r="AO37" i="1"/>
  <c r="K36" i="3" s="1"/>
  <c r="AP37" i="1"/>
  <c r="L36" i="3" s="1"/>
  <c r="AQ37" i="1"/>
  <c r="M36" i="3" s="1"/>
  <c r="AR37" i="1"/>
  <c r="N36" i="3" s="1"/>
  <c r="AS37" i="1"/>
  <c r="AT37" i="1"/>
  <c r="AU37" i="1"/>
  <c r="AV37" i="1"/>
  <c r="D38" i="1"/>
  <c r="E38" i="1"/>
  <c r="F38" i="1"/>
  <c r="H38" i="1"/>
  <c r="I38" i="1"/>
  <c r="AD38" i="1"/>
  <c r="AF38" i="1"/>
  <c r="AG38" i="1"/>
  <c r="AH38" i="1"/>
  <c r="D37" i="3" s="1"/>
  <c r="AI38" i="1"/>
  <c r="E37" i="3" s="1"/>
  <c r="AJ38" i="1"/>
  <c r="F37" i="3" s="1"/>
  <c r="AK38" i="1"/>
  <c r="G37" i="3" s="1"/>
  <c r="AL38" i="1"/>
  <c r="H37" i="3" s="1"/>
  <c r="AM38" i="1"/>
  <c r="I37" i="3" s="1"/>
  <c r="AN38" i="1"/>
  <c r="J37" i="3" s="1"/>
  <c r="AO38" i="1"/>
  <c r="K37" i="3" s="1"/>
  <c r="AP38" i="1"/>
  <c r="L37" i="3" s="1"/>
  <c r="AQ38" i="1"/>
  <c r="M37" i="3" s="1"/>
  <c r="AR38" i="1"/>
  <c r="N37" i="3" s="1"/>
  <c r="AS38" i="1"/>
  <c r="AT38" i="1"/>
  <c r="AU38" i="1"/>
  <c r="AV38" i="1"/>
  <c r="D39" i="1"/>
  <c r="E39" i="1"/>
  <c r="F39" i="1"/>
  <c r="H39" i="1"/>
  <c r="I39" i="1"/>
  <c r="AD39" i="1"/>
  <c r="AF39" i="1"/>
  <c r="AG39" i="1"/>
  <c r="AH39" i="1"/>
  <c r="D38" i="3" s="1"/>
  <c r="AI39" i="1"/>
  <c r="AJ39" i="1"/>
  <c r="AK39" i="1"/>
  <c r="AL39" i="1"/>
  <c r="H38" i="3" s="1"/>
  <c r="AM39" i="1"/>
  <c r="AN39" i="1"/>
  <c r="J38" i="3" s="1"/>
  <c r="AO39" i="1"/>
  <c r="K38" i="3" s="1"/>
  <c r="AP39" i="1"/>
  <c r="L38" i="3" s="1"/>
  <c r="AQ39" i="1"/>
  <c r="M38" i="3" s="1"/>
  <c r="AR39" i="1"/>
  <c r="N38" i="3" s="1"/>
  <c r="AS39" i="1"/>
  <c r="O38" i="3" s="1"/>
  <c r="AT39" i="1"/>
  <c r="P38" i="3" s="1"/>
  <c r="AU39" i="1"/>
  <c r="Q38" i="3" s="1"/>
  <c r="AV39" i="1"/>
  <c r="R38" i="3" s="1"/>
  <c r="D40" i="1"/>
  <c r="E40" i="1"/>
  <c r="F40" i="1"/>
  <c r="H40" i="1"/>
  <c r="I40" i="1"/>
  <c r="AD40" i="1"/>
  <c r="AF40" i="1"/>
  <c r="AG40" i="1"/>
  <c r="C39" i="3" s="1"/>
  <c r="AH40" i="1"/>
  <c r="D39" i="3" s="1"/>
  <c r="AI40" i="1"/>
  <c r="E39" i="3" s="1"/>
  <c r="AJ40" i="1"/>
  <c r="F39" i="3" s="1"/>
  <c r="AK40" i="1"/>
  <c r="G39" i="3" s="1"/>
  <c r="AL40" i="1"/>
  <c r="H39" i="3" s="1"/>
  <c r="AM40" i="1"/>
  <c r="I39" i="3" s="1"/>
  <c r="AN40" i="1"/>
  <c r="J39" i="3" s="1"/>
  <c r="AO40" i="1"/>
  <c r="K39" i="3" s="1"/>
  <c r="AP40" i="1"/>
  <c r="L39" i="3" s="1"/>
  <c r="AQ40" i="1"/>
  <c r="M39" i="3" s="1"/>
  <c r="AR40" i="1"/>
  <c r="N39" i="3" s="1"/>
  <c r="AS40" i="1"/>
  <c r="O39" i="3" s="1"/>
  <c r="AT40" i="1"/>
  <c r="P39" i="3" s="1"/>
  <c r="AU40" i="1"/>
  <c r="Q39" i="3" s="1"/>
  <c r="AV40" i="1"/>
  <c r="R39" i="3" s="1"/>
  <c r="D41" i="1"/>
  <c r="E41" i="1"/>
  <c r="F41" i="1"/>
  <c r="H41" i="1"/>
  <c r="I41" i="1"/>
  <c r="AD41" i="1"/>
  <c r="AF41" i="1"/>
  <c r="B40" i="3" s="1"/>
  <c r="AG41" i="1"/>
  <c r="C40" i="3" s="1"/>
  <c r="AH41" i="1"/>
  <c r="D40" i="3" s="1"/>
  <c r="AI41" i="1"/>
  <c r="AJ41" i="1"/>
  <c r="AK41" i="1"/>
  <c r="AL41" i="1"/>
  <c r="AM41" i="1"/>
  <c r="AN41" i="1"/>
  <c r="AO41" i="1"/>
  <c r="AP41" i="1"/>
  <c r="L40" i="3" s="1"/>
  <c r="AQ41" i="1"/>
  <c r="AR41" i="1"/>
  <c r="AS41" i="1"/>
  <c r="AT41" i="1"/>
  <c r="AU41" i="1"/>
  <c r="AV41" i="1"/>
  <c r="D42" i="1"/>
  <c r="E42" i="1"/>
  <c r="F42" i="1"/>
  <c r="H42" i="1"/>
  <c r="I42" i="1"/>
  <c r="AD42" i="1"/>
  <c r="AF42" i="1"/>
  <c r="AG42" i="1"/>
  <c r="C41" i="3" s="1"/>
  <c r="AH42" i="1"/>
  <c r="D41" i="3" s="1"/>
  <c r="AI42" i="1"/>
  <c r="E41" i="3" s="1"/>
  <c r="AJ42" i="1"/>
  <c r="F41" i="3" s="1"/>
  <c r="AK42" i="1"/>
  <c r="G41" i="3" s="1"/>
  <c r="AL42" i="1"/>
  <c r="H41" i="3" s="1"/>
  <c r="AM42" i="1"/>
  <c r="I41" i="3" s="1"/>
  <c r="AN42" i="1"/>
  <c r="J41" i="3" s="1"/>
  <c r="AO42" i="1"/>
  <c r="K41" i="3" s="1"/>
  <c r="AP42" i="1"/>
  <c r="AQ42" i="1"/>
  <c r="AR42" i="1"/>
  <c r="AS42" i="1"/>
  <c r="AT42" i="1"/>
  <c r="AU42" i="1"/>
  <c r="AV42" i="1"/>
  <c r="D43" i="1"/>
  <c r="E43" i="1"/>
  <c r="F43" i="1"/>
  <c r="H43" i="1"/>
  <c r="I43" i="1"/>
  <c r="AD43" i="1"/>
  <c r="AF43" i="1"/>
  <c r="B42" i="3" s="1"/>
  <c r="AG43" i="1"/>
  <c r="C42" i="3" s="1"/>
  <c r="AH43" i="1"/>
  <c r="D42" i="3" s="1"/>
  <c r="AI43" i="1"/>
  <c r="E42" i="3" s="1"/>
  <c r="AJ43" i="1"/>
  <c r="F42" i="3" s="1"/>
  <c r="AK43" i="1"/>
  <c r="G42" i="3" s="1"/>
  <c r="AL43" i="1"/>
  <c r="H42" i="3" s="1"/>
  <c r="AM43" i="1"/>
  <c r="I42" i="3" s="1"/>
  <c r="AN43" i="1"/>
  <c r="J42" i="3" s="1"/>
  <c r="AO43" i="1"/>
  <c r="K42" i="3" s="1"/>
  <c r="AP43" i="1"/>
  <c r="L42" i="3" s="1"/>
  <c r="AQ43" i="1"/>
  <c r="M42" i="3" s="1"/>
  <c r="AR43" i="1"/>
  <c r="N42" i="3" s="1"/>
  <c r="AS43" i="1"/>
  <c r="O42" i="3" s="1"/>
  <c r="AT43" i="1"/>
  <c r="P42" i="3" s="1"/>
  <c r="AU43" i="1"/>
  <c r="Q42" i="3" s="1"/>
  <c r="AV43" i="1"/>
  <c r="R42" i="3" s="1"/>
  <c r="D44" i="1"/>
  <c r="E44" i="1"/>
  <c r="F44" i="1"/>
  <c r="H44" i="1"/>
  <c r="I44" i="1"/>
  <c r="AD44" i="1"/>
  <c r="AF44" i="1"/>
  <c r="AG44" i="1"/>
  <c r="C43" i="3" s="1"/>
  <c r="AH44" i="1"/>
  <c r="D43" i="3" s="1"/>
  <c r="AI44" i="1"/>
  <c r="E43" i="3" s="1"/>
  <c r="AJ44" i="1"/>
  <c r="AK44" i="1"/>
  <c r="AL44" i="1"/>
  <c r="AM44" i="1"/>
  <c r="I43" i="3" s="1"/>
  <c r="AN44" i="1"/>
  <c r="J43" i="3" s="1"/>
  <c r="AO44" i="1"/>
  <c r="K43" i="3" s="1"/>
  <c r="AP44" i="1"/>
  <c r="AQ44" i="1"/>
  <c r="M43" i="3" s="1"/>
  <c r="AR44" i="1"/>
  <c r="N43" i="3" s="1"/>
  <c r="AS44" i="1"/>
  <c r="O43" i="3" s="1"/>
  <c r="AT44" i="1"/>
  <c r="P43" i="3" s="1"/>
  <c r="AU44" i="1"/>
  <c r="Q43" i="3" s="1"/>
  <c r="AV44" i="1"/>
  <c r="R43" i="3" s="1"/>
  <c r="D45" i="1"/>
  <c r="E45" i="1"/>
  <c r="F45" i="1"/>
  <c r="H45" i="1"/>
  <c r="I45" i="1"/>
  <c r="AD45" i="1"/>
  <c r="AF45" i="1"/>
  <c r="AG45" i="1"/>
  <c r="C44" i="3" s="1"/>
  <c r="AH45" i="1"/>
  <c r="D44" i="3" s="1"/>
  <c r="AI45" i="1"/>
  <c r="AJ45" i="1"/>
  <c r="AK45" i="1"/>
  <c r="AL45" i="1"/>
  <c r="AM45" i="1"/>
  <c r="AN45" i="1"/>
  <c r="AO45" i="1"/>
  <c r="AP45" i="1"/>
  <c r="AQ45" i="1"/>
  <c r="AR45" i="1"/>
  <c r="N44" i="3" s="1"/>
  <c r="AS45" i="1"/>
  <c r="O44" i="3" s="1"/>
  <c r="AT45" i="1"/>
  <c r="P44" i="3" s="1"/>
  <c r="AU45" i="1"/>
  <c r="Q44" i="3" s="1"/>
  <c r="AV45" i="1"/>
  <c r="R44" i="3" s="1"/>
  <c r="D46" i="1"/>
  <c r="E46" i="1"/>
  <c r="F46" i="1"/>
  <c r="H46" i="1"/>
  <c r="I46" i="1"/>
  <c r="AD46" i="1"/>
  <c r="AF46" i="1"/>
  <c r="B45" i="3" s="1"/>
  <c r="AG46" i="1"/>
  <c r="C45" i="3" s="1"/>
  <c r="AH46" i="1"/>
  <c r="D45" i="3" s="1"/>
  <c r="AI46" i="1"/>
  <c r="E45" i="3" s="1"/>
  <c r="AJ46" i="1"/>
  <c r="F45" i="3" s="1"/>
  <c r="AK46" i="1"/>
  <c r="G45" i="3" s="1"/>
  <c r="AL46" i="1"/>
  <c r="H45" i="3" s="1"/>
  <c r="AM46" i="1"/>
  <c r="I45" i="3" s="1"/>
  <c r="AN46" i="1"/>
  <c r="J45" i="3" s="1"/>
  <c r="AO46" i="1"/>
  <c r="AP46" i="1"/>
  <c r="L45" i="3" s="1"/>
  <c r="AQ46" i="1"/>
  <c r="M45" i="3" s="1"/>
  <c r="AR46" i="1"/>
  <c r="N45" i="3" s="1"/>
  <c r="AS46" i="1"/>
  <c r="O45" i="3" s="1"/>
  <c r="AT46" i="1"/>
  <c r="P45" i="3" s="1"/>
  <c r="AU46" i="1"/>
  <c r="Q45" i="3" s="1"/>
  <c r="AV46" i="1"/>
  <c r="D47" i="1"/>
  <c r="E47" i="1"/>
  <c r="F47" i="1"/>
  <c r="H47" i="1"/>
  <c r="I47" i="1"/>
  <c r="AD47" i="1"/>
  <c r="AF47" i="1"/>
  <c r="AG47" i="1"/>
  <c r="C46" i="3" s="1"/>
  <c r="AH47" i="1"/>
  <c r="D46" i="3" s="1"/>
  <c r="AI47" i="1"/>
  <c r="E46" i="3" s="1"/>
  <c r="AJ47" i="1"/>
  <c r="F46" i="3" s="1"/>
  <c r="AK47" i="1"/>
  <c r="AL47" i="1"/>
  <c r="AM47" i="1"/>
  <c r="I46" i="3" s="1"/>
  <c r="AN47" i="1"/>
  <c r="J46" i="3" s="1"/>
  <c r="AO47" i="1"/>
  <c r="AP47" i="1"/>
  <c r="AQ47" i="1"/>
  <c r="AR47" i="1"/>
  <c r="AS47" i="1"/>
  <c r="AT47" i="1"/>
  <c r="AU47" i="1"/>
  <c r="AV47" i="1"/>
  <c r="D48" i="1"/>
  <c r="E48" i="1"/>
  <c r="F48" i="1"/>
  <c r="H48" i="1"/>
  <c r="I48" i="1"/>
  <c r="AD48" i="1"/>
  <c r="AF48" i="1"/>
  <c r="AG48" i="1"/>
  <c r="C47" i="3" s="1"/>
  <c r="AH48" i="1"/>
  <c r="AI48" i="1"/>
  <c r="AJ48" i="1"/>
  <c r="AK48" i="1"/>
  <c r="AL48" i="1"/>
  <c r="H47" i="3" s="1"/>
  <c r="AM48" i="1"/>
  <c r="I47" i="3" s="1"/>
  <c r="AN48" i="1"/>
  <c r="J47" i="3" s="1"/>
  <c r="AO48" i="1"/>
  <c r="K47" i="3" s="1"/>
  <c r="AP48" i="1"/>
  <c r="L47" i="3" s="1"/>
  <c r="AQ48" i="1"/>
  <c r="M47" i="3" s="1"/>
  <c r="AR48" i="1"/>
  <c r="N47" i="3" s="1"/>
  <c r="AS48" i="1"/>
  <c r="O47" i="3" s="1"/>
  <c r="AT48" i="1"/>
  <c r="P47" i="3" s="1"/>
  <c r="AU48" i="1"/>
  <c r="Q47" i="3" s="1"/>
  <c r="AV48" i="1"/>
  <c r="R47" i="3" s="1"/>
  <c r="D49" i="1"/>
  <c r="E49" i="1"/>
  <c r="F49" i="1"/>
  <c r="H49" i="1"/>
  <c r="I49" i="1"/>
  <c r="AD49" i="1"/>
  <c r="AF49" i="1"/>
  <c r="AG49" i="1"/>
  <c r="C48" i="3" s="1"/>
  <c r="AH49" i="1"/>
  <c r="D48" i="3" s="1"/>
  <c r="AI49" i="1"/>
  <c r="E48" i="3" s="1"/>
  <c r="AJ49" i="1"/>
  <c r="F48" i="3" s="1"/>
  <c r="AK49" i="1"/>
  <c r="G48" i="3" s="1"/>
  <c r="AL49" i="1"/>
  <c r="H48" i="3" s="1"/>
  <c r="AM49" i="1"/>
  <c r="I48" i="3" s="1"/>
  <c r="AN49" i="1"/>
  <c r="J48" i="3" s="1"/>
  <c r="AO49" i="1"/>
  <c r="AP49" i="1"/>
  <c r="L48" i="3" s="1"/>
  <c r="AQ49" i="1"/>
  <c r="AR49" i="1"/>
  <c r="AS49" i="1"/>
  <c r="AT49" i="1"/>
  <c r="AU49" i="1"/>
  <c r="Q48" i="3" s="1"/>
  <c r="AV49" i="1"/>
  <c r="R48" i="3" s="1"/>
  <c r="D50" i="1"/>
  <c r="E50" i="1"/>
  <c r="F50" i="1"/>
  <c r="H50" i="1"/>
  <c r="I50" i="1"/>
  <c r="AD50" i="1"/>
  <c r="AF50" i="1"/>
  <c r="AG50" i="1"/>
  <c r="AH50" i="1"/>
  <c r="AI50" i="1"/>
  <c r="AJ50" i="1"/>
  <c r="AK50" i="1"/>
  <c r="AL50" i="1"/>
  <c r="AM50" i="1"/>
  <c r="I49" i="3" s="1"/>
  <c r="AN50" i="1"/>
  <c r="AO50" i="1"/>
  <c r="AP50" i="1"/>
  <c r="AQ50" i="1"/>
  <c r="M49" i="3" s="1"/>
  <c r="AR50" i="1"/>
  <c r="N49" i="3" s="1"/>
  <c r="AS50" i="1"/>
  <c r="O49" i="3" s="1"/>
  <c r="AT50" i="1"/>
  <c r="P49" i="3" s="1"/>
  <c r="AU50" i="1"/>
  <c r="Q49" i="3" s="1"/>
  <c r="AV50" i="1"/>
  <c r="R49" i="3" s="1"/>
  <c r="D51" i="1"/>
  <c r="E51" i="1"/>
  <c r="F51" i="1"/>
  <c r="H51" i="1"/>
  <c r="I51" i="1"/>
  <c r="AD51" i="1"/>
  <c r="AF51" i="1"/>
  <c r="AG51" i="1"/>
  <c r="AH51" i="1"/>
  <c r="AI51" i="1"/>
  <c r="E50" i="3" s="1"/>
  <c r="AJ51" i="1"/>
  <c r="F50" i="3" s="1"/>
  <c r="AK51" i="1"/>
  <c r="G50" i="3" s="1"/>
  <c r="AL51" i="1"/>
  <c r="H50" i="3" s="1"/>
  <c r="AM51" i="1"/>
  <c r="I50" i="3" s="1"/>
  <c r="AN51" i="1"/>
  <c r="J50" i="3" s="1"/>
  <c r="AO51" i="1"/>
  <c r="K50" i="3" s="1"/>
  <c r="AP51" i="1"/>
  <c r="L50" i="3" s="1"/>
  <c r="AQ51" i="1"/>
  <c r="M50" i="3" s="1"/>
  <c r="AR51" i="1"/>
  <c r="N50" i="3" s="1"/>
  <c r="AS51" i="1"/>
  <c r="O50" i="3" s="1"/>
  <c r="AT51" i="1"/>
  <c r="P50" i="3" s="1"/>
  <c r="AU51" i="1"/>
  <c r="Q50" i="3" s="1"/>
  <c r="AV51" i="1"/>
  <c r="R50" i="3" s="1"/>
  <c r="AW51" i="1"/>
  <c r="G51" i="1" s="1"/>
  <c r="D52" i="1"/>
  <c r="E52" i="1"/>
  <c r="F52" i="1"/>
  <c r="H52" i="1"/>
  <c r="I52" i="1"/>
  <c r="AD52" i="1"/>
  <c r="AF52" i="1"/>
  <c r="B51" i="3" s="1"/>
  <c r="AG52" i="1"/>
  <c r="C51" i="3" s="1"/>
  <c r="AH52" i="1"/>
  <c r="D51" i="3" s="1"/>
  <c r="AI52" i="1"/>
  <c r="E51" i="3" s="1"/>
  <c r="AJ52" i="1"/>
  <c r="F51" i="3" s="1"/>
  <c r="AK52" i="1"/>
  <c r="G51" i="3" s="1"/>
  <c r="AL52" i="1"/>
  <c r="H51" i="3" s="1"/>
  <c r="AM52" i="1"/>
  <c r="I51" i="3" s="1"/>
  <c r="AN52" i="1"/>
  <c r="J51" i="3" s="1"/>
  <c r="AO52" i="1"/>
  <c r="K51" i="3" s="1"/>
  <c r="AP52" i="1"/>
  <c r="L51" i="3" s="1"/>
  <c r="AQ52" i="1"/>
  <c r="M51" i="3" s="1"/>
  <c r="AR52" i="1"/>
  <c r="N51" i="3" s="1"/>
  <c r="AS52" i="1"/>
  <c r="AT52" i="1"/>
  <c r="P51" i="3" s="1"/>
  <c r="AU52" i="1"/>
  <c r="Q51" i="3" s="1"/>
  <c r="AV52" i="1"/>
  <c r="R51" i="3" s="1"/>
  <c r="D53" i="1"/>
  <c r="E53" i="1"/>
  <c r="F53" i="1"/>
  <c r="H53" i="1"/>
  <c r="I53" i="1"/>
  <c r="AD53" i="1"/>
  <c r="AF53" i="1"/>
  <c r="B52" i="3" s="1"/>
  <c r="AG53" i="1"/>
  <c r="C52" i="3" s="1"/>
  <c r="AH53" i="1"/>
  <c r="D52" i="3" s="1"/>
  <c r="AI53" i="1"/>
  <c r="E52" i="3" s="1"/>
  <c r="AJ53" i="1"/>
  <c r="F52" i="3" s="1"/>
  <c r="AK53" i="1"/>
  <c r="G52" i="3" s="1"/>
  <c r="AL53" i="1"/>
  <c r="H52" i="3" s="1"/>
  <c r="AM53" i="1"/>
  <c r="I52" i="3" s="1"/>
  <c r="AN53" i="1"/>
  <c r="J52" i="3" s="1"/>
  <c r="AO53" i="1"/>
  <c r="K52" i="3" s="1"/>
  <c r="AP53" i="1"/>
  <c r="L52" i="3" s="1"/>
  <c r="AQ53" i="1"/>
  <c r="M52" i="3" s="1"/>
  <c r="AR53" i="1"/>
  <c r="AS53" i="1"/>
  <c r="AT53" i="1"/>
  <c r="AU53" i="1"/>
  <c r="AV53" i="1"/>
  <c r="D54" i="1"/>
  <c r="E54" i="1"/>
  <c r="F54" i="1"/>
  <c r="H54" i="1"/>
  <c r="I54" i="1"/>
  <c r="AD54" i="1"/>
  <c r="AF54" i="1"/>
  <c r="AG54" i="1"/>
  <c r="C53" i="3" s="1"/>
  <c r="AH54" i="1"/>
  <c r="D53" i="3" s="1"/>
  <c r="AI54" i="1"/>
  <c r="E53" i="3" s="1"/>
  <c r="AJ54" i="1"/>
  <c r="F53" i="3" s="1"/>
  <c r="AK54" i="1"/>
  <c r="G53" i="3" s="1"/>
  <c r="AL54" i="1"/>
  <c r="H53" i="3" s="1"/>
  <c r="AM54" i="1"/>
  <c r="I53" i="3" s="1"/>
  <c r="AN54" i="1"/>
  <c r="J53" i="3" s="1"/>
  <c r="AO54" i="1"/>
  <c r="K53" i="3" s="1"/>
  <c r="AP54" i="1"/>
  <c r="L53" i="3" s="1"/>
  <c r="AQ54" i="1"/>
  <c r="M53" i="3" s="1"/>
  <c r="AR54" i="1"/>
  <c r="N53" i="3" s="1"/>
  <c r="AS54" i="1"/>
  <c r="O53" i="3" s="1"/>
  <c r="AT54" i="1"/>
  <c r="P53" i="3" s="1"/>
  <c r="AU54" i="1"/>
  <c r="Q53" i="3" s="1"/>
  <c r="AV54" i="1"/>
  <c r="R53" i="3" s="1"/>
  <c r="D55" i="1"/>
  <c r="E55" i="1"/>
  <c r="F55" i="1"/>
  <c r="H55" i="1"/>
  <c r="I55" i="1"/>
  <c r="AD55" i="1"/>
  <c r="AF55" i="1"/>
  <c r="AG55" i="1"/>
  <c r="AH55" i="1"/>
  <c r="D54" i="3" s="1"/>
  <c r="AI55" i="1"/>
  <c r="E54" i="3" s="1"/>
  <c r="AJ55" i="1"/>
  <c r="AK55" i="1"/>
  <c r="AL55" i="1"/>
  <c r="AM55" i="1"/>
  <c r="AN55" i="1"/>
  <c r="AO55" i="1"/>
  <c r="AP55" i="1"/>
  <c r="AQ55" i="1"/>
  <c r="AR55" i="1"/>
  <c r="AS55" i="1"/>
  <c r="O54" i="3" s="1"/>
  <c r="AT55" i="1"/>
  <c r="P54" i="3" s="1"/>
  <c r="AU55" i="1"/>
  <c r="Q54" i="3" s="1"/>
  <c r="AV55" i="1"/>
  <c r="R54" i="3" s="1"/>
  <c r="D56" i="1"/>
  <c r="E56" i="1"/>
  <c r="F56" i="1"/>
  <c r="H56" i="1"/>
  <c r="I56" i="1"/>
  <c r="AD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G56" i="1" s="1"/>
  <c r="D57" i="1"/>
  <c r="E57" i="1"/>
  <c r="F57" i="1"/>
  <c r="H57" i="1"/>
  <c r="I57" i="1"/>
  <c r="AD57" i="1"/>
  <c r="AF57" i="1"/>
  <c r="AG57" i="1"/>
  <c r="AH57" i="1"/>
  <c r="D56" i="3" s="1"/>
  <c r="AI57" i="1"/>
  <c r="E56" i="3" s="1"/>
  <c r="AJ57" i="1"/>
  <c r="F56" i="3" s="1"/>
  <c r="AK57" i="1"/>
  <c r="G56" i="3" s="1"/>
  <c r="AL57" i="1"/>
  <c r="H56" i="3" s="1"/>
  <c r="AM57" i="1"/>
  <c r="I56" i="3" s="1"/>
  <c r="AN57" i="1"/>
  <c r="J56" i="3" s="1"/>
  <c r="AO57" i="1"/>
  <c r="K56" i="3" s="1"/>
  <c r="AP57" i="1"/>
  <c r="L56" i="3" s="1"/>
  <c r="AQ57" i="1"/>
  <c r="M56" i="3" s="1"/>
  <c r="AR57" i="1"/>
  <c r="N56" i="3" s="1"/>
  <c r="AS57" i="1"/>
  <c r="O56" i="3" s="1"/>
  <c r="AT57" i="1"/>
  <c r="P56" i="3" s="1"/>
  <c r="AU57" i="1"/>
  <c r="Q56" i="3" s="1"/>
  <c r="AV57" i="1"/>
  <c r="R56" i="3" s="1"/>
  <c r="D58" i="1"/>
  <c r="E58" i="1"/>
  <c r="F58" i="1"/>
  <c r="H58" i="1"/>
  <c r="I58" i="1"/>
  <c r="AD58" i="1"/>
  <c r="AF58" i="1"/>
  <c r="AG58" i="1"/>
  <c r="C57" i="3" s="1"/>
  <c r="AH58" i="1"/>
  <c r="D57" i="3" s="1"/>
  <c r="AI58" i="1"/>
  <c r="E57" i="3" s="1"/>
  <c r="AJ58" i="1"/>
  <c r="AK58" i="1"/>
  <c r="AL58" i="1"/>
  <c r="H57" i="3" s="1"/>
  <c r="AM58" i="1"/>
  <c r="I57" i="3" s="1"/>
  <c r="AN58" i="1"/>
  <c r="J57" i="3" s="1"/>
  <c r="AO58" i="1"/>
  <c r="K57" i="3" s="1"/>
  <c r="AP58" i="1"/>
  <c r="L57" i="3" s="1"/>
  <c r="AQ58" i="1"/>
  <c r="M57" i="3" s="1"/>
  <c r="AR58" i="1"/>
  <c r="N57" i="3" s="1"/>
  <c r="AS58" i="1"/>
  <c r="O57" i="3" s="1"/>
  <c r="AT58" i="1"/>
  <c r="P57" i="3" s="1"/>
  <c r="AU58" i="1"/>
  <c r="Q57" i="3" s="1"/>
  <c r="AV58" i="1"/>
  <c r="R57" i="3" s="1"/>
  <c r="D59" i="1"/>
  <c r="E59" i="1"/>
  <c r="F59" i="1"/>
  <c r="H59" i="1"/>
  <c r="I59" i="1"/>
  <c r="AD59" i="1"/>
  <c r="AF59" i="1"/>
  <c r="AG59" i="1"/>
  <c r="C58" i="3" s="1"/>
  <c r="AH59" i="1"/>
  <c r="D58" i="3" s="1"/>
  <c r="AI59" i="1"/>
  <c r="E58" i="3" s="1"/>
  <c r="AJ59" i="1"/>
  <c r="F58" i="3" s="1"/>
  <c r="AK59" i="1"/>
  <c r="G58" i="3" s="1"/>
  <c r="AL59" i="1"/>
  <c r="H58" i="3" s="1"/>
  <c r="AM59" i="1"/>
  <c r="I58" i="3" s="1"/>
  <c r="AN59" i="1"/>
  <c r="J58" i="3" s="1"/>
  <c r="AO59" i="1"/>
  <c r="K58" i="3" s="1"/>
  <c r="AP59" i="1"/>
  <c r="L58" i="3" s="1"/>
  <c r="AQ59" i="1"/>
  <c r="M58" i="3" s="1"/>
  <c r="AR59" i="1"/>
  <c r="N58" i="3" s="1"/>
  <c r="AS59" i="1"/>
  <c r="O58" i="3" s="1"/>
  <c r="AT59" i="1"/>
  <c r="P58" i="3" s="1"/>
  <c r="AU59" i="1"/>
  <c r="Q58" i="3" s="1"/>
  <c r="AV59" i="1"/>
  <c r="R58" i="3" s="1"/>
  <c r="D60" i="1"/>
  <c r="E60" i="1"/>
  <c r="F60" i="1"/>
  <c r="H60" i="1"/>
  <c r="I60" i="1"/>
  <c r="AD60" i="1"/>
  <c r="AF60" i="1"/>
  <c r="AG60" i="1"/>
  <c r="C59" i="3" s="1"/>
  <c r="AH60" i="1"/>
  <c r="D59" i="3" s="1"/>
  <c r="AI60" i="1"/>
  <c r="E59" i="3" s="1"/>
  <c r="AJ60" i="1"/>
  <c r="F59" i="3" s="1"/>
  <c r="AK60" i="1"/>
  <c r="G59" i="3" s="1"/>
  <c r="AL60" i="1"/>
  <c r="H59" i="3" s="1"/>
  <c r="AM60" i="1"/>
  <c r="I59" i="3" s="1"/>
  <c r="AN60" i="1"/>
  <c r="J59" i="3" s="1"/>
  <c r="AO60" i="1"/>
  <c r="K59" i="3" s="1"/>
  <c r="AP60" i="1"/>
  <c r="AQ60" i="1"/>
  <c r="AR60" i="1"/>
  <c r="AS60" i="1"/>
  <c r="AT60" i="1"/>
  <c r="AU60" i="1"/>
  <c r="Q59" i="3" s="1"/>
  <c r="AV60" i="1"/>
  <c r="R59" i="3" s="1"/>
  <c r="D61" i="1"/>
  <c r="E61" i="1"/>
  <c r="F61" i="1"/>
  <c r="H61" i="1"/>
  <c r="I61" i="1"/>
  <c r="AD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D62" i="1"/>
  <c r="E62" i="1"/>
  <c r="F62" i="1"/>
  <c r="H62" i="1"/>
  <c r="I62" i="1"/>
  <c r="AD62" i="1"/>
  <c r="AF62" i="1"/>
  <c r="AG62" i="1"/>
  <c r="AH62" i="1"/>
  <c r="D61" i="3" s="1"/>
  <c r="AI62" i="1"/>
  <c r="E61" i="3" s="1"/>
  <c r="AJ62" i="1"/>
  <c r="F61" i="3" s="1"/>
  <c r="AK62" i="1"/>
  <c r="G61" i="3" s="1"/>
  <c r="AL62" i="1"/>
  <c r="AM62" i="1"/>
  <c r="AN62" i="1"/>
  <c r="AO62" i="1"/>
  <c r="AP62" i="1"/>
  <c r="AQ62" i="1"/>
  <c r="AR62" i="1"/>
  <c r="AS62" i="1"/>
  <c r="AT62" i="1"/>
  <c r="AU62" i="1"/>
  <c r="Q61" i="3" s="1"/>
  <c r="AV62" i="1"/>
  <c r="R61" i="3" s="1"/>
  <c r="D63" i="1"/>
  <c r="E63" i="1"/>
  <c r="F63" i="1"/>
  <c r="H63" i="1"/>
  <c r="I63" i="1"/>
  <c r="AD63" i="1"/>
  <c r="AF63" i="1"/>
  <c r="B62" i="3" s="1"/>
  <c r="AG63" i="1"/>
  <c r="C62" i="3" s="1"/>
  <c r="AH63" i="1"/>
  <c r="D62" i="3" s="1"/>
  <c r="AI63" i="1"/>
  <c r="E62" i="3" s="1"/>
  <c r="AJ63" i="1"/>
  <c r="F62" i="3" s="1"/>
  <c r="AK63" i="1"/>
  <c r="G62" i="3" s="1"/>
  <c r="AL63" i="1"/>
  <c r="H62" i="3" s="1"/>
  <c r="AM63" i="1"/>
  <c r="I62" i="3" s="1"/>
  <c r="AN63" i="1"/>
  <c r="AO63" i="1"/>
  <c r="AP63" i="1"/>
  <c r="L62" i="3" s="1"/>
  <c r="AQ63" i="1"/>
  <c r="AR63" i="1"/>
  <c r="N62" i="3" s="1"/>
  <c r="AS63" i="1"/>
  <c r="O62" i="3" s="1"/>
  <c r="AT63" i="1"/>
  <c r="P62" i="3" s="1"/>
  <c r="AU63" i="1"/>
  <c r="AV63" i="1"/>
  <c r="R62" i="3" s="1"/>
  <c r="D64" i="1"/>
  <c r="E64" i="1"/>
  <c r="F64" i="1"/>
  <c r="H64" i="1"/>
  <c r="I64" i="1"/>
  <c r="AD64" i="1"/>
  <c r="AF64" i="1"/>
  <c r="B63" i="3" s="1"/>
  <c r="AG64" i="1"/>
  <c r="C63" i="3" s="1"/>
  <c r="AH64" i="1"/>
  <c r="D63" i="3" s="1"/>
  <c r="AI64" i="1"/>
  <c r="E63" i="3" s="1"/>
  <c r="AJ64" i="1"/>
  <c r="F63" i="3" s="1"/>
  <c r="AK64" i="1"/>
  <c r="AL64" i="1"/>
  <c r="H63" i="3" s="1"/>
  <c r="AM64" i="1"/>
  <c r="I63" i="3" s="1"/>
  <c r="AN64" i="1"/>
  <c r="J63" i="3" s="1"/>
  <c r="AO64" i="1"/>
  <c r="K63" i="3" s="1"/>
  <c r="AP64" i="1"/>
  <c r="AQ64" i="1"/>
  <c r="AR64" i="1"/>
  <c r="AS64" i="1"/>
  <c r="AT64" i="1"/>
  <c r="AU64" i="1"/>
  <c r="Q63" i="3" s="1"/>
  <c r="AV64" i="1"/>
  <c r="R63" i="3" s="1"/>
  <c r="D65" i="1"/>
  <c r="E65" i="1"/>
  <c r="F65" i="1"/>
  <c r="H65" i="1"/>
  <c r="I65" i="1"/>
  <c r="AD65" i="1"/>
  <c r="AF65" i="1"/>
  <c r="B64" i="3" s="1"/>
  <c r="AG65" i="1"/>
  <c r="AH65" i="1"/>
  <c r="AI65" i="1"/>
  <c r="AJ65" i="1"/>
  <c r="AK65" i="1"/>
  <c r="AL65" i="1"/>
  <c r="H64" i="3" s="1"/>
  <c r="AM65" i="1"/>
  <c r="I64" i="3" s="1"/>
  <c r="AN65" i="1"/>
  <c r="J64" i="3" s="1"/>
  <c r="AO65" i="1"/>
  <c r="K64" i="3" s="1"/>
  <c r="AP65" i="1"/>
  <c r="L64" i="3" s="1"/>
  <c r="AQ65" i="1"/>
  <c r="M64" i="3" s="1"/>
  <c r="AR65" i="1"/>
  <c r="N64" i="3" s="1"/>
  <c r="AS65" i="1"/>
  <c r="O64" i="3" s="1"/>
  <c r="AT65" i="1"/>
  <c r="P64" i="3" s="1"/>
  <c r="AU65" i="1"/>
  <c r="Q64" i="3" s="1"/>
  <c r="AV65" i="1"/>
  <c r="R64" i="3" s="1"/>
  <c r="AW65" i="1"/>
  <c r="G65" i="1" s="1"/>
  <c r="D66" i="1"/>
  <c r="E66" i="1"/>
  <c r="F66" i="1"/>
  <c r="H66" i="1"/>
  <c r="I66" i="1"/>
  <c r="AD66" i="1"/>
  <c r="AF66" i="1"/>
  <c r="AG66" i="1"/>
  <c r="AH66" i="1"/>
  <c r="AI66" i="1"/>
  <c r="AJ66" i="1"/>
  <c r="AK66" i="1"/>
  <c r="AL66" i="1"/>
  <c r="AM66" i="1"/>
  <c r="I65" i="3" s="1"/>
  <c r="AN66" i="1"/>
  <c r="J65" i="3" s="1"/>
  <c r="AO66" i="1"/>
  <c r="K65" i="3" s="1"/>
  <c r="AP66" i="1"/>
  <c r="L65" i="3" s="1"/>
  <c r="AQ66" i="1"/>
  <c r="AR66" i="1"/>
  <c r="AS66" i="1"/>
  <c r="AT66" i="1"/>
  <c r="AU66" i="1"/>
  <c r="AV66" i="1"/>
  <c r="R65" i="3" s="1"/>
  <c r="E67" i="1"/>
  <c r="F67" i="1"/>
  <c r="H67" i="1"/>
  <c r="I67" i="1"/>
  <c r="AD67" i="1"/>
  <c r="AF67" i="1"/>
  <c r="AG67" i="1"/>
  <c r="C66" i="3" s="1"/>
  <c r="AH67" i="1"/>
  <c r="D66" i="3" s="1"/>
  <c r="AI67" i="1"/>
  <c r="E66" i="3" s="1"/>
  <c r="AJ67" i="1"/>
  <c r="F66" i="3" s="1"/>
  <c r="AK67" i="1"/>
  <c r="G66" i="3" s="1"/>
  <c r="AL67" i="1"/>
  <c r="H66" i="3" s="1"/>
  <c r="AM67" i="1"/>
  <c r="I66" i="3" s="1"/>
  <c r="AN67" i="1"/>
  <c r="AO67" i="1"/>
  <c r="AP67" i="1"/>
  <c r="AQ67" i="1"/>
  <c r="AR67" i="1"/>
  <c r="N66" i="3" s="1"/>
  <c r="AS67" i="1"/>
  <c r="O66" i="3" s="1"/>
  <c r="AT67" i="1"/>
  <c r="P66" i="3" s="1"/>
  <c r="AU67" i="1"/>
  <c r="Q66" i="3" s="1"/>
  <c r="AV67" i="1"/>
  <c r="R66" i="3" s="1"/>
  <c r="D68" i="1"/>
  <c r="E68" i="1"/>
  <c r="F68" i="1"/>
  <c r="H68" i="1"/>
  <c r="I68" i="1"/>
  <c r="AD68" i="1"/>
  <c r="AF68" i="1"/>
  <c r="B67" i="3" s="1"/>
  <c r="AG68" i="1"/>
  <c r="C67" i="3" s="1"/>
  <c r="AH68" i="1"/>
  <c r="D67" i="3" s="1"/>
  <c r="AI68" i="1"/>
  <c r="E67" i="3" s="1"/>
  <c r="AJ68" i="1"/>
  <c r="F67" i="3" s="1"/>
  <c r="AK68" i="1"/>
  <c r="G67" i="3" s="1"/>
  <c r="AL68" i="1"/>
  <c r="H67" i="3" s="1"/>
  <c r="AM68" i="1"/>
  <c r="I67" i="3" s="1"/>
  <c r="AN68" i="1"/>
  <c r="J67" i="3" s="1"/>
  <c r="AO68" i="1"/>
  <c r="K67" i="3" s="1"/>
  <c r="AP68" i="1"/>
  <c r="L67" i="3" s="1"/>
  <c r="AQ68" i="1"/>
  <c r="M67" i="3" s="1"/>
  <c r="AR68" i="1"/>
  <c r="N67" i="3" s="1"/>
  <c r="AS68" i="1"/>
  <c r="O67" i="3" s="1"/>
  <c r="AT68" i="1"/>
  <c r="P67" i="3" s="1"/>
  <c r="AU68" i="1"/>
  <c r="AV68" i="1"/>
  <c r="R67" i="3" s="1"/>
  <c r="E69" i="1"/>
  <c r="F69" i="1"/>
  <c r="H69" i="1"/>
  <c r="I69" i="1"/>
  <c r="AD69" i="1"/>
  <c r="AF69" i="1"/>
  <c r="B68" i="3" s="1"/>
  <c r="AG69" i="1"/>
  <c r="C68" i="3" s="1"/>
  <c r="AH69" i="1"/>
  <c r="D68" i="3" s="1"/>
  <c r="AI69" i="1"/>
  <c r="AJ69" i="1"/>
  <c r="F68" i="3" s="1"/>
  <c r="AK69" i="1"/>
  <c r="G68" i="3" s="1"/>
  <c r="AL69" i="1"/>
  <c r="H68" i="3" s="1"/>
  <c r="AM69" i="1"/>
  <c r="I68" i="3" s="1"/>
  <c r="AN69" i="1"/>
  <c r="J68" i="3" s="1"/>
  <c r="AO69" i="1"/>
  <c r="K68" i="3" s="1"/>
  <c r="AP69" i="1"/>
  <c r="L68" i="3" s="1"/>
  <c r="AQ69" i="1"/>
  <c r="M68" i="3" s="1"/>
  <c r="AR69" i="1"/>
  <c r="N68" i="3" s="1"/>
  <c r="AS69" i="1"/>
  <c r="O68" i="3" s="1"/>
  <c r="AT69" i="1"/>
  <c r="P68" i="3" s="1"/>
  <c r="AU69" i="1"/>
  <c r="Q68" i="3" s="1"/>
  <c r="AV69" i="1"/>
  <c r="R68" i="3" s="1"/>
  <c r="AW69" i="1"/>
  <c r="G69" i="1" s="1"/>
  <c r="J69" i="1" s="1"/>
  <c r="D70" i="1"/>
  <c r="E70" i="1"/>
  <c r="F70" i="1"/>
  <c r="H70" i="1"/>
  <c r="I70" i="1"/>
  <c r="AD70" i="1"/>
  <c r="AF70" i="1"/>
  <c r="AG70" i="1"/>
  <c r="C69" i="3" s="1"/>
  <c r="AH70" i="1"/>
  <c r="D69" i="3" s="1"/>
  <c r="AI70" i="1"/>
  <c r="E69" i="3" s="1"/>
  <c r="AJ70" i="1"/>
  <c r="F69" i="3" s="1"/>
  <c r="AK70" i="1"/>
  <c r="G69" i="3" s="1"/>
  <c r="AL70" i="1"/>
  <c r="H69" i="3" s="1"/>
  <c r="AM70" i="1"/>
  <c r="AN70" i="1"/>
  <c r="AO70" i="1"/>
  <c r="AP70" i="1"/>
  <c r="AQ70" i="1"/>
  <c r="M69" i="3" s="1"/>
  <c r="AR70" i="1"/>
  <c r="N69" i="3" s="1"/>
  <c r="AS70" i="1"/>
  <c r="O69" i="3" s="1"/>
  <c r="AT70" i="1"/>
  <c r="P69" i="3" s="1"/>
  <c r="AU70" i="1"/>
  <c r="Q69" i="3" s="1"/>
  <c r="AV70" i="1"/>
  <c r="R69" i="3" s="1"/>
  <c r="E71" i="1"/>
  <c r="F71" i="1"/>
  <c r="H71" i="1"/>
  <c r="I71" i="1"/>
  <c r="AD71" i="1"/>
  <c r="AF71" i="1"/>
  <c r="B70" i="3" s="1"/>
  <c r="AG71" i="1"/>
  <c r="C70" i="3" s="1"/>
  <c r="AH71" i="1"/>
  <c r="D70" i="3" s="1"/>
  <c r="AI71" i="1"/>
  <c r="E70" i="3" s="1"/>
  <c r="AJ71" i="1"/>
  <c r="F70" i="3" s="1"/>
  <c r="AK71" i="1"/>
  <c r="G70" i="3" s="1"/>
  <c r="AL71" i="1"/>
  <c r="H70" i="3" s="1"/>
  <c r="AM71" i="1"/>
  <c r="I70" i="3" s="1"/>
  <c r="AN71" i="1"/>
  <c r="J70" i="3" s="1"/>
  <c r="AO71" i="1"/>
  <c r="AP71" i="1"/>
  <c r="L70" i="3" s="1"/>
  <c r="AQ71" i="1"/>
  <c r="M70" i="3" s="1"/>
  <c r="AR71" i="1"/>
  <c r="N70" i="3" s="1"/>
  <c r="AS71" i="1"/>
  <c r="O70" i="3" s="1"/>
  <c r="AT71" i="1"/>
  <c r="P70" i="3" s="1"/>
  <c r="AU71" i="1"/>
  <c r="Q70" i="3" s="1"/>
  <c r="AV71" i="1"/>
  <c r="R70" i="3" s="1"/>
  <c r="D72" i="1"/>
  <c r="E72" i="1"/>
  <c r="F72" i="1"/>
  <c r="H72" i="1"/>
  <c r="I72" i="1"/>
  <c r="AD72" i="1"/>
  <c r="AF72" i="1"/>
  <c r="AG72" i="1"/>
  <c r="C71" i="3" s="1"/>
  <c r="AH72" i="1"/>
  <c r="D71" i="3" s="1"/>
  <c r="AI72" i="1"/>
  <c r="E71" i="3" s="1"/>
  <c r="AJ72" i="1"/>
  <c r="AK72" i="1"/>
  <c r="AL72" i="1"/>
  <c r="AM72" i="1"/>
  <c r="I71" i="3" s="1"/>
  <c r="AN72" i="1"/>
  <c r="AO72" i="1"/>
  <c r="AP72" i="1"/>
  <c r="AQ72" i="1"/>
  <c r="AR72" i="1"/>
  <c r="AS72" i="1"/>
  <c r="O71" i="3" s="1"/>
  <c r="AT72" i="1"/>
  <c r="P71" i="3" s="1"/>
  <c r="AU72" i="1"/>
  <c r="Q71" i="3" s="1"/>
  <c r="AV72" i="1"/>
  <c r="R71" i="3" s="1"/>
  <c r="I73" i="1"/>
  <c r="J73" i="1"/>
  <c r="AD73" i="1"/>
  <c r="AF73" i="1"/>
  <c r="AG73" i="1"/>
  <c r="C72" i="3" s="1"/>
  <c r="AH73" i="1"/>
  <c r="D72" i="3" s="1"/>
  <c r="AI73" i="1"/>
  <c r="E72" i="3" s="1"/>
  <c r="AJ73" i="1"/>
  <c r="AK73" i="1"/>
  <c r="AL73" i="1"/>
  <c r="AM73" i="1"/>
  <c r="AN73" i="1"/>
  <c r="AO73" i="1"/>
  <c r="AP73" i="1"/>
  <c r="AQ73" i="1"/>
  <c r="AR73" i="1"/>
  <c r="AS73" i="1"/>
  <c r="O72" i="3" s="1"/>
  <c r="AT73" i="1"/>
  <c r="P72" i="3" s="1"/>
  <c r="AU73" i="1"/>
  <c r="Q72" i="3" s="1"/>
  <c r="AV73" i="1"/>
  <c r="D74" i="1"/>
  <c r="E74" i="1"/>
  <c r="F74" i="1"/>
  <c r="H74" i="1"/>
  <c r="I74" i="1"/>
  <c r="AD74" i="1"/>
  <c r="AF74" i="1"/>
  <c r="AG74" i="1"/>
  <c r="C73" i="3" s="1"/>
  <c r="AH74" i="1"/>
  <c r="D73" i="3" s="1"/>
  <c r="AI74" i="1"/>
  <c r="E73" i="3" s="1"/>
  <c r="AJ74" i="1"/>
  <c r="F73" i="3" s="1"/>
  <c r="AK74" i="1"/>
  <c r="G73" i="3" s="1"/>
  <c r="AL74" i="1"/>
  <c r="H73" i="3" s="1"/>
  <c r="AM74" i="1"/>
  <c r="I73" i="3" s="1"/>
  <c r="AN74" i="1"/>
  <c r="J73" i="3" s="1"/>
  <c r="AO74" i="1"/>
  <c r="K73" i="3" s="1"/>
  <c r="AP74" i="1"/>
  <c r="L73" i="3" s="1"/>
  <c r="AQ74" i="1"/>
  <c r="M73" i="3" s="1"/>
  <c r="AR74" i="1"/>
  <c r="N73" i="3" s="1"/>
  <c r="AS74" i="1"/>
  <c r="O73" i="3" s="1"/>
  <c r="AT74" i="1"/>
  <c r="P73" i="3" s="1"/>
  <c r="AU74" i="1"/>
  <c r="Q73" i="3" s="1"/>
  <c r="AV74" i="1"/>
  <c r="D75" i="1"/>
  <c r="E75" i="1"/>
  <c r="F75" i="1"/>
  <c r="H75" i="1"/>
  <c r="I75" i="1"/>
  <c r="AD75" i="1"/>
  <c r="AF75" i="1"/>
  <c r="AG75" i="1"/>
  <c r="AH75" i="1"/>
  <c r="AI75" i="1"/>
  <c r="AJ75" i="1"/>
  <c r="AK75" i="1"/>
  <c r="AL75" i="1"/>
  <c r="AM75" i="1"/>
  <c r="I74" i="3" s="1"/>
  <c r="AN75" i="1"/>
  <c r="J74" i="3" s="1"/>
  <c r="AO75" i="1"/>
  <c r="K74" i="3" s="1"/>
  <c r="AP75" i="1"/>
  <c r="L74" i="3" s="1"/>
  <c r="AQ75" i="1"/>
  <c r="M74" i="3" s="1"/>
  <c r="AR75" i="1"/>
  <c r="N74" i="3" s="1"/>
  <c r="AS75" i="1"/>
  <c r="O74" i="3" s="1"/>
  <c r="AT75" i="1"/>
  <c r="AU75" i="1"/>
  <c r="Q74" i="3" s="1"/>
  <c r="AV75" i="1"/>
  <c r="R74" i="3" s="1"/>
  <c r="D76" i="1"/>
  <c r="E76" i="1"/>
  <c r="F76" i="1"/>
  <c r="H76" i="1"/>
  <c r="I76" i="1"/>
  <c r="AD76" i="1"/>
  <c r="AF76" i="1"/>
  <c r="B75" i="3" s="1"/>
  <c r="AG76" i="1"/>
  <c r="C75" i="3" s="1"/>
  <c r="AH76" i="1"/>
  <c r="D75" i="3" s="1"/>
  <c r="AI76" i="1"/>
  <c r="E75" i="3" s="1"/>
  <c r="AJ76" i="1"/>
  <c r="F75" i="3" s="1"/>
  <c r="AK76" i="1"/>
  <c r="G75" i="3" s="1"/>
  <c r="AL76" i="1"/>
  <c r="H75" i="3" s="1"/>
  <c r="AM76" i="1"/>
  <c r="I75" i="3" s="1"/>
  <c r="AN76" i="1"/>
  <c r="J75" i="3" s="1"/>
  <c r="AO76" i="1"/>
  <c r="K75" i="3" s="1"/>
  <c r="AP76" i="1"/>
  <c r="L75" i="3" s="1"/>
  <c r="AQ76" i="1"/>
  <c r="M75" i="3" s="1"/>
  <c r="AR76" i="1"/>
  <c r="N75" i="3" s="1"/>
  <c r="AS76" i="1"/>
  <c r="O75" i="3" s="1"/>
  <c r="AT76" i="1"/>
  <c r="P75" i="3" s="1"/>
  <c r="AU76" i="1"/>
  <c r="Q75" i="3" s="1"/>
  <c r="AV76" i="1"/>
  <c r="R75" i="3" s="1"/>
  <c r="AW76" i="1"/>
  <c r="G76" i="1" s="1"/>
  <c r="D77" i="1"/>
  <c r="E77" i="1"/>
  <c r="F77" i="1"/>
  <c r="H77" i="1"/>
  <c r="I77" i="1"/>
  <c r="AD77" i="1"/>
  <c r="AF77" i="1"/>
  <c r="AG77" i="1"/>
  <c r="AH77" i="1"/>
  <c r="AI77" i="1"/>
  <c r="AJ77" i="1"/>
  <c r="AK77" i="1"/>
  <c r="AL77" i="1"/>
  <c r="H76" i="3" s="1"/>
  <c r="AM77" i="1"/>
  <c r="I76" i="3" s="1"/>
  <c r="AN77" i="1"/>
  <c r="J76" i="3" s="1"/>
  <c r="AO77" i="1"/>
  <c r="K76" i="3" s="1"/>
  <c r="AP77" i="1"/>
  <c r="L76" i="3" s="1"/>
  <c r="AQ77" i="1"/>
  <c r="AR77" i="1"/>
  <c r="AS77" i="1"/>
  <c r="AT77" i="1"/>
  <c r="AU77" i="1"/>
  <c r="AV77" i="1"/>
  <c r="R76" i="3" s="1"/>
  <c r="D78" i="1"/>
  <c r="E78" i="1"/>
  <c r="F78" i="1"/>
  <c r="H78" i="1"/>
  <c r="I78" i="1"/>
  <c r="AD78" i="1"/>
  <c r="AF78" i="1"/>
  <c r="AG78" i="1"/>
  <c r="C77" i="3" s="1"/>
  <c r="AH78" i="1"/>
  <c r="D77" i="3" s="1"/>
  <c r="AI78" i="1"/>
  <c r="E77" i="3" s="1"/>
  <c r="AJ78" i="1"/>
  <c r="F77" i="3" s="1"/>
  <c r="AK78" i="1"/>
  <c r="G77" i="3" s="1"/>
  <c r="AL78" i="1"/>
  <c r="H77" i="3" s="1"/>
  <c r="AM78" i="1"/>
  <c r="I77" i="3" s="1"/>
  <c r="AN78" i="1"/>
  <c r="J77" i="3" s="1"/>
  <c r="AO78" i="1"/>
  <c r="K77" i="3" s="1"/>
  <c r="AP78" i="1"/>
  <c r="L77" i="3" s="1"/>
  <c r="AQ78" i="1"/>
  <c r="AR78" i="1"/>
  <c r="AS78" i="1"/>
  <c r="AT78" i="1"/>
  <c r="P77" i="3" s="1"/>
  <c r="AU78" i="1"/>
  <c r="Q77" i="3" s="1"/>
  <c r="AV78" i="1"/>
  <c r="R77" i="3" s="1"/>
  <c r="D79" i="1"/>
  <c r="E79" i="1"/>
  <c r="F79" i="1"/>
  <c r="H79" i="1"/>
  <c r="I79" i="1"/>
  <c r="AD79" i="1"/>
  <c r="AF79" i="1"/>
  <c r="AG79" i="1"/>
  <c r="C78" i="3" s="1"/>
  <c r="AH79" i="1"/>
  <c r="D78" i="3" s="1"/>
  <c r="AI79" i="1"/>
  <c r="E78" i="3" s="1"/>
  <c r="AJ79" i="1"/>
  <c r="F78" i="3" s="1"/>
  <c r="AK79" i="1"/>
  <c r="G78" i="3" s="1"/>
  <c r="AL79" i="1"/>
  <c r="H78" i="3" s="1"/>
  <c r="AM79" i="1"/>
  <c r="I78" i="3" s="1"/>
  <c r="AN79" i="1"/>
  <c r="J78" i="3" s="1"/>
  <c r="AO79" i="1"/>
  <c r="K78" i="3" s="1"/>
  <c r="AP79" i="1"/>
  <c r="L78" i="3" s="1"/>
  <c r="AQ79" i="1"/>
  <c r="M78" i="3" s="1"/>
  <c r="AR79" i="1"/>
  <c r="N78" i="3" s="1"/>
  <c r="AS79" i="1"/>
  <c r="O78" i="3" s="1"/>
  <c r="AT79" i="1"/>
  <c r="P78" i="3" s="1"/>
  <c r="AU79" i="1"/>
  <c r="Q78" i="3" s="1"/>
  <c r="AV79" i="1"/>
  <c r="R78" i="3" s="1"/>
  <c r="D80" i="1"/>
  <c r="E80" i="1"/>
  <c r="F80" i="1"/>
  <c r="H80" i="1"/>
  <c r="I80" i="1"/>
  <c r="AD80" i="1"/>
  <c r="AF80" i="1"/>
  <c r="B79" i="3" s="1"/>
  <c r="AG80" i="1"/>
  <c r="C79" i="3" s="1"/>
  <c r="AH80" i="1"/>
  <c r="AI80" i="1"/>
  <c r="AJ80" i="1"/>
  <c r="AK80" i="1"/>
  <c r="AL80" i="1"/>
  <c r="AM80" i="1"/>
  <c r="AN80" i="1"/>
  <c r="J79" i="3" s="1"/>
  <c r="AO80" i="1"/>
  <c r="K79" i="3" s="1"/>
  <c r="AP80" i="1"/>
  <c r="L79" i="3" s="1"/>
  <c r="AQ80" i="1"/>
  <c r="M79" i="3" s="1"/>
  <c r="AR80" i="1"/>
  <c r="N79" i="3" s="1"/>
  <c r="AS80" i="1"/>
  <c r="O79" i="3" s="1"/>
  <c r="AT80" i="1"/>
  <c r="P79" i="3" s="1"/>
  <c r="AU80" i="1"/>
  <c r="Q79" i="3" s="1"/>
  <c r="AV80" i="1"/>
  <c r="R79" i="3" s="1"/>
  <c r="D81" i="1"/>
  <c r="E81" i="1"/>
  <c r="F81" i="1"/>
  <c r="H81" i="1"/>
  <c r="I81" i="1"/>
  <c r="AD81" i="1"/>
  <c r="AF81" i="1"/>
  <c r="B80" i="3" s="1"/>
  <c r="AG81" i="1"/>
  <c r="C80" i="3" s="1"/>
  <c r="AH81" i="1"/>
  <c r="AI81" i="1"/>
  <c r="AJ81" i="1"/>
  <c r="AK81" i="1"/>
  <c r="AL81" i="1"/>
  <c r="AM81" i="1"/>
  <c r="AN81" i="1"/>
  <c r="AO81" i="1"/>
  <c r="AP81" i="1"/>
  <c r="AQ81" i="1"/>
  <c r="M80" i="3" s="1"/>
  <c r="AR81" i="1"/>
  <c r="N80" i="3" s="1"/>
  <c r="AS81" i="1"/>
  <c r="O80" i="3" s="1"/>
  <c r="AT81" i="1"/>
  <c r="P80" i="3" s="1"/>
  <c r="AU81" i="1"/>
  <c r="Q80" i="3" s="1"/>
  <c r="AV81" i="1"/>
  <c r="R80" i="3" s="1"/>
  <c r="AW81" i="1"/>
  <c r="G81" i="1" s="1"/>
  <c r="D82" i="1"/>
  <c r="E82" i="1"/>
  <c r="F82" i="1"/>
  <c r="H82" i="1"/>
  <c r="I82" i="1"/>
  <c r="AD82" i="1"/>
  <c r="AF82" i="1"/>
  <c r="AG82" i="1"/>
  <c r="C81" i="3" s="1"/>
  <c r="AH82" i="1"/>
  <c r="D81" i="3" s="1"/>
  <c r="AI82" i="1"/>
  <c r="E81" i="3" s="1"/>
  <c r="AJ82" i="1"/>
  <c r="F81" i="3" s="1"/>
  <c r="AK82" i="1"/>
  <c r="G81" i="3" s="1"/>
  <c r="AL82" i="1"/>
  <c r="H81" i="3" s="1"/>
  <c r="AM82" i="1"/>
  <c r="I81" i="3" s="1"/>
  <c r="AN82" i="1"/>
  <c r="J81" i="3" s="1"/>
  <c r="AO82" i="1"/>
  <c r="K81" i="3" s="1"/>
  <c r="AP82" i="1"/>
  <c r="L81" i="3" s="1"/>
  <c r="AQ82" i="1"/>
  <c r="M81" i="3" s="1"/>
  <c r="AR82" i="1"/>
  <c r="N81" i="3" s="1"/>
  <c r="AS82" i="1"/>
  <c r="AT82" i="1"/>
  <c r="P81" i="3" s="1"/>
  <c r="AU82" i="1"/>
  <c r="Q81" i="3" s="1"/>
  <c r="AV82" i="1"/>
  <c r="R81" i="3" s="1"/>
  <c r="D83" i="1"/>
  <c r="E83" i="1"/>
  <c r="F83" i="1"/>
  <c r="H83" i="1"/>
  <c r="I83" i="1"/>
  <c r="AD83" i="1"/>
  <c r="AF83" i="1"/>
  <c r="AG83" i="1"/>
  <c r="C82" i="3" s="1"/>
  <c r="AH83" i="1"/>
  <c r="AI83" i="1"/>
  <c r="AJ83" i="1"/>
  <c r="AK83" i="1"/>
  <c r="AL83" i="1"/>
  <c r="AM83" i="1"/>
  <c r="I82" i="3" s="1"/>
  <c r="AN83" i="1"/>
  <c r="J82" i="3" s="1"/>
  <c r="AO83" i="1"/>
  <c r="K82" i="3" s="1"/>
  <c r="AP83" i="1"/>
  <c r="L82" i="3" s="1"/>
  <c r="AQ83" i="1"/>
  <c r="M82" i="3" s="1"/>
  <c r="AR83" i="1"/>
  <c r="N82" i="3" s="1"/>
  <c r="AS83" i="1"/>
  <c r="O82" i="3" s="1"/>
  <c r="AT83" i="1"/>
  <c r="P82" i="3" s="1"/>
  <c r="AU83" i="1"/>
  <c r="Q82" i="3" s="1"/>
  <c r="AV83" i="1"/>
  <c r="R82" i="3" s="1"/>
  <c r="D84" i="1"/>
  <c r="E84" i="1"/>
  <c r="F84" i="1"/>
  <c r="H84" i="1"/>
  <c r="I84" i="1"/>
  <c r="AD84" i="1"/>
  <c r="AF84" i="1"/>
  <c r="B83" i="3" s="1"/>
  <c r="AG84" i="1"/>
  <c r="C83" i="3" s="1"/>
  <c r="AH84" i="1"/>
  <c r="D83" i="3" s="1"/>
  <c r="AI84" i="1"/>
  <c r="E83" i="3" s="1"/>
  <c r="AJ84" i="1"/>
  <c r="F83" i="3" s="1"/>
  <c r="AK84" i="1"/>
  <c r="G83" i="3" s="1"/>
  <c r="AL84" i="1"/>
  <c r="H83" i="3" s="1"/>
  <c r="AM84" i="1"/>
  <c r="I83" i="3" s="1"/>
  <c r="AN84" i="1"/>
  <c r="J83" i="3" s="1"/>
  <c r="AO84" i="1"/>
  <c r="K83" i="3" s="1"/>
  <c r="AP84" i="1"/>
  <c r="L83" i="3" s="1"/>
  <c r="AQ84" i="1"/>
  <c r="M83" i="3" s="1"/>
  <c r="AR84" i="1"/>
  <c r="N83" i="3" s="1"/>
  <c r="AS84" i="1"/>
  <c r="O83" i="3" s="1"/>
  <c r="AT84" i="1"/>
  <c r="P83" i="3" s="1"/>
  <c r="AU84" i="1"/>
  <c r="Q83" i="3" s="1"/>
  <c r="AV84" i="1"/>
  <c r="R83" i="3" s="1"/>
  <c r="D85" i="1"/>
  <c r="E85" i="1"/>
  <c r="F85" i="1"/>
  <c r="H85" i="1"/>
  <c r="I85" i="1"/>
  <c r="AD85" i="1"/>
  <c r="AF85" i="1"/>
  <c r="AG85" i="1"/>
  <c r="C84" i="3" s="1"/>
  <c r="AH85" i="1"/>
  <c r="D84" i="3" s="1"/>
  <c r="AI85" i="1"/>
  <c r="E84" i="3" s="1"/>
  <c r="AJ85" i="1"/>
  <c r="F84" i="3" s="1"/>
  <c r="AK85" i="1"/>
  <c r="G84" i="3" s="1"/>
  <c r="AL85" i="1"/>
  <c r="H84" i="3" s="1"/>
  <c r="AM85" i="1"/>
  <c r="I84" i="3" s="1"/>
  <c r="AN85" i="1"/>
  <c r="AO85" i="1"/>
  <c r="K84" i="3" s="1"/>
  <c r="AP85" i="1"/>
  <c r="L84" i="3" s="1"/>
  <c r="AQ85" i="1"/>
  <c r="M84" i="3" s="1"/>
  <c r="AR85" i="1"/>
  <c r="N84" i="3" s="1"/>
  <c r="AS85" i="1"/>
  <c r="O84" i="3" s="1"/>
  <c r="AT85" i="1"/>
  <c r="P84" i="3" s="1"/>
  <c r="AU85" i="1"/>
  <c r="Q84" i="3" s="1"/>
  <c r="AV85" i="1"/>
  <c r="R84" i="3" s="1"/>
  <c r="D86" i="1"/>
  <c r="E86" i="1"/>
  <c r="F86" i="1"/>
  <c r="H86" i="1"/>
  <c r="I86" i="1"/>
  <c r="AD86" i="1"/>
  <c r="AF86" i="1"/>
  <c r="AG86" i="1"/>
  <c r="AW86" i="1" s="1"/>
  <c r="G86" i="1" s="1"/>
  <c r="AH86" i="1"/>
  <c r="AI86" i="1"/>
  <c r="AJ86" i="1"/>
  <c r="AK86" i="1"/>
  <c r="AL86" i="1"/>
  <c r="AM86" i="1"/>
  <c r="AN86" i="1"/>
  <c r="AO86" i="1"/>
  <c r="AP86" i="1"/>
  <c r="L85" i="3" s="1"/>
  <c r="AQ86" i="1"/>
  <c r="M85" i="3" s="1"/>
  <c r="AR86" i="1"/>
  <c r="N85" i="3" s="1"/>
  <c r="AS86" i="1"/>
  <c r="O85" i="3" s="1"/>
  <c r="AT86" i="1"/>
  <c r="AU86" i="1"/>
  <c r="AV86" i="1"/>
  <c r="D87" i="1"/>
  <c r="E87" i="1"/>
  <c r="F87" i="1"/>
  <c r="H87" i="1"/>
  <c r="I87" i="1"/>
  <c r="AD87" i="1"/>
  <c r="AF87" i="1"/>
  <c r="AG87" i="1"/>
  <c r="C86" i="3" s="1"/>
  <c r="AH87" i="1"/>
  <c r="D86" i="3" s="1"/>
  <c r="AI87" i="1"/>
  <c r="E86" i="3" s="1"/>
  <c r="AJ87" i="1"/>
  <c r="F86" i="3" s="1"/>
  <c r="AK87" i="1"/>
  <c r="G86" i="3" s="1"/>
  <c r="AL87" i="1"/>
  <c r="H86" i="3" s="1"/>
  <c r="AM87" i="1"/>
  <c r="I86" i="3" s="1"/>
  <c r="AN87" i="1"/>
  <c r="J86" i="3" s="1"/>
  <c r="AO87" i="1"/>
  <c r="K86" i="3" s="1"/>
  <c r="AP87" i="1"/>
  <c r="L86" i="3" s="1"/>
  <c r="AQ87" i="1"/>
  <c r="M86" i="3" s="1"/>
  <c r="AR87" i="1"/>
  <c r="N86" i="3" s="1"/>
  <c r="AS87" i="1"/>
  <c r="O86" i="3" s="1"/>
  <c r="AT87" i="1"/>
  <c r="AU87" i="1"/>
  <c r="Q86" i="3" s="1"/>
  <c r="AV87" i="1"/>
  <c r="R86" i="3" s="1"/>
  <c r="D88" i="1"/>
  <c r="E88" i="1"/>
  <c r="F88" i="1"/>
  <c r="H88" i="1"/>
  <c r="I88" i="1"/>
  <c r="AD88" i="1"/>
  <c r="AF88" i="1"/>
  <c r="AG88" i="1"/>
  <c r="C87" i="3" s="1"/>
  <c r="AH88" i="1"/>
  <c r="D87" i="3" s="1"/>
  <c r="AI88" i="1"/>
  <c r="E87" i="3" s="1"/>
  <c r="AJ88" i="1"/>
  <c r="F87" i="3" s="1"/>
  <c r="AK88" i="1"/>
  <c r="G87" i="3" s="1"/>
  <c r="AL88" i="1"/>
  <c r="AM88" i="1"/>
  <c r="AN88" i="1"/>
  <c r="AO88" i="1"/>
  <c r="AP88" i="1"/>
  <c r="AQ88" i="1"/>
  <c r="AR88" i="1"/>
  <c r="AS88" i="1"/>
  <c r="AT88" i="1"/>
  <c r="AU88" i="1"/>
  <c r="AV88" i="1"/>
  <c r="D89" i="1"/>
  <c r="E89" i="1"/>
  <c r="F89" i="1"/>
  <c r="H89" i="1"/>
  <c r="AD89" i="1"/>
  <c r="AF89" i="1"/>
  <c r="B88" i="3" s="1"/>
  <c r="AG89" i="1"/>
  <c r="C88" i="3" s="1"/>
  <c r="AH89" i="1"/>
  <c r="D88" i="3" s="1"/>
  <c r="AI89" i="1"/>
  <c r="E88" i="3" s="1"/>
  <c r="AJ89" i="1"/>
  <c r="F88" i="3" s="1"/>
  <c r="AK89" i="1"/>
  <c r="AL89" i="1"/>
  <c r="H88" i="3" s="1"/>
  <c r="AM89" i="1"/>
  <c r="I88" i="3" s="1"/>
  <c r="AN89" i="1"/>
  <c r="J88" i="3" s="1"/>
  <c r="AO89" i="1"/>
  <c r="K88" i="3" s="1"/>
  <c r="AP89" i="1"/>
  <c r="L88" i="3" s="1"/>
  <c r="AQ89" i="1"/>
  <c r="M88" i="3" s="1"/>
  <c r="AR89" i="1"/>
  <c r="N88" i="3" s="1"/>
  <c r="AS89" i="1"/>
  <c r="O88" i="3" s="1"/>
  <c r="AT89" i="1"/>
  <c r="P88" i="3" s="1"/>
  <c r="AU89" i="1"/>
  <c r="Q88" i="3" s="1"/>
  <c r="AV89" i="1"/>
  <c r="R88" i="3" s="1"/>
  <c r="D90" i="1"/>
  <c r="E90" i="1"/>
  <c r="F90" i="1"/>
  <c r="H90" i="1"/>
  <c r="I90" i="1"/>
  <c r="AD90" i="1"/>
  <c r="AF90" i="1"/>
  <c r="AG90" i="1"/>
  <c r="C89" i="3" s="1"/>
  <c r="AH90" i="1"/>
  <c r="D89" i="3" s="1"/>
  <c r="AI90" i="1"/>
  <c r="E89" i="3" s="1"/>
  <c r="AJ90" i="1"/>
  <c r="F89" i="3" s="1"/>
  <c r="AK90" i="1"/>
  <c r="G89" i="3" s="1"/>
  <c r="AL90" i="1"/>
  <c r="H89" i="3" s="1"/>
  <c r="AM90" i="1"/>
  <c r="I89" i="3" s="1"/>
  <c r="AN90" i="1"/>
  <c r="J89" i="3" s="1"/>
  <c r="AO90" i="1"/>
  <c r="K89" i="3" s="1"/>
  <c r="AP90" i="1"/>
  <c r="L89" i="3" s="1"/>
  <c r="AQ90" i="1"/>
  <c r="M89" i="3" s="1"/>
  <c r="AR90" i="1"/>
  <c r="N89" i="3" s="1"/>
  <c r="AS90" i="1"/>
  <c r="O89" i="3" s="1"/>
  <c r="AT90" i="1"/>
  <c r="P89" i="3" s="1"/>
  <c r="AU90" i="1"/>
  <c r="Q89" i="3" s="1"/>
  <c r="AV90" i="1"/>
  <c r="R89" i="3" s="1"/>
  <c r="D91" i="1"/>
  <c r="E91" i="1"/>
  <c r="F91" i="1"/>
  <c r="H91" i="1"/>
  <c r="I91" i="1"/>
  <c r="AD91" i="1"/>
  <c r="AF91" i="1"/>
  <c r="AG91" i="1"/>
  <c r="AH91" i="1"/>
  <c r="AI91" i="1"/>
  <c r="E90" i="3" s="1"/>
  <c r="AJ91" i="1"/>
  <c r="AK91" i="1"/>
  <c r="G90" i="3" s="1"/>
  <c r="AL91" i="1"/>
  <c r="H90" i="3" s="1"/>
  <c r="AM91" i="1"/>
  <c r="I90" i="3" s="1"/>
  <c r="AN91" i="1"/>
  <c r="J90" i="3" s="1"/>
  <c r="AO91" i="1"/>
  <c r="AP91" i="1"/>
  <c r="L90" i="3" s="1"/>
  <c r="AQ91" i="1"/>
  <c r="M90" i="3" s="1"/>
  <c r="AR91" i="1"/>
  <c r="N90" i="3" s="1"/>
  <c r="AS91" i="1"/>
  <c r="O90" i="3" s="1"/>
  <c r="AT91" i="1"/>
  <c r="P90" i="3" s="1"/>
  <c r="AU91" i="1"/>
  <c r="Q90" i="3" s="1"/>
  <c r="AV91" i="1"/>
  <c r="R90" i="3" s="1"/>
  <c r="D92" i="1"/>
  <c r="E92" i="1"/>
  <c r="F92" i="1"/>
  <c r="H92" i="1"/>
  <c r="I92" i="1"/>
  <c r="AD92" i="1"/>
  <c r="AF92" i="1"/>
  <c r="AG92" i="1"/>
  <c r="C91" i="3" s="1"/>
  <c r="AH92" i="1"/>
  <c r="D91" i="3" s="1"/>
  <c r="AI92" i="1"/>
  <c r="E91" i="3" s="1"/>
  <c r="AJ92" i="1"/>
  <c r="F91" i="3" s="1"/>
  <c r="AK92" i="1"/>
  <c r="AL92" i="1"/>
  <c r="H91" i="3" s="1"/>
  <c r="AM92" i="1"/>
  <c r="I91" i="3" s="1"/>
  <c r="AN92" i="1"/>
  <c r="J91" i="3" s="1"/>
  <c r="AO92" i="1"/>
  <c r="K91" i="3" s="1"/>
  <c r="AP92" i="1"/>
  <c r="L91" i="3" s="1"/>
  <c r="AQ92" i="1"/>
  <c r="M91" i="3" s="1"/>
  <c r="AR92" i="1"/>
  <c r="N91" i="3" s="1"/>
  <c r="AS92" i="1"/>
  <c r="O91" i="3" s="1"/>
  <c r="AT92" i="1"/>
  <c r="P91" i="3" s="1"/>
  <c r="AU92" i="1"/>
  <c r="Q91" i="3" s="1"/>
  <c r="AV92" i="1"/>
  <c r="R91" i="3" s="1"/>
  <c r="D93" i="1"/>
  <c r="E93" i="1"/>
  <c r="F93" i="1"/>
  <c r="H93" i="1"/>
  <c r="I93" i="1"/>
  <c r="AD93" i="1"/>
  <c r="AF93" i="1"/>
  <c r="AG93" i="1"/>
  <c r="C92" i="3" s="1"/>
  <c r="AH93" i="1"/>
  <c r="D92" i="3" s="1"/>
  <c r="AI93" i="1"/>
  <c r="E92" i="3" s="1"/>
  <c r="AJ93" i="1"/>
  <c r="F92" i="3" s="1"/>
  <c r="AK93" i="1"/>
  <c r="G92" i="3" s="1"/>
  <c r="AL93" i="1"/>
  <c r="H92" i="3" s="1"/>
  <c r="AM93" i="1"/>
  <c r="I92" i="3" s="1"/>
  <c r="AN93" i="1"/>
  <c r="J92" i="3" s="1"/>
  <c r="AO93" i="1"/>
  <c r="K92" i="3" s="1"/>
  <c r="AP93" i="1"/>
  <c r="L92" i="3" s="1"/>
  <c r="AQ93" i="1"/>
  <c r="M92" i="3" s="1"/>
  <c r="AR93" i="1"/>
  <c r="N92" i="3" s="1"/>
  <c r="AS93" i="1"/>
  <c r="O92" i="3" s="1"/>
  <c r="AT93" i="1"/>
  <c r="P92" i="3" s="1"/>
  <c r="AU93" i="1"/>
  <c r="AV93" i="1"/>
  <c r="D94" i="1"/>
  <c r="E94" i="1"/>
  <c r="F94" i="1"/>
  <c r="H94" i="1"/>
  <c r="I94" i="1"/>
  <c r="AD94" i="1"/>
  <c r="AF94" i="1"/>
  <c r="B93" i="3" s="1"/>
  <c r="AG94" i="1"/>
  <c r="C93" i="3" s="1"/>
  <c r="AH94" i="1"/>
  <c r="D93" i="3" s="1"/>
  <c r="AI94" i="1"/>
  <c r="E93" i="3" s="1"/>
  <c r="AJ94" i="1"/>
  <c r="F93" i="3" s="1"/>
  <c r="AK94" i="1"/>
  <c r="G93" i="3" s="1"/>
  <c r="AL94" i="1"/>
  <c r="H93" i="3" s="1"/>
  <c r="AM94" i="1"/>
  <c r="I93" i="3" s="1"/>
  <c r="AN94" i="1"/>
  <c r="J93" i="3" s="1"/>
  <c r="AO94" i="1"/>
  <c r="K93" i="3" s="1"/>
  <c r="AP94" i="1"/>
  <c r="L93" i="3" s="1"/>
  <c r="AQ94" i="1"/>
  <c r="M93" i="3" s="1"/>
  <c r="AR94" i="1"/>
  <c r="N93" i="3" s="1"/>
  <c r="AS94" i="1"/>
  <c r="O93" i="3" s="1"/>
  <c r="AT94" i="1"/>
  <c r="P93" i="3" s="1"/>
  <c r="AU94" i="1"/>
  <c r="Q93" i="3" s="1"/>
  <c r="AV94" i="1"/>
  <c r="R93" i="3" s="1"/>
  <c r="D95" i="1"/>
  <c r="E95" i="1"/>
  <c r="F95" i="1"/>
  <c r="H95" i="1"/>
  <c r="I95" i="1"/>
  <c r="AD95" i="1"/>
  <c r="AF95" i="1"/>
  <c r="AG95" i="1"/>
  <c r="C94" i="3" s="1"/>
  <c r="AH95" i="1"/>
  <c r="D94" i="3" s="1"/>
  <c r="AI95" i="1"/>
  <c r="AJ95" i="1"/>
  <c r="AK95" i="1"/>
  <c r="AL95" i="1"/>
  <c r="H94" i="3" s="1"/>
  <c r="AM95" i="1"/>
  <c r="AN95" i="1"/>
  <c r="AO95" i="1"/>
  <c r="AP95" i="1"/>
  <c r="L94" i="3" s="1"/>
  <c r="AQ95" i="1"/>
  <c r="M94" i="3" s="1"/>
  <c r="AR95" i="1"/>
  <c r="N94" i="3" s="1"/>
  <c r="AS95" i="1"/>
  <c r="O94" i="3" s="1"/>
  <c r="AT95" i="1"/>
  <c r="P94" i="3" s="1"/>
  <c r="AU95" i="1"/>
  <c r="Q94" i="3" s="1"/>
  <c r="AV95" i="1"/>
  <c r="R94" i="3" s="1"/>
  <c r="D96" i="1"/>
  <c r="E96" i="1"/>
  <c r="F96" i="1"/>
  <c r="H96" i="1"/>
  <c r="I96" i="1"/>
  <c r="AD96" i="1"/>
  <c r="AF96" i="1"/>
  <c r="B95" i="3" s="1"/>
  <c r="AG96" i="1"/>
  <c r="C95" i="3" s="1"/>
  <c r="AH96" i="1"/>
  <c r="D95" i="3" s="1"/>
  <c r="AI96" i="1"/>
  <c r="E95" i="3" s="1"/>
  <c r="AJ96" i="1"/>
  <c r="F95" i="3" s="1"/>
  <c r="AK96" i="1"/>
  <c r="G95" i="3" s="1"/>
  <c r="AL96" i="1"/>
  <c r="H95" i="3" s="1"/>
  <c r="AM96" i="1"/>
  <c r="I95" i="3" s="1"/>
  <c r="AN96" i="1"/>
  <c r="J95" i="3" s="1"/>
  <c r="AO96" i="1"/>
  <c r="K95" i="3" s="1"/>
  <c r="AP96" i="1"/>
  <c r="AQ96" i="1"/>
  <c r="AR96" i="1"/>
  <c r="N95" i="3" s="1"/>
  <c r="AS96" i="1"/>
  <c r="O95" i="3" s="1"/>
  <c r="AT96" i="1"/>
  <c r="P95" i="3" s="1"/>
  <c r="AU96" i="1"/>
  <c r="Q95" i="3" s="1"/>
  <c r="AV96" i="1"/>
  <c r="R95" i="3" s="1"/>
  <c r="D97" i="1"/>
  <c r="E97" i="1"/>
  <c r="F97" i="1"/>
  <c r="H97" i="1"/>
  <c r="I97" i="1"/>
  <c r="AD97" i="1"/>
  <c r="AF97" i="1"/>
  <c r="AG97" i="1"/>
  <c r="C96" i="3" s="1"/>
  <c r="AH97" i="1"/>
  <c r="D96" i="3" s="1"/>
  <c r="AI97" i="1"/>
  <c r="E96" i="3" s="1"/>
  <c r="AJ97" i="1"/>
  <c r="AK97" i="1"/>
  <c r="AL97" i="1"/>
  <c r="AM97" i="1"/>
  <c r="AN97" i="1"/>
  <c r="AO97" i="1"/>
  <c r="K96" i="3" s="1"/>
  <c r="AP97" i="1"/>
  <c r="L96" i="3" s="1"/>
  <c r="AQ97" i="1"/>
  <c r="M96" i="3" s="1"/>
  <c r="AR97" i="1"/>
  <c r="N96" i="3" s="1"/>
  <c r="AS97" i="1"/>
  <c r="O96" i="3" s="1"/>
  <c r="AT97" i="1"/>
  <c r="P96" i="3" s="1"/>
  <c r="AU97" i="1"/>
  <c r="Q96" i="3" s="1"/>
  <c r="AV97" i="1"/>
  <c r="D98" i="1"/>
  <c r="E98" i="1"/>
  <c r="F98" i="1"/>
  <c r="H98" i="1"/>
  <c r="I98" i="1"/>
  <c r="AD98" i="1"/>
  <c r="AF98" i="1"/>
  <c r="AG98" i="1"/>
  <c r="AH98" i="1"/>
  <c r="AI98" i="1"/>
  <c r="AJ98" i="1"/>
  <c r="F97" i="3" s="1"/>
  <c r="AK98" i="1"/>
  <c r="G97" i="3" s="1"/>
  <c r="AL98" i="1"/>
  <c r="H97" i="3" s="1"/>
  <c r="AM98" i="1"/>
  <c r="I97" i="3" s="1"/>
  <c r="AN98" i="1"/>
  <c r="J97" i="3" s="1"/>
  <c r="AO98" i="1"/>
  <c r="K97" i="3" s="1"/>
  <c r="AP98" i="1"/>
  <c r="AQ98" i="1"/>
  <c r="AR98" i="1"/>
  <c r="AS98" i="1"/>
  <c r="AT98" i="1"/>
  <c r="AU98" i="1"/>
  <c r="Q97" i="3" s="1"/>
  <c r="AV98" i="1"/>
  <c r="R97" i="3" s="1"/>
  <c r="D99" i="1"/>
  <c r="E99" i="1"/>
  <c r="F99" i="1"/>
  <c r="H99" i="1"/>
  <c r="I99" i="1"/>
  <c r="AD99" i="1"/>
  <c r="AF99" i="1"/>
  <c r="AG99" i="1"/>
  <c r="C98" i="3" s="1"/>
  <c r="AH99" i="1"/>
  <c r="D98" i="3" s="1"/>
  <c r="AI99" i="1"/>
  <c r="E98" i="3" s="1"/>
  <c r="AJ99" i="1"/>
  <c r="F98" i="3" s="1"/>
  <c r="AK99" i="1"/>
  <c r="G98" i="3" s="1"/>
  <c r="AL99" i="1"/>
  <c r="H98" i="3" s="1"/>
  <c r="AM99" i="1"/>
  <c r="I98" i="3" s="1"/>
  <c r="AN99" i="1"/>
  <c r="J98" i="3" s="1"/>
  <c r="AO99" i="1"/>
  <c r="K98" i="3" s="1"/>
  <c r="AP99" i="1"/>
  <c r="L98" i="3" s="1"/>
  <c r="AQ99" i="1"/>
  <c r="M98" i="3" s="1"/>
  <c r="AR99" i="1"/>
  <c r="N98" i="3" s="1"/>
  <c r="AS99" i="1"/>
  <c r="O98" i="3" s="1"/>
  <c r="AT99" i="1"/>
  <c r="P98" i="3" s="1"/>
  <c r="AU99" i="1"/>
  <c r="Q98" i="3" s="1"/>
  <c r="AV99" i="1"/>
  <c r="R98" i="3" s="1"/>
  <c r="D100" i="1"/>
  <c r="E100" i="1"/>
  <c r="F100" i="1"/>
  <c r="H100" i="1"/>
  <c r="I100" i="1"/>
  <c r="AD100" i="1"/>
  <c r="AF100" i="1"/>
  <c r="AG100" i="1"/>
  <c r="C99" i="3" s="1"/>
  <c r="AH100" i="1"/>
  <c r="D99" i="3" s="1"/>
  <c r="AI100" i="1"/>
  <c r="E99" i="3" s="1"/>
  <c r="AJ100" i="1"/>
  <c r="F99" i="3" s="1"/>
  <c r="AK100" i="1"/>
  <c r="G99" i="3" s="1"/>
  <c r="AL100" i="1"/>
  <c r="H99" i="3" s="1"/>
  <c r="AM100" i="1"/>
  <c r="I99" i="3" s="1"/>
  <c r="AN100" i="1"/>
  <c r="J99" i="3" s="1"/>
  <c r="AO100" i="1"/>
  <c r="K99" i="3" s="1"/>
  <c r="AP100" i="1"/>
  <c r="L99" i="3" s="1"/>
  <c r="AQ100" i="1"/>
  <c r="M99" i="3" s="1"/>
  <c r="AR100" i="1"/>
  <c r="N99" i="3" s="1"/>
  <c r="AS100" i="1"/>
  <c r="O99" i="3" s="1"/>
  <c r="AT100" i="1"/>
  <c r="P99" i="3" s="1"/>
  <c r="AU100" i="1"/>
  <c r="Q99" i="3" s="1"/>
  <c r="AV100" i="1"/>
  <c r="R99" i="3" s="1"/>
  <c r="D101" i="1"/>
  <c r="E101" i="1"/>
  <c r="F101" i="1"/>
  <c r="H101" i="1"/>
  <c r="I101" i="1"/>
  <c r="AD101" i="1"/>
  <c r="AF101" i="1"/>
  <c r="B100" i="3" s="1"/>
  <c r="AG101" i="1"/>
  <c r="C100" i="3" s="1"/>
  <c r="AH101" i="1"/>
  <c r="D100" i="3" s="1"/>
  <c r="AI101" i="1"/>
  <c r="E100" i="3" s="1"/>
  <c r="AJ101" i="1"/>
  <c r="F100" i="3" s="1"/>
  <c r="AK101" i="1"/>
  <c r="G100" i="3" s="1"/>
  <c r="AL101" i="1"/>
  <c r="H100" i="3" s="1"/>
  <c r="AM101" i="1"/>
  <c r="I100" i="3" s="1"/>
  <c r="AN101" i="1"/>
  <c r="J100" i="3" s="1"/>
  <c r="AO101" i="1"/>
  <c r="K100" i="3" s="1"/>
  <c r="AP101" i="1"/>
  <c r="L100" i="3" s="1"/>
  <c r="AQ101" i="1"/>
  <c r="M100" i="3" s="1"/>
  <c r="AR101" i="1"/>
  <c r="N100" i="3" s="1"/>
  <c r="AS101" i="1"/>
  <c r="O100" i="3" s="1"/>
  <c r="AT101" i="1"/>
  <c r="P100" i="3" s="1"/>
  <c r="AU101" i="1"/>
  <c r="Q100" i="3" s="1"/>
  <c r="AV101" i="1"/>
  <c r="R100" i="3" s="1"/>
  <c r="AW101" i="1"/>
  <c r="G101" i="1" s="1"/>
  <c r="D102" i="1"/>
  <c r="E102" i="1"/>
  <c r="F102" i="1"/>
  <c r="H102" i="1"/>
  <c r="I102" i="1"/>
  <c r="AD102" i="1"/>
  <c r="AF102" i="1"/>
  <c r="B101" i="3" s="1"/>
  <c r="AG102" i="1"/>
  <c r="AH102" i="1"/>
  <c r="AI102" i="1"/>
  <c r="AJ102" i="1"/>
  <c r="AK102" i="1"/>
  <c r="AL102" i="1"/>
  <c r="AM102" i="1"/>
  <c r="AN102" i="1"/>
  <c r="AO102" i="1"/>
  <c r="K101" i="3" s="1"/>
  <c r="AP102" i="1"/>
  <c r="L101" i="3" s="1"/>
  <c r="AQ102" i="1"/>
  <c r="M101" i="3" s="1"/>
  <c r="AR102" i="1"/>
  <c r="N101" i="3" s="1"/>
  <c r="AS102" i="1"/>
  <c r="O101" i="3" s="1"/>
  <c r="AT102" i="1"/>
  <c r="P101" i="3" s="1"/>
  <c r="AU102" i="1"/>
  <c r="Q101" i="3" s="1"/>
  <c r="AV102" i="1"/>
  <c r="R101" i="3" s="1"/>
  <c r="D103" i="1"/>
  <c r="E103" i="1"/>
  <c r="F103" i="1"/>
  <c r="H103" i="1"/>
  <c r="I103" i="1"/>
  <c r="AD103" i="1"/>
  <c r="AF103" i="1"/>
  <c r="AG103" i="1"/>
  <c r="C102" i="3" s="1"/>
  <c r="AH103" i="1"/>
  <c r="D102" i="3" s="1"/>
  <c r="AI103" i="1"/>
  <c r="E102" i="3" s="1"/>
  <c r="AJ103" i="1"/>
  <c r="F102" i="3" s="1"/>
  <c r="AK103" i="1"/>
  <c r="G102" i="3" s="1"/>
  <c r="AL103" i="1"/>
  <c r="AM103" i="1"/>
  <c r="AN103" i="1"/>
  <c r="AO103" i="1"/>
  <c r="AP103" i="1"/>
  <c r="AQ103" i="1"/>
  <c r="AR103" i="1"/>
  <c r="AS103" i="1"/>
  <c r="O102" i="3" s="1"/>
  <c r="AT103" i="1"/>
  <c r="P102" i="3" s="1"/>
  <c r="AU103" i="1"/>
  <c r="Q102" i="3" s="1"/>
  <c r="AV103" i="1"/>
  <c r="D104" i="1"/>
  <c r="E104" i="1"/>
  <c r="F104" i="1"/>
  <c r="H104" i="1"/>
  <c r="I104" i="1"/>
  <c r="AD104" i="1"/>
  <c r="AF104" i="1"/>
  <c r="AG104" i="1"/>
  <c r="C103" i="3" s="1"/>
  <c r="AH104" i="1"/>
  <c r="D103" i="3" s="1"/>
  <c r="AI104" i="1"/>
  <c r="E103" i="3" s="1"/>
  <c r="AJ104" i="1"/>
  <c r="F103" i="3" s="1"/>
  <c r="AK104" i="1"/>
  <c r="G103" i="3" s="1"/>
  <c r="AL104" i="1"/>
  <c r="H103" i="3" s="1"/>
  <c r="AM104" i="1"/>
  <c r="I103" i="3" s="1"/>
  <c r="AN104" i="1"/>
  <c r="J103" i="3" s="1"/>
  <c r="AO104" i="1"/>
  <c r="K103" i="3" s="1"/>
  <c r="AP104" i="1"/>
  <c r="L103" i="3" s="1"/>
  <c r="AQ104" i="1"/>
  <c r="M103" i="3" s="1"/>
  <c r="AR104" i="1"/>
  <c r="N103" i="3" s="1"/>
  <c r="AS104" i="1"/>
  <c r="O103" i="3" s="1"/>
  <c r="AT104" i="1"/>
  <c r="P103" i="3" s="1"/>
  <c r="AU104" i="1"/>
  <c r="Q103" i="3" s="1"/>
  <c r="AV104" i="1"/>
  <c r="R103" i="3" s="1"/>
  <c r="D105" i="1"/>
  <c r="E105" i="1"/>
  <c r="F105" i="1"/>
  <c r="H105" i="1"/>
  <c r="I105" i="1"/>
  <c r="AD105" i="1"/>
  <c r="AF105" i="1"/>
  <c r="AG105" i="1"/>
  <c r="C104" i="3" s="1"/>
  <c r="AH105" i="1"/>
  <c r="D104" i="3" s="1"/>
  <c r="AI105" i="1"/>
  <c r="E104" i="3" s="1"/>
  <c r="AJ105" i="1"/>
  <c r="F104" i="3" s="1"/>
  <c r="AK105" i="1"/>
  <c r="G104" i="3" s="1"/>
  <c r="AL105" i="1"/>
  <c r="H104" i="3" s="1"/>
  <c r="AM105" i="1"/>
  <c r="I104" i="3" s="1"/>
  <c r="AN105" i="1"/>
  <c r="AO105" i="1"/>
  <c r="AP105" i="1"/>
  <c r="AQ105" i="1"/>
  <c r="AR105" i="1"/>
  <c r="AS105" i="1"/>
  <c r="AT105" i="1"/>
  <c r="AU105" i="1"/>
  <c r="AV105" i="1"/>
  <c r="D106" i="1"/>
  <c r="E106" i="1"/>
  <c r="F106" i="1"/>
  <c r="H106" i="1"/>
  <c r="I106" i="1"/>
  <c r="AD106" i="1"/>
  <c r="AF106" i="1"/>
  <c r="AG106" i="1"/>
  <c r="AH106" i="1"/>
  <c r="AI106" i="1"/>
  <c r="AJ106" i="1"/>
  <c r="AK106" i="1"/>
  <c r="AL106" i="1"/>
  <c r="AM106" i="1"/>
  <c r="AN106" i="1"/>
  <c r="AO106" i="1"/>
  <c r="AP106" i="1"/>
  <c r="L105" i="3" s="1"/>
  <c r="AQ106" i="1"/>
  <c r="M105" i="3" s="1"/>
  <c r="AR106" i="1"/>
  <c r="N105" i="3" s="1"/>
  <c r="AS106" i="1"/>
  <c r="O105" i="3" s="1"/>
  <c r="AT106" i="1"/>
  <c r="P105" i="3" s="1"/>
  <c r="AU106" i="1"/>
  <c r="AV106" i="1"/>
  <c r="R105" i="3" s="1"/>
  <c r="D107" i="1"/>
  <c r="E107" i="1"/>
  <c r="F107" i="1"/>
  <c r="H107" i="1"/>
  <c r="I107" i="1"/>
  <c r="AD107" i="1"/>
  <c r="AF107" i="1"/>
  <c r="B106" i="3" s="1"/>
  <c r="AG107" i="1"/>
  <c r="C106" i="3" s="1"/>
  <c r="AH107" i="1"/>
  <c r="D106" i="3" s="1"/>
  <c r="AI107" i="1"/>
  <c r="E106" i="3" s="1"/>
  <c r="AJ107" i="1"/>
  <c r="F106" i="3" s="1"/>
  <c r="AK107" i="1"/>
  <c r="G106" i="3" s="1"/>
  <c r="AL107" i="1"/>
  <c r="H106" i="3" s="1"/>
  <c r="AM107" i="1"/>
  <c r="I106" i="3" s="1"/>
  <c r="AN107" i="1"/>
  <c r="AO107" i="1"/>
  <c r="K106" i="3" s="1"/>
  <c r="AP107" i="1"/>
  <c r="L106" i="3" s="1"/>
  <c r="AQ107" i="1"/>
  <c r="AR107" i="1"/>
  <c r="AS107" i="1"/>
  <c r="AT107" i="1"/>
  <c r="P106" i="3" s="1"/>
  <c r="AU107" i="1"/>
  <c r="Q106" i="3" s="1"/>
  <c r="AV107" i="1"/>
  <c r="R106" i="3" s="1"/>
  <c r="D108" i="1"/>
  <c r="E108" i="1"/>
  <c r="F108" i="1"/>
  <c r="H108" i="1"/>
  <c r="I108" i="1"/>
  <c r="AD108" i="1"/>
  <c r="AF108" i="1"/>
  <c r="AG108" i="1"/>
  <c r="C107" i="3" s="1"/>
  <c r="AH108" i="1"/>
  <c r="D107" i="3" s="1"/>
  <c r="AI108" i="1"/>
  <c r="E107" i="3" s="1"/>
  <c r="AJ108" i="1"/>
  <c r="F107" i="3" s="1"/>
  <c r="AK108" i="1"/>
  <c r="G107" i="3" s="1"/>
  <c r="AL108" i="1"/>
  <c r="H107" i="3" s="1"/>
  <c r="AM108" i="1"/>
  <c r="I107" i="3" s="1"/>
  <c r="AN108" i="1"/>
  <c r="J107" i="3" s="1"/>
  <c r="AO108" i="1"/>
  <c r="K107" i="3" s="1"/>
  <c r="AP108" i="1"/>
  <c r="L107" i="3" s="1"/>
  <c r="AQ108" i="1"/>
  <c r="M107" i="3" s="1"/>
  <c r="AR108" i="1"/>
  <c r="N107" i="3" s="1"/>
  <c r="AS108" i="1"/>
  <c r="O107" i="3" s="1"/>
  <c r="AT108" i="1"/>
  <c r="P107" i="3" s="1"/>
  <c r="AU108" i="1"/>
  <c r="Q107" i="3" s="1"/>
  <c r="AV108" i="1"/>
  <c r="R107" i="3" s="1"/>
  <c r="D109" i="1"/>
  <c r="E109" i="1"/>
  <c r="F109" i="1"/>
  <c r="H109" i="1"/>
  <c r="I109" i="1"/>
  <c r="AD109" i="1"/>
  <c r="AF109" i="1"/>
  <c r="AG109" i="1"/>
  <c r="C108" i="3" s="1"/>
  <c r="AH109" i="1"/>
  <c r="D108" i="3" s="1"/>
  <c r="AI109" i="1"/>
  <c r="E108" i="3" s="1"/>
  <c r="AJ109" i="1"/>
  <c r="F108" i="3" s="1"/>
  <c r="AK109" i="1"/>
  <c r="G108" i="3" s="1"/>
  <c r="AL109" i="1"/>
  <c r="H108" i="3" s="1"/>
  <c r="AM109" i="1"/>
  <c r="I108" i="3" s="1"/>
  <c r="AN109" i="1"/>
  <c r="J108" i="3" s="1"/>
  <c r="AO109" i="1"/>
  <c r="K108" i="3" s="1"/>
  <c r="AP109" i="1"/>
  <c r="L108" i="3" s="1"/>
  <c r="AQ109" i="1"/>
  <c r="M108" i="3" s="1"/>
  <c r="AR109" i="1"/>
  <c r="N108" i="3" s="1"/>
  <c r="AS109" i="1"/>
  <c r="O108" i="3" s="1"/>
  <c r="AT109" i="1"/>
  <c r="P108" i="3" s="1"/>
  <c r="AU109" i="1"/>
  <c r="Q108" i="3" s="1"/>
  <c r="AV109" i="1"/>
  <c r="D110" i="1"/>
  <c r="E110" i="1"/>
  <c r="F110" i="1"/>
  <c r="H110" i="1"/>
  <c r="I110" i="1"/>
  <c r="AD110" i="1"/>
  <c r="AF110" i="1"/>
  <c r="AG110" i="1"/>
  <c r="AH110" i="1"/>
  <c r="AI110" i="1"/>
  <c r="AJ110" i="1"/>
  <c r="F109" i="3" s="1"/>
  <c r="AK110" i="1"/>
  <c r="G109" i="3" s="1"/>
  <c r="AL110" i="1"/>
  <c r="H109" i="3" s="1"/>
  <c r="AM110" i="1"/>
  <c r="I109" i="3" s="1"/>
  <c r="AN110" i="1"/>
  <c r="J109" i="3" s="1"/>
  <c r="AO110" i="1"/>
  <c r="K109" i="3" s="1"/>
  <c r="AP110" i="1"/>
  <c r="L109" i="3" s="1"/>
  <c r="AQ110" i="1"/>
  <c r="AR110" i="1"/>
  <c r="AS110" i="1"/>
  <c r="AT110" i="1"/>
  <c r="AU110" i="1"/>
  <c r="AV110" i="1"/>
  <c r="D111" i="1"/>
  <c r="E111" i="1"/>
  <c r="F111" i="1"/>
  <c r="H111" i="1"/>
  <c r="I111" i="1"/>
  <c r="AD111" i="1"/>
  <c r="AF111" i="1"/>
  <c r="AG111" i="1"/>
  <c r="AH111" i="1"/>
  <c r="AI111" i="1"/>
  <c r="AJ111" i="1"/>
  <c r="AK111" i="1"/>
  <c r="AL111" i="1"/>
  <c r="AM111" i="1"/>
  <c r="AN111" i="1"/>
  <c r="AO111" i="1"/>
  <c r="K110" i="3" s="1"/>
  <c r="AP111" i="1"/>
  <c r="L110" i="3" s="1"/>
  <c r="AQ111" i="1"/>
  <c r="M110" i="3" s="1"/>
  <c r="AR111" i="1"/>
  <c r="N110" i="3" s="1"/>
  <c r="AS111" i="1"/>
  <c r="O110" i="3" s="1"/>
  <c r="AT111" i="1"/>
  <c r="P110" i="3" s="1"/>
  <c r="AU111" i="1"/>
  <c r="Q110" i="3" s="1"/>
  <c r="AV111" i="1"/>
  <c r="R110" i="3" s="1"/>
  <c r="D112" i="1"/>
  <c r="E112" i="1"/>
  <c r="F112" i="1"/>
  <c r="H112" i="1"/>
  <c r="I112" i="1"/>
  <c r="AD112" i="1"/>
  <c r="AF112" i="1"/>
  <c r="B111" i="3" s="1"/>
  <c r="AG112" i="1"/>
  <c r="C111" i="3" s="1"/>
  <c r="AH112" i="1"/>
  <c r="D111" i="3" s="1"/>
  <c r="AI112" i="1"/>
  <c r="E111" i="3" s="1"/>
  <c r="AJ112" i="1"/>
  <c r="F111" i="3" s="1"/>
  <c r="AK112" i="1"/>
  <c r="G111" i="3" s="1"/>
  <c r="AL112" i="1"/>
  <c r="AM112" i="1"/>
  <c r="I111" i="3" s="1"/>
  <c r="AN112" i="1"/>
  <c r="AO112" i="1"/>
  <c r="AP112" i="1"/>
  <c r="L111" i="3" s="1"/>
  <c r="AQ112" i="1"/>
  <c r="M111" i="3" s="1"/>
  <c r="AR112" i="1"/>
  <c r="N111" i="3" s="1"/>
  <c r="AS112" i="1"/>
  <c r="O111" i="3" s="1"/>
  <c r="AT112" i="1"/>
  <c r="P111" i="3" s="1"/>
  <c r="AU112" i="1"/>
  <c r="Q111" i="3" s="1"/>
  <c r="AV112" i="1"/>
  <c r="R111" i="3" s="1"/>
  <c r="D113" i="1"/>
  <c r="E113" i="1"/>
  <c r="F113" i="1"/>
  <c r="H113" i="1"/>
  <c r="I113" i="1"/>
  <c r="AD113" i="1"/>
  <c r="AF113" i="1"/>
  <c r="AG113" i="1"/>
  <c r="AH113" i="1"/>
  <c r="AI113" i="1"/>
  <c r="AJ113" i="1"/>
  <c r="AK113" i="1"/>
  <c r="G112" i="3" s="1"/>
  <c r="AL113" i="1"/>
  <c r="AM113" i="1"/>
  <c r="AN113" i="1"/>
  <c r="AO113" i="1"/>
  <c r="AP113" i="1"/>
  <c r="AQ113" i="1"/>
  <c r="AR113" i="1"/>
  <c r="AS113" i="1"/>
  <c r="AT113" i="1"/>
  <c r="AU113" i="1"/>
  <c r="AV113" i="1"/>
  <c r="D114" i="1"/>
  <c r="E114" i="1"/>
  <c r="F114" i="1"/>
  <c r="H114" i="1"/>
  <c r="I114" i="1"/>
  <c r="AD114" i="1"/>
  <c r="AF114" i="1"/>
  <c r="B113" i="3" s="1"/>
  <c r="AG114" i="1"/>
  <c r="C113" i="3" s="1"/>
  <c r="AH114" i="1"/>
  <c r="D113" i="3" s="1"/>
  <c r="AI114" i="1"/>
  <c r="AJ114" i="1"/>
  <c r="F113" i="3" s="1"/>
  <c r="AK114" i="1"/>
  <c r="G113" i="3" s="1"/>
  <c r="AL114" i="1"/>
  <c r="H113" i="3" s="1"/>
  <c r="AM114" i="1"/>
  <c r="AN114" i="1"/>
  <c r="J113" i="3" s="1"/>
  <c r="AO114" i="1"/>
  <c r="K113" i="3" s="1"/>
  <c r="AP114" i="1"/>
  <c r="L113" i="3" s="1"/>
  <c r="AQ114" i="1"/>
  <c r="M113" i="3" s="1"/>
  <c r="AR114" i="1"/>
  <c r="N113" i="3" s="1"/>
  <c r="AS114" i="1"/>
  <c r="O113" i="3" s="1"/>
  <c r="AT114" i="1"/>
  <c r="P113" i="3" s="1"/>
  <c r="AU114" i="1"/>
  <c r="Q113" i="3" s="1"/>
  <c r="AV114" i="1"/>
  <c r="R113" i="3" s="1"/>
  <c r="D115" i="1"/>
  <c r="E115" i="1"/>
  <c r="F115" i="1"/>
  <c r="H115" i="1"/>
  <c r="I115" i="1"/>
  <c r="AD115" i="1"/>
  <c r="AF115" i="1"/>
  <c r="AG115" i="1"/>
  <c r="C114" i="3" s="1"/>
  <c r="AH115" i="1"/>
  <c r="D114" i="3" s="1"/>
  <c r="AI115" i="1"/>
  <c r="E114" i="3" s="1"/>
  <c r="AJ115" i="1"/>
  <c r="F114" i="3" s="1"/>
  <c r="AK115" i="1"/>
  <c r="G114" i="3" s="1"/>
  <c r="AL115" i="1"/>
  <c r="H114" i="3" s="1"/>
  <c r="AM115" i="1"/>
  <c r="I114" i="3" s="1"/>
  <c r="AN115" i="1"/>
  <c r="J114" i="3" s="1"/>
  <c r="AO115" i="1"/>
  <c r="K114" i="3" s="1"/>
  <c r="AP115" i="1"/>
  <c r="L114" i="3" s="1"/>
  <c r="AQ115" i="1"/>
  <c r="M114" i="3" s="1"/>
  <c r="AR115" i="1"/>
  <c r="N114" i="3" s="1"/>
  <c r="AS115" i="1"/>
  <c r="O114" i="3" s="1"/>
  <c r="AT115" i="1"/>
  <c r="P114" i="3" s="1"/>
  <c r="AU115" i="1"/>
  <c r="Q114" i="3" s="1"/>
  <c r="AV115" i="1"/>
  <c r="R114" i="3" s="1"/>
  <c r="D116" i="1"/>
  <c r="E116" i="1"/>
  <c r="F116" i="1"/>
  <c r="H116" i="1"/>
  <c r="I116" i="1"/>
  <c r="AD116" i="1"/>
  <c r="AF116" i="1"/>
  <c r="AG116" i="1"/>
  <c r="C115" i="3" s="1"/>
  <c r="S115" i="3" s="1"/>
  <c r="AH116" i="1"/>
  <c r="AI116" i="1"/>
  <c r="AJ116" i="1"/>
  <c r="F115" i="3" s="1"/>
  <c r="AK116" i="1"/>
  <c r="AL116" i="1"/>
  <c r="AM116" i="1"/>
  <c r="AN116" i="1"/>
  <c r="AO116" i="1"/>
  <c r="AP116" i="1"/>
  <c r="AQ116" i="1"/>
  <c r="AR116" i="1"/>
  <c r="N115" i="3" s="1"/>
  <c r="AS116" i="1"/>
  <c r="AT116" i="1"/>
  <c r="AU116" i="1"/>
  <c r="AV116" i="1"/>
  <c r="AW116" i="1"/>
  <c r="G116" i="1" s="1"/>
  <c r="D117" i="1"/>
  <c r="E117" i="1"/>
  <c r="F117" i="1"/>
  <c r="H117" i="1"/>
  <c r="I117" i="1"/>
  <c r="AD117" i="1"/>
  <c r="AF117" i="1"/>
  <c r="AG117" i="1"/>
  <c r="C116" i="3" s="1"/>
  <c r="AH117" i="1"/>
  <c r="D116" i="3" s="1"/>
  <c r="AI117" i="1"/>
  <c r="E116" i="3" s="1"/>
  <c r="AJ117" i="1"/>
  <c r="F116" i="3" s="1"/>
  <c r="AK117" i="1"/>
  <c r="G116" i="3" s="1"/>
  <c r="AL117" i="1"/>
  <c r="H116" i="3" s="1"/>
  <c r="AM117" i="1"/>
  <c r="I116" i="3" s="1"/>
  <c r="AN117" i="1"/>
  <c r="AO117" i="1"/>
  <c r="AP117" i="1"/>
  <c r="AQ117" i="1"/>
  <c r="M116" i="3" s="1"/>
  <c r="AR117" i="1"/>
  <c r="N116" i="3" s="1"/>
  <c r="AS117" i="1"/>
  <c r="O116" i="3" s="1"/>
  <c r="AT117" i="1"/>
  <c r="P116" i="3" s="1"/>
  <c r="AU117" i="1"/>
  <c r="Q116" i="3" s="1"/>
  <c r="AV117" i="1"/>
  <c r="R116" i="3" s="1"/>
  <c r="D118" i="1"/>
  <c r="E118" i="1"/>
  <c r="F118" i="1"/>
  <c r="H118" i="1"/>
  <c r="I118" i="1"/>
  <c r="AD118" i="1"/>
  <c r="AF118" i="1"/>
  <c r="AG118" i="1"/>
  <c r="C117" i="3" s="1"/>
  <c r="AH118" i="1"/>
  <c r="D117" i="3" s="1"/>
  <c r="AI118" i="1"/>
  <c r="E117" i="3" s="1"/>
  <c r="AJ118" i="1"/>
  <c r="F117" i="3" s="1"/>
  <c r="AK118" i="1"/>
  <c r="G117" i="3" s="1"/>
  <c r="AL118" i="1"/>
  <c r="H117" i="3" s="1"/>
  <c r="AM118" i="1"/>
  <c r="I117" i="3" s="1"/>
  <c r="AN118" i="1"/>
  <c r="J117" i="3" s="1"/>
  <c r="AO118" i="1"/>
  <c r="K117" i="3" s="1"/>
  <c r="AP118" i="1"/>
  <c r="L117" i="3" s="1"/>
  <c r="AQ118" i="1"/>
  <c r="AR118" i="1"/>
  <c r="AS118" i="1"/>
  <c r="AT118" i="1"/>
  <c r="AU118" i="1"/>
  <c r="AV118" i="1"/>
  <c r="D119" i="1"/>
  <c r="E119" i="1"/>
  <c r="F119" i="1"/>
  <c r="H119" i="1"/>
  <c r="I119" i="1"/>
  <c r="AD119" i="1"/>
  <c r="AF119" i="1"/>
  <c r="B118" i="3" s="1"/>
  <c r="AG119" i="1"/>
  <c r="C118" i="3" s="1"/>
  <c r="AH119" i="1"/>
  <c r="D118" i="3" s="1"/>
  <c r="AI119" i="1"/>
  <c r="E118" i="3" s="1"/>
  <c r="AJ119" i="1"/>
  <c r="F118" i="3" s="1"/>
  <c r="AK119" i="1"/>
  <c r="G118" i="3" s="1"/>
  <c r="AL119" i="1"/>
  <c r="AM119" i="1"/>
  <c r="I118" i="3" s="1"/>
  <c r="AN119" i="1"/>
  <c r="AO119" i="1"/>
  <c r="AP119" i="1"/>
  <c r="AQ119" i="1"/>
  <c r="M118" i="3" s="1"/>
  <c r="AR119" i="1"/>
  <c r="AS119" i="1"/>
  <c r="O118" i="3" s="1"/>
  <c r="AT119" i="1"/>
  <c r="P118" i="3" s="1"/>
  <c r="AU119" i="1"/>
  <c r="Q118" i="3" s="1"/>
  <c r="AV119" i="1"/>
  <c r="D120" i="1"/>
  <c r="E120" i="1"/>
  <c r="F120" i="1"/>
  <c r="H120" i="1"/>
  <c r="I120" i="1"/>
  <c r="AD120" i="1"/>
  <c r="AF120" i="1"/>
  <c r="AG120" i="1"/>
  <c r="AH120" i="1"/>
  <c r="D119" i="3" s="1"/>
  <c r="AI120" i="1"/>
  <c r="E119" i="3" s="1"/>
  <c r="AJ120" i="1"/>
  <c r="F119" i="3" s="1"/>
  <c r="AK120" i="1"/>
  <c r="G119" i="3" s="1"/>
  <c r="AL120" i="1"/>
  <c r="H119" i="3" s="1"/>
  <c r="AM120" i="1"/>
  <c r="I119" i="3" s="1"/>
  <c r="AN120" i="1"/>
  <c r="J119" i="3" s="1"/>
  <c r="AO120" i="1"/>
  <c r="K119" i="3" s="1"/>
  <c r="AP120" i="1"/>
  <c r="L119" i="3" s="1"/>
  <c r="AQ120" i="1"/>
  <c r="AR120" i="1"/>
  <c r="AS120" i="1"/>
  <c r="O119" i="3" s="1"/>
  <c r="AT120" i="1"/>
  <c r="P119" i="3" s="1"/>
  <c r="AU120" i="1"/>
  <c r="Q119" i="3" s="1"/>
  <c r="AV120" i="1"/>
  <c r="D121" i="1"/>
  <c r="E121" i="1"/>
  <c r="F121" i="1"/>
  <c r="H121" i="1"/>
  <c r="I121" i="1"/>
  <c r="AD121" i="1"/>
  <c r="AF121" i="1"/>
  <c r="AG121" i="1"/>
  <c r="C120" i="3" s="1"/>
  <c r="AH121" i="1"/>
  <c r="D120" i="3" s="1"/>
  <c r="AI121" i="1"/>
  <c r="E120" i="3" s="1"/>
  <c r="AJ121" i="1"/>
  <c r="F120" i="3" s="1"/>
  <c r="AK121" i="1"/>
  <c r="G120" i="3" s="1"/>
  <c r="AL121" i="1"/>
  <c r="AM121" i="1"/>
  <c r="AN121" i="1"/>
  <c r="AO121" i="1"/>
  <c r="AP121" i="1"/>
  <c r="AQ121" i="1"/>
  <c r="AR121" i="1"/>
  <c r="AS121" i="1"/>
  <c r="O120" i="3" s="1"/>
  <c r="AT121" i="1"/>
  <c r="AU121" i="1"/>
  <c r="Q120" i="3" s="1"/>
  <c r="AV121" i="1"/>
  <c r="R120" i="3" s="1"/>
  <c r="D122" i="1"/>
  <c r="E122" i="1"/>
  <c r="F122" i="1"/>
  <c r="H122" i="1"/>
  <c r="I122" i="1"/>
  <c r="AD122" i="1"/>
  <c r="AF122" i="1"/>
  <c r="AG122" i="1"/>
  <c r="C121" i="3" s="1"/>
  <c r="AH122" i="1"/>
  <c r="D121" i="3" s="1"/>
  <c r="AI122" i="1"/>
  <c r="E121" i="3" s="1"/>
  <c r="AJ122" i="1"/>
  <c r="F121" i="3" s="1"/>
  <c r="AK122" i="1"/>
  <c r="G121" i="3" s="1"/>
  <c r="AL122" i="1"/>
  <c r="H121" i="3" s="1"/>
  <c r="AM122" i="1"/>
  <c r="I121" i="3" s="1"/>
  <c r="AN122" i="1"/>
  <c r="J121" i="3" s="1"/>
  <c r="AO122" i="1"/>
  <c r="K121" i="3" s="1"/>
  <c r="AP122" i="1"/>
  <c r="L121" i="3" s="1"/>
  <c r="AQ122" i="1"/>
  <c r="M121" i="3" s="1"/>
  <c r="AR122" i="1"/>
  <c r="N121" i="3" s="1"/>
  <c r="AS122" i="1"/>
  <c r="O121" i="3" s="1"/>
  <c r="AT122" i="1"/>
  <c r="P121" i="3" s="1"/>
  <c r="AU122" i="1"/>
  <c r="Q121" i="3" s="1"/>
  <c r="AV122" i="1"/>
  <c r="R121" i="3" s="1"/>
  <c r="B124" i="1"/>
  <c r="C124" i="1"/>
  <c r="B125" i="1" s="1"/>
  <c r="M124" i="1"/>
  <c r="M127" i="1" s="1"/>
  <c r="N124" i="1"/>
  <c r="O124" i="1"/>
  <c r="O127" i="1" s="1"/>
  <c r="P124" i="1"/>
  <c r="Q124" i="1"/>
  <c r="R124" i="1"/>
  <c r="S124" i="1"/>
  <c r="T124" i="1"/>
  <c r="U124" i="1"/>
  <c r="V124" i="1"/>
  <c r="W124" i="1"/>
  <c r="X124" i="1"/>
  <c r="Y124" i="1"/>
  <c r="Y127" i="1" s="1"/>
  <c r="Z124" i="1"/>
  <c r="Z127" i="1" s="1"/>
  <c r="AA124" i="1"/>
  <c r="AB124" i="1"/>
  <c r="AC124" i="1"/>
  <c r="P126" i="1"/>
  <c r="Q126" i="1"/>
  <c r="R126" i="1"/>
  <c r="S126" i="1"/>
  <c r="T126" i="1"/>
  <c r="U126" i="1"/>
  <c r="V126" i="1"/>
  <c r="W126" i="1"/>
  <c r="X126" i="1"/>
  <c r="Y126" i="1"/>
  <c r="Y132" i="1" s="1"/>
  <c r="Z126" i="1"/>
  <c r="Z132" i="1" s="1"/>
  <c r="J130" i="1"/>
  <c r="AB136" i="1"/>
  <c r="AB137" i="1"/>
  <c r="A2" i="3"/>
  <c r="B13" i="3"/>
  <c r="K13" i="3"/>
  <c r="L13" i="3"/>
  <c r="F15" i="3"/>
  <c r="G15" i="3"/>
  <c r="H15" i="3"/>
  <c r="I15" i="3"/>
  <c r="J15" i="3"/>
  <c r="K15" i="3"/>
  <c r="L15" i="3"/>
  <c r="M15" i="3"/>
  <c r="N15" i="3"/>
  <c r="O15" i="3"/>
  <c r="E16" i="3"/>
  <c r="F16" i="3"/>
  <c r="G16" i="3"/>
  <c r="H16" i="3"/>
  <c r="I16" i="3"/>
  <c r="J16" i="3"/>
  <c r="K16" i="3"/>
  <c r="L16" i="3"/>
  <c r="M16" i="3"/>
  <c r="N16" i="3"/>
  <c r="P16" i="3"/>
  <c r="B17" i="3"/>
  <c r="C17" i="3"/>
  <c r="B21" i="3"/>
  <c r="S21" i="3" s="1"/>
  <c r="C21" i="3"/>
  <c r="D21" i="3"/>
  <c r="P21" i="3"/>
  <c r="Q21" i="3"/>
  <c r="R21" i="3"/>
  <c r="F22" i="3"/>
  <c r="G22" i="3"/>
  <c r="H22" i="3"/>
  <c r="I22" i="3"/>
  <c r="J22" i="3"/>
  <c r="K22" i="3"/>
  <c r="L22" i="3"/>
  <c r="M22" i="3"/>
  <c r="N22" i="3"/>
  <c r="O22" i="3"/>
  <c r="Q22" i="3"/>
  <c r="R22" i="3"/>
  <c r="B24" i="3"/>
  <c r="C24" i="3"/>
  <c r="E24" i="3"/>
  <c r="K24" i="3"/>
  <c r="M24" i="3"/>
  <c r="N24" i="3"/>
  <c r="O24" i="3"/>
  <c r="P24" i="3"/>
  <c r="Q24" i="3"/>
  <c r="M26" i="3"/>
  <c r="N26" i="3"/>
  <c r="O26" i="3"/>
  <c r="P26" i="3"/>
  <c r="Q26" i="3"/>
  <c r="R26" i="3"/>
  <c r="S26" i="3"/>
  <c r="B27" i="3"/>
  <c r="C27" i="3"/>
  <c r="D27" i="3"/>
  <c r="H29" i="3"/>
  <c r="J29" i="3"/>
  <c r="K29" i="3"/>
  <c r="L29" i="3"/>
  <c r="M29" i="3"/>
  <c r="N29" i="3"/>
  <c r="O29" i="3"/>
  <c r="P29" i="3"/>
  <c r="B30" i="3"/>
  <c r="C30" i="3"/>
  <c r="D30" i="3"/>
  <c r="E30" i="3"/>
  <c r="F30" i="3"/>
  <c r="K30" i="3"/>
  <c r="L30" i="3"/>
  <c r="M30" i="3"/>
  <c r="N30" i="3"/>
  <c r="O30" i="3"/>
  <c r="P30" i="3"/>
  <c r="Q30" i="3"/>
  <c r="R30" i="3"/>
  <c r="P34" i="3"/>
  <c r="Q34" i="3"/>
  <c r="R34" i="3"/>
  <c r="B35" i="3"/>
  <c r="C35" i="3"/>
  <c r="D35" i="3"/>
  <c r="E35" i="3"/>
  <c r="F35" i="3"/>
  <c r="G35" i="3"/>
  <c r="H35" i="3"/>
  <c r="I35" i="3"/>
  <c r="J35" i="3"/>
  <c r="K35" i="3"/>
  <c r="M35" i="3"/>
  <c r="N35" i="3"/>
  <c r="O35" i="3"/>
  <c r="P35" i="3"/>
  <c r="Q35" i="3"/>
  <c r="R35" i="3"/>
  <c r="O36" i="3"/>
  <c r="P36" i="3"/>
  <c r="Q36" i="3"/>
  <c r="R36" i="3"/>
  <c r="B37" i="3"/>
  <c r="C37" i="3"/>
  <c r="O37" i="3"/>
  <c r="P37" i="3"/>
  <c r="Q37" i="3"/>
  <c r="R37" i="3"/>
  <c r="C38" i="3"/>
  <c r="E38" i="3"/>
  <c r="F38" i="3"/>
  <c r="G38" i="3"/>
  <c r="I38" i="3"/>
  <c r="E40" i="3"/>
  <c r="F40" i="3"/>
  <c r="G40" i="3"/>
  <c r="H40" i="3"/>
  <c r="I40" i="3"/>
  <c r="J40" i="3"/>
  <c r="M40" i="3"/>
  <c r="N40" i="3"/>
  <c r="O40" i="3"/>
  <c r="P40" i="3"/>
  <c r="Q40" i="3"/>
  <c r="R40" i="3"/>
  <c r="B41" i="3"/>
  <c r="S41" i="3" s="1"/>
  <c r="L41" i="3"/>
  <c r="M41" i="3"/>
  <c r="N41" i="3"/>
  <c r="O41" i="3"/>
  <c r="P41" i="3"/>
  <c r="Q41" i="3"/>
  <c r="R41" i="3"/>
  <c r="F43" i="3"/>
  <c r="G43" i="3"/>
  <c r="H43" i="3"/>
  <c r="L43" i="3"/>
  <c r="E44" i="3"/>
  <c r="F44" i="3"/>
  <c r="G44" i="3"/>
  <c r="H44" i="3"/>
  <c r="I44" i="3"/>
  <c r="J44" i="3"/>
  <c r="K44" i="3"/>
  <c r="L44" i="3"/>
  <c r="M44" i="3"/>
  <c r="R45" i="3"/>
  <c r="G46" i="3"/>
  <c r="H46" i="3"/>
  <c r="K46" i="3"/>
  <c r="L46" i="3"/>
  <c r="M46" i="3"/>
  <c r="N46" i="3"/>
  <c r="O46" i="3"/>
  <c r="P46" i="3"/>
  <c r="Q46" i="3"/>
  <c r="R46" i="3"/>
  <c r="D47" i="3"/>
  <c r="E47" i="3"/>
  <c r="F47" i="3"/>
  <c r="G47" i="3"/>
  <c r="K48" i="3"/>
  <c r="M48" i="3"/>
  <c r="N48" i="3"/>
  <c r="O48" i="3"/>
  <c r="P48" i="3"/>
  <c r="C49" i="3"/>
  <c r="D49" i="3"/>
  <c r="E49" i="3"/>
  <c r="F49" i="3"/>
  <c r="G49" i="3"/>
  <c r="H49" i="3"/>
  <c r="J49" i="3"/>
  <c r="K49" i="3"/>
  <c r="L49" i="3"/>
  <c r="B50" i="3"/>
  <c r="C50" i="3"/>
  <c r="D50" i="3"/>
  <c r="O51" i="3"/>
  <c r="N52" i="3"/>
  <c r="O52" i="3"/>
  <c r="P52" i="3"/>
  <c r="Q52" i="3"/>
  <c r="R52" i="3"/>
  <c r="B54" i="3"/>
  <c r="C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C56" i="3"/>
  <c r="B57" i="3"/>
  <c r="F57" i="3"/>
  <c r="G57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H61" i="3"/>
  <c r="I61" i="3"/>
  <c r="J61" i="3"/>
  <c r="K61" i="3"/>
  <c r="L61" i="3"/>
  <c r="M61" i="3"/>
  <c r="N61" i="3"/>
  <c r="O61" i="3"/>
  <c r="P61" i="3"/>
  <c r="J62" i="3"/>
  <c r="K62" i="3"/>
  <c r="M62" i="3"/>
  <c r="Q62" i="3"/>
  <c r="L63" i="3"/>
  <c r="M63" i="3"/>
  <c r="N63" i="3"/>
  <c r="O63" i="3"/>
  <c r="P63" i="3"/>
  <c r="C64" i="3"/>
  <c r="D64" i="3"/>
  <c r="E64" i="3"/>
  <c r="F64" i="3"/>
  <c r="G64" i="3"/>
  <c r="B65" i="3"/>
  <c r="C65" i="3"/>
  <c r="D65" i="3"/>
  <c r="E65" i="3"/>
  <c r="F65" i="3"/>
  <c r="G65" i="3"/>
  <c r="M65" i="3"/>
  <c r="N65" i="3"/>
  <c r="O65" i="3"/>
  <c r="P65" i="3"/>
  <c r="Q65" i="3"/>
  <c r="J66" i="3"/>
  <c r="K66" i="3"/>
  <c r="L66" i="3"/>
  <c r="M66" i="3"/>
  <c r="Q67" i="3"/>
  <c r="E68" i="3"/>
  <c r="I69" i="3"/>
  <c r="J69" i="3"/>
  <c r="K69" i="3"/>
  <c r="L69" i="3"/>
  <c r="F71" i="3"/>
  <c r="G71" i="3"/>
  <c r="H71" i="3"/>
  <c r="J71" i="3"/>
  <c r="K71" i="3"/>
  <c r="L71" i="3"/>
  <c r="M71" i="3"/>
  <c r="N71" i="3"/>
  <c r="F72" i="3"/>
  <c r="G72" i="3"/>
  <c r="H72" i="3"/>
  <c r="I72" i="3"/>
  <c r="J72" i="3"/>
  <c r="K72" i="3"/>
  <c r="L72" i="3"/>
  <c r="M72" i="3"/>
  <c r="N72" i="3"/>
  <c r="R72" i="3"/>
  <c r="R73" i="3"/>
  <c r="B74" i="3"/>
  <c r="C74" i="3"/>
  <c r="D74" i="3"/>
  <c r="E74" i="3"/>
  <c r="F74" i="3"/>
  <c r="G74" i="3"/>
  <c r="H74" i="3"/>
  <c r="P74" i="3"/>
  <c r="C76" i="3"/>
  <c r="D76" i="3"/>
  <c r="E76" i="3"/>
  <c r="F76" i="3"/>
  <c r="G76" i="3"/>
  <c r="M76" i="3"/>
  <c r="N76" i="3"/>
  <c r="O76" i="3"/>
  <c r="P76" i="3"/>
  <c r="Q76" i="3"/>
  <c r="B77" i="3"/>
  <c r="M77" i="3"/>
  <c r="N77" i="3"/>
  <c r="O77" i="3"/>
  <c r="D79" i="3"/>
  <c r="E79" i="3"/>
  <c r="F79" i="3"/>
  <c r="G79" i="3"/>
  <c r="H79" i="3"/>
  <c r="I79" i="3"/>
  <c r="D80" i="3"/>
  <c r="E80" i="3"/>
  <c r="F80" i="3"/>
  <c r="G80" i="3"/>
  <c r="H80" i="3"/>
  <c r="I80" i="3"/>
  <c r="J80" i="3"/>
  <c r="K80" i="3"/>
  <c r="L80" i="3"/>
  <c r="O81" i="3"/>
  <c r="D82" i="3"/>
  <c r="E82" i="3"/>
  <c r="F82" i="3"/>
  <c r="G82" i="3"/>
  <c r="H82" i="3"/>
  <c r="J84" i="3"/>
  <c r="B85" i="3"/>
  <c r="C85" i="3"/>
  <c r="D85" i="3"/>
  <c r="E85" i="3"/>
  <c r="F85" i="3"/>
  <c r="G85" i="3"/>
  <c r="H85" i="3"/>
  <c r="I85" i="3"/>
  <c r="J85" i="3"/>
  <c r="K85" i="3"/>
  <c r="P85" i="3"/>
  <c r="Q85" i="3"/>
  <c r="R85" i="3"/>
  <c r="P86" i="3"/>
  <c r="H87" i="3"/>
  <c r="I87" i="3"/>
  <c r="J87" i="3"/>
  <c r="K87" i="3"/>
  <c r="L87" i="3"/>
  <c r="M87" i="3"/>
  <c r="N87" i="3"/>
  <c r="O87" i="3"/>
  <c r="P87" i="3"/>
  <c r="Q87" i="3"/>
  <c r="R87" i="3"/>
  <c r="B90" i="3"/>
  <c r="C90" i="3"/>
  <c r="D90" i="3"/>
  <c r="F90" i="3"/>
  <c r="K90" i="3"/>
  <c r="G91" i="3"/>
  <c r="Q92" i="3"/>
  <c r="R92" i="3"/>
  <c r="E94" i="3"/>
  <c r="F94" i="3"/>
  <c r="G94" i="3"/>
  <c r="I94" i="3"/>
  <c r="J94" i="3"/>
  <c r="K94" i="3"/>
  <c r="L95" i="3"/>
  <c r="M95" i="3"/>
  <c r="F96" i="3"/>
  <c r="G96" i="3"/>
  <c r="H96" i="3"/>
  <c r="I96" i="3"/>
  <c r="J96" i="3"/>
  <c r="R96" i="3"/>
  <c r="B97" i="3"/>
  <c r="C97" i="3"/>
  <c r="D97" i="3"/>
  <c r="E97" i="3"/>
  <c r="L97" i="3"/>
  <c r="M97" i="3"/>
  <c r="N97" i="3"/>
  <c r="O97" i="3"/>
  <c r="P97" i="3"/>
  <c r="C101" i="3"/>
  <c r="D101" i="3"/>
  <c r="E101" i="3"/>
  <c r="F101" i="3"/>
  <c r="G101" i="3"/>
  <c r="H101" i="3"/>
  <c r="I101" i="3"/>
  <c r="J101" i="3"/>
  <c r="B102" i="3"/>
  <c r="H102" i="3"/>
  <c r="I102" i="3"/>
  <c r="J102" i="3"/>
  <c r="K102" i="3"/>
  <c r="L102" i="3"/>
  <c r="M102" i="3"/>
  <c r="N102" i="3"/>
  <c r="R102" i="3"/>
  <c r="J104" i="3"/>
  <c r="K104" i="3"/>
  <c r="L104" i="3"/>
  <c r="M104" i="3"/>
  <c r="N104" i="3"/>
  <c r="O104" i="3"/>
  <c r="P104" i="3"/>
  <c r="Q104" i="3"/>
  <c r="R104" i="3"/>
  <c r="B105" i="3"/>
  <c r="C105" i="3"/>
  <c r="D105" i="3"/>
  <c r="E105" i="3"/>
  <c r="F105" i="3"/>
  <c r="G105" i="3"/>
  <c r="H105" i="3"/>
  <c r="I105" i="3"/>
  <c r="J105" i="3"/>
  <c r="K105" i="3"/>
  <c r="M106" i="3"/>
  <c r="N106" i="3"/>
  <c r="O106" i="3"/>
  <c r="R108" i="3"/>
  <c r="B109" i="3"/>
  <c r="C109" i="3"/>
  <c r="D109" i="3"/>
  <c r="E109" i="3"/>
  <c r="M109" i="3"/>
  <c r="N109" i="3"/>
  <c r="O109" i="3"/>
  <c r="P109" i="3"/>
  <c r="Q109" i="3"/>
  <c r="R109" i="3"/>
  <c r="B110" i="3"/>
  <c r="C110" i="3"/>
  <c r="D110" i="3"/>
  <c r="E110" i="3"/>
  <c r="F110" i="3"/>
  <c r="G110" i="3"/>
  <c r="H110" i="3"/>
  <c r="I110" i="3"/>
  <c r="J110" i="3"/>
  <c r="H111" i="3"/>
  <c r="J111" i="3"/>
  <c r="K111" i="3"/>
  <c r="B112" i="3"/>
  <c r="C112" i="3"/>
  <c r="D112" i="3"/>
  <c r="E112" i="3"/>
  <c r="F112" i="3"/>
  <c r="H112" i="3"/>
  <c r="I112" i="3"/>
  <c r="J112" i="3"/>
  <c r="K112" i="3"/>
  <c r="L112" i="3"/>
  <c r="M112" i="3"/>
  <c r="N112" i="3"/>
  <c r="O112" i="3"/>
  <c r="P112" i="3"/>
  <c r="Q112" i="3"/>
  <c r="R112" i="3"/>
  <c r="I113" i="3"/>
  <c r="B115" i="3"/>
  <c r="D115" i="3"/>
  <c r="E115" i="3"/>
  <c r="G115" i="3"/>
  <c r="H115" i="3"/>
  <c r="I115" i="3"/>
  <c r="J115" i="3"/>
  <c r="K115" i="3"/>
  <c r="L115" i="3"/>
  <c r="M115" i="3"/>
  <c r="O115" i="3"/>
  <c r="P115" i="3"/>
  <c r="Q115" i="3"/>
  <c r="R115" i="3"/>
  <c r="B116" i="3"/>
  <c r="J116" i="3"/>
  <c r="K116" i="3"/>
  <c r="L116" i="3"/>
  <c r="M117" i="3"/>
  <c r="N117" i="3"/>
  <c r="O117" i="3"/>
  <c r="P117" i="3"/>
  <c r="Q117" i="3"/>
  <c r="R117" i="3"/>
  <c r="J118" i="3"/>
  <c r="K118" i="3"/>
  <c r="L118" i="3"/>
  <c r="N118" i="3"/>
  <c r="R118" i="3"/>
  <c r="B119" i="3"/>
  <c r="C119" i="3"/>
  <c r="M119" i="3"/>
  <c r="N119" i="3"/>
  <c r="R119" i="3"/>
  <c r="B120" i="3"/>
  <c r="S120" i="3" s="1"/>
  <c r="H120" i="3"/>
  <c r="I120" i="3"/>
  <c r="J120" i="3"/>
  <c r="K120" i="3"/>
  <c r="L120" i="3"/>
  <c r="M120" i="3"/>
  <c r="N120" i="3"/>
  <c r="P120" i="3"/>
  <c r="Q127" i="3"/>
  <c r="A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S76" i="4" s="1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S83" i="4" s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S87" i="4" s="1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S95" i="4" s="1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S98" i="4" s="1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S102" i="4" s="1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S120" i="4" s="1"/>
  <c r="P120" i="4"/>
  <c r="Q120" i="4"/>
  <c r="R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2" i="17"/>
  <c r="K2" i="17"/>
  <c r="I3" i="17"/>
  <c r="I4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B22" i="17"/>
  <c r="D42" i="18" s="1"/>
  <c r="N22" i="17"/>
  <c r="B23" i="17"/>
  <c r="D47" i="18" s="1"/>
  <c r="N23" i="17"/>
  <c r="N24" i="17"/>
  <c r="N25" i="17"/>
  <c r="N26" i="17"/>
  <c r="E27" i="17"/>
  <c r="A31" i="17"/>
  <c r="E47" i="17"/>
  <c r="H14" i="19" s="1"/>
  <c r="H35" i="19" s="1"/>
  <c r="E54" i="17"/>
  <c r="B4" i="19" s="1"/>
  <c r="A59" i="17"/>
  <c r="D85" i="17"/>
  <c r="E85" i="17"/>
  <c r="F85" i="17"/>
  <c r="N107" i="17"/>
  <c r="N108" i="17"/>
  <c r="N109" i="17"/>
  <c r="S109" i="17"/>
  <c r="L110" i="17"/>
  <c r="N110" i="17" s="1"/>
  <c r="N111" i="17"/>
  <c r="N113" i="17" s="1"/>
  <c r="N112" i="17"/>
  <c r="L113" i="17"/>
  <c r="M113" i="17"/>
  <c r="A116" i="17"/>
  <c r="A2" i="18"/>
  <c r="G8" i="18"/>
  <c r="G9" i="18"/>
  <c r="I11" i="18"/>
  <c r="G12" i="18"/>
  <c r="I18" i="18"/>
  <c r="G19" i="18"/>
  <c r="G20" i="18"/>
  <c r="I25" i="18"/>
  <c r="G26" i="18"/>
  <c r="G27" i="18"/>
  <c r="G28" i="18"/>
  <c r="I30" i="18"/>
  <c r="G31" i="18"/>
  <c r="I33" i="18"/>
  <c r="G34" i="18"/>
  <c r="I36" i="18"/>
  <c r="G37" i="18"/>
  <c r="I40" i="18"/>
  <c r="G41" i="18"/>
  <c r="G42" i="18"/>
  <c r="I46" i="18"/>
  <c r="G47" i="18"/>
  <c r="I49" i="18"/>
  <c r="G50" i="18"/>
  <c r="G51" i="18"/>
  <c r="I54" i="18"/>
  <c r="G55" i="18"/>
  <c r="I57" i="18"/>
  <c r="H4" i="19"/>
  <c r="H25" i="19" s="1"/>
  <c r="H5" i="19"/>
  <c r="H26" i="19" s="1"/>
  <c r="H6" i="19"/>
  <c r="H27" i="19" s="1"/>
  <c r="H7" i="19"/>
  <c r="H28" i="19" s="1"/>
  <c r="H8" i="19"/>
  <c r="H9" i="19"/>
  <c r="H30" i="19" s="1"/>
  <c r="H10" i="19"/>
  <c r="H31" i="19" s="1"/>
  <c r="H11" i="19"/>
  <c r="H32" i="19" s="1"/>
  <c r="H12" i="19"/>
  <c r="H33" i="19" s="1"/>
  <c r="H13" i="19"/>
  <c r="H34" i="19" s="1"/>
  <c r="H15" i="19"/>
  <c r="H36" i="19" s="1"/>
  <c r="H16" i="19"/>
  <c r="H37" i="19" s="1"/>
  <c r="H17" i="19"/>
  <c r="H38" i="19" s="1"/>
  <c r="H18" i="19"/>
  <c r="H39" i="19" s="1"/>
  <c r="H19" i="19"/>
  <c r="H40" i="19" s="1"/>
  <c r="H20" i="19"/>
  <c r="H41" i="19" s="1"/>
  <c r="F21" i="19"/>
  <c r="J25" i="19"/>
  <c r="K25" i="19"/>
  <c r="J26" i="19"/>
  <c r="K26" i="19" s="1"/>
  <c r="T26" i="19" s="1"/>
  <c r="J27" i="19"/>
  <c r="K27" i="19" s="1"/>
  <c r="J28" i="19"/>
  <c r="K28" i="19" s="1"/>
  <c r="H29" i="19"/>
  <c r="J29" i="19"/>
  <c r="K29" i="19" s="1"/>
  <c r="T29" i="19" s="1"/>
  <c r="J30" i="19"/>
  <c r="K30" i="19" s="1"/>
  <c r="T30" i="19"/>
  <c r="J31" i="19"/>
  <c r="K31" i="19"/>
  <c r="J32" i="19"/>
  <c r="K32" i="19"/>
  <c r="T32" i="19"/>
  <c r="J33" i="19"/>
  <c r="K33" i="19"/>
  <c r="T33" i="19"/>
  <c r="J34" i="19"/>
  <c r="K34" i="19"/>
  <c r="T34" i="19"/>
  <c r="J35" i="19"/>
  <c r="K35" i="19" s="1"/>
  <c r="J36" i="19"/>
  <c r="K36" i="19"/>
  <c r="J37" i="19"/>
  <c r="K37" i="19"/>
  <c r="T37" i="19" s="1"/>
  <c r="J38" i="19"/>
  <c r="K38" i="19"/>
  <c r="J39" i="19"/>
  <c r="K39" i="19"/>
  <c r="T39" i="19"/>
  <c r="J40" i="19"/>
  <c r="K40" i="19" s="1"/>
  <c r="J41" i="19"/>
  <c r="K41" i="19"/>
  <c r="T41" i="19"/>
  <c r="B42" i="19"/>
  <c r="C26" i="19" s="1"/>
  <c r="D42" i="19"/>
  <c r="B4" i="20"/>
  <c r="H4" i="20"/>
  <c r="J25" i="20" s="1"/>
  <c r="H5" i="20"/>
  <c r="H6" i="20"/>
  <c r="H7" i="20"/>
  <c r="H8" i="20"/>
  <c r="D83" i="20" s="1"/>
  <c r="H9" i="20"/>
  <c r="D89" i="20" s="1"/>
  <c r="H10" i="20"/>
  <c r="H11" i="20"/>
  <c r="H12" i="20"/>
  <c r="J44" i="20" s="1"/>
  <c r="H13" i="20"/>
  <c r="J45" i="20" s="1"/>
  <c r="H14" i="20"/>
  <c r="J47" i="20" s="1"/>
  <c r="H15" i="20"/>
  <c r="H16" i="20"/>
  <c r="H17" i="20"/>
  <c r="H18" i="20"/>
  <c r="H19" i="20"/>
  <c r="H20" i="20"/>
  <c r="F21" i="20"/>
  <c r="C25" i="20"/>
  <c r="E25" i="20"/>
  <c r="L25" i="20"/>
  <c r="M25" i="20" s="1"/>
  <c r="C26" i="20"/>
  <c r="E26" i="20"/>
  <c r="G26" i="20"/>
  <c r="L26" i="20"/>
  <c r="M26" i="20"/>
  <c r="E27" i="20"/>
  <c r="W27" i="20"/>
  <c r="C28" i="20"/>
  <c r="E28" i="20"/>
  <c r="G28" i="20"/>
  <c r="H28" i="20"/>
  <c r="L28" i="20"/>
  <c r="M28" i="20" s="1"/>
  <c r="E29" i="20"/>
  <c r="W29" i="20"/>
  <c r="E30" i="20"/>
  <c r="W30" i="20"/>
  <c r="E31" i="20"/>
  <c r="W31" i="20"/>
  <c r="E32" i="20"/>
  <c r="W32" i="20"/>
  <c r="E33" i="20"/>
  <c r="W33" i="20"/>
  <c r="C34" i="20"/>
  <c r="E34" i="20"/>
  <c r="G34" i="20"/>
  <c r="H34" i="20"/>
  <c r="L34" i="20"/>
  <c r="M34" i="20" s="1"/>
  <c r="C35" i="20"/>
  <c r="E35" i="20"/>
  <c r="G35" i="20"/>
  <c r="L35" i="20"/>
  <c r="M35" i="20"/>
  <c r="E36" i="20"/>
  <c r="W36" i="20"/>
  <c r="E37" i="20"/>
  <c r="W37" i="20"/>
  <c r="E38" i="20"/>
  <c r="W38" i="20"/>
  <c r="E39" i="20"/>
  <c r="W39" i="20"/>
  <c r="E40" i="20"/>
  <c r="G40" i="20"/>
  <c r="L40" i="20"/>
  <c r="M40" i="20"/>
  <c r="C41" i="20"/>
  <c r="E41" i="20"/>
  <c r="L41" i="20"/>
  <c r="M41" i="20"/>
  <c r="C42" i="20"/>
  <c r="H42" i="20" s="1"/>
  <c r="E42" i="20"/>
  <c r="G42" i="20"/>
  <c r="L42" i="20"/>
  <c r="M42" i="20"/>
  <c r="E43" i="20"/>
  <c r="W43" i="20"/>
  <c r="C44" i="20"/>
  <c r="E44" i="20"/>
  <c r="L44" i="20"/>
  <c r="M44" i="20"/>
  <c r="E45" i="20"/>
  <c r="L45" i="20"/>
  <c r="M45" i="20"/>
  <c r="E46" i="20"/>
  <c r="W46" i="20"/>
  <c r="C47" i="20"/>
  <c r="E47" i="20"/>
  <c r="G47" i="20"/>
  <c r="H47" i="20"/>
  <c r="L47" i="20"/>
  <c r="M47" i="20" s="1"/>
  <c r="E48" i="20"/>
  <c r="W48" i="20"/>
  <c r="E49" i="20"/>
  <c r="W49" i="20"/>
  <c r="E50" i="20"/>
  <c r="G50" i="20"/>
  <c r="L50" i="20"/>
  <c r="M50" i="20" s="1"/>
  <c r="C51" i="20"/>
  <c r="E51" i="20"/>
  <c r="L51" i="20"/>
  <c r="M51" i="20" s="1"/>
  <c r="C52" i="20"/>
  <c r="E52" i="20"/>
  <c r="G52" i="20"/>
  <c r="H52" i="20"/>
  <c r="L52" i="20"/>
  <c r="M52" i="20"/>
  <c r="E53" i="20"/>
  <c r="W53" i="20"/>
  <c r="C54" i="20"/>
  <c r="E54" i="20"/>
  <c r="J54" i="20"/>
  <c r="L54" i="20"/>
  <c r="M54" i="20"/>
  <c r="C55" i="20"/>
  <c r="E55" i="20"/>
  <c r="G55" i="20"/>
  <c r="H55" i="20"/>
  <c r="J55" i="20"/>
  <c r="L55" i="20"/>
  <c r="M55" i="20"/>
  <c r="E56" i="20"/>
  <c r="W56" i="20"/>
  <c r="E57" i="20"/>
  <c r="W57" i="20"/>
  <c r="C58" i="20"/>
  <c r="E58" i="20"/>
  <c r="G58" i="20"/>
  <c r="H58" i="20"/>
  <c r="J58" i="20"/>
  <c r="L58" i="20"/>
  <c r="M58" i="20"/>
  <c r="E59" i="20"/>
  <c r="W59" i="20"/>
  <c r="B60" i="20"/>
  <c r="C40" i="20" s="1"/>
  <c r="D60" i="20"/>
  <c r="F60" i="20"/>
  <c r="A64" i="20"/>
  <c r="F74" i="20"/>
  <c r="I74" i="20"/>
  <c r="F81" i="20"/>
  <c r="I81" i="20"/>
  <c r="F88" i="20"/>
  <c r="I88" i="20"/>
  <c r="F93" i="20"/>
  <c r="I93" i="20"/>
  <c r="F97" i="20"/>
  <c r="I97" i="20"/>
  <c r="D98" i="20"/>
  <c r="I101" i="20"/>
  <c r="F106" i="20"/>
  <c r="I106" i="20"/>
  <c r="D107" i="20"/>
  <c r="D108" i="20"/>
  <c r="F111" i="20"/>
  <c r="I111" i="20"/>
  <c r="D112" i="20"/>
  <c r="F114" i="20"/>
  <c r="I114" i="20"/>
  <c r="A2" i="6"/>
  <c r="D49" i="6"/>
  <c r="C53" i="6"/>
  <c r="C15" i="12" s="1"/>
  <c r="D53" i="6"/>
  <c r="C14" i="12" s="1"/>
  <c r="A2" i="7"/>
  <c r="C10" i="7"/>
  <c r="E10" i="7"/>
  <c r="F10" i="7"/>
  <c r="C11" i="7"/>
  <c r="E11" i="7"/>
  <c r="F11" i="7"/>
  <c r="C12" i="7"/>
  <c r="E12" i="7"/>
  <c r="C13" i="7"/>
  <c r="E13" i="7"/>
  <c r="F13" i="7" s="1"/>
  <c r="C14" i="7"/>
  <c r="E14" i="7"/>
  <c r="F14" i="7"/>
  <c r="C15" i="7"/>
  <c r="E15" i="7"/>
  <c r="F15" i="7"/>
  <c r="C16" i="7"/>
  <c r="E16" i="7"/>
  <c r="C17" i="7"/>
  <c r="E17" i="7"/>
  <c r="F17" i="7" s="1"/>
  <c r="C18" i="7"/>
  <c r="E18" i="7"/>
  <c r="C19" i="7"/>
  <c r="E19" i="7"/>
  <c r="F19" i="7"/>
  <c r="C20" i="7"/>
  <c r="E20" i="7"/>
  <c r="C21" i="7"/>
  <c r="F21" i="7" s="1"/>
  <c r="E21" i="7"/>
  <c r="C22" i="7"/>
  <c r="F22" i="7" s="1"/>
  <c r="E22" i="7"/>
  <c r="C23" i="7"/>
  <c r="E23" i="7"/>
  <c r="F23" i="7"/>
  <c r="C24" i="7"/>
  <c r="E24" i="7"/>
  <c r="F24" i="7"/>
  <c r="C25" i="7"/>
  <c r="F25" i="7" s="1"/>
  <c r="E25" i="7"/>
  <c r="C26" i="7"/>
  <c r="E26" i="7"/>
  <c r="F26" i="7"/>
  <c r="C27" i="7"/>
  <c r="E27" i="7"/>
  <c r="F27" i="7"/>
  <c r="C28" i="7"/>
  <c r="E28" i="7"/>
  <c r="F28" i="7"/>
  <c r="C29" i="7"/>
  <c r="E29" i="7"/>
  <c r="F29" i="7"/>
  <c r="C30" i="7"/>
  <c r="E30" i="7"/>
  <c r="C31" i="7"/>
  <c r="E31" i="7"/>
  <c r="C32" i="7"/>
  <c r="E32" i="7"/>
  <c r="F32" i="7"/>
  <c r="B34" i="7"/>
  <c r="D34" i="7"/>
  <c r="A2" i="8"/>
  <c r="Q9" i="8"/>
  <c r="R9" i="8"/>
  <c r="S9" i="8"/>
  <c r="Q10" i="8"/>
  <c r="R10" i="8"/>
  <c r="S10" i="8"/>
  <c r="Q11" i="8"/>
  <c r="R11" i="8"/>
  <c r="T11" i="8"/>
  <c r="Q12" i="8"/>
  <c r="R12" i="8"/>
  <c r="Q13" i="8"/>
  <c r="R13" i="8"/>
  <c r="T13" i="8"/>
  <c r="C14" i="8"/>
  <c r="Q14" i="8" s="1"/>
  <c r="D14" i="8"/>
  <c r="C15" i="8"/>
  <c r="Q15" i="8" s="1"/>
  <c r="D15" i="8"/>
  <c r="R15" i="8"/>
  <c r="E16" i="8"/>
  <c r="E23" i="8" s="1"/>
  <c r="Q16" i="8"/>
  <c r="R16" i="8"/>
  <c r="T16" i="8"/>
  <c r="F17" i="8"/>
  <c r="F23" i="8" s="1"/>
  <c r="Q17" i="8"/>
  <c r="R17" i="8"/>
  <c r="T17" i="8"/>
  <c r="Q18" i="8"/>
  <c r="R18" i="8"/>
  <c r="Q19" i="8"/>
  <c r="T19" i="8" s="1"/>
  <c r="R19" i="8"/>
  <c r="O20" i="8"/>
  <c r="Q20" i="8"/>
  <c r="T20" i="8" s="1"/>
  <c r="R20" i="8"/>
  <c r="Q21" i="8"/>
  <c r="R21" i="8"/>
  <c r="T21" i="8"/>
  <c r="B23" i="8"/>
  <c r="G23" i="8"/>
  <c r="H23" i="8"/>
  <c r="I23" i="8"/>
  <c r="J23" i="8"/>
  <c r="K23" i="8"/>
  <c r="L23" i="8"/>
  <c r="M23" i="8"/>
  <c r="N23" i="8"/>
  <c r="O23" i="8"/>
  <c r="P23" i="8"/>
  <c r="A2" i="9"/>
  <c r="N2" i="9"/>
  <c r="L8" i="9"/>
  <c r="O8" i="9"/>
  <c r="L9" i="9"/>
  <c r="O9" i="9" s="1"/>
  <c r="L10" i="9"/>
  <c r="O10" i="9" s="1"/>
  <c r="L11" i="9"/>
  <c r="O11" i="9" s="1"/>
  <c r="T11" i="9"/>
  <c r="L12" i="9"/>
  <c r="T12" i="9" s="1"/>
  <c r="O12" i="9"/>
  <c r="L13" i="9"/>
  <c r="O13" i="9"/>
  <c r="L14" i="9"/>
  <c r="O14" i="9"/>
  <c r="L15" i="9"/>
  <c r="O15" i="9"/>
  <c r="T15" i="9"/>
  <c r="L16" i="9"/>
  <c r="O16" i="9"/>
  <c r="L17" i="9"/>
  <c r="O17" i="9" s="1"/>
  <c r="L18" i="9"/>
  <c r="O18" i="9"/>
  <c r="L19" i="9"/>
  <c r="O19" i="9"/>
  <c r="L20" i="9"/>
  <c r="O20" i="9"/>
  <c r="L21" i="9"/>
  <c r="O21" i="9"/>
  <c r="L22" i="9"/>
  <c r="O22" i="9"/>
  <c r="L23" i="9"/>
  <c r="O23" i="9" s="1"/>
  <c r="L24" i="9"/>
  <c r="O24" i="9"/>
  <c r="B25" i="9"/>
  <c r="C25" i="9"/>
  <c r="D25" i="9"/>
  <c r="E25" i="9"/>
  <c r="G25" i="9"/>
  <c r="H25" i="9"/>
  <c r="I25" i="9"/>
  <c r="J25" i="9"/>
  <c r="K25" i="9"/>
  <c r="V25" i="9"/>
  <c r="V27" i="9"/>
  <c r="D28" i="9"/>
  <c r="L28" i="9" s="1"/>
  <c r="J128" i="1" s="1"/>
  <c r="V30" i="9"/>
  <c r="A2" i="10"/>
  <c r="A7" i="10"/>
  <c r="S13" i="10"/>
  <c r="T13" i="10" s="1"/>
  <c r="S14" i="10"/>
  <c r="T14" i="10"/>
  <c r="S15" i="10"/>
  <c r="T15" i="10" s="1"/>
  <c r="S16" i="10"/>
  <c r="T16" i="10" s="1"/>
  <c r="S17" i="10"/>
  <c r="T17" i="10" s="1"/>
  <c r="S18" i="10"/>
  <c r="T18" i="10"/>
  <c r="S19" i="10"/>
  <c r="T19" i="10" s="1"/>
  <c r="S20" i="10"/>
  <c r="T20" i="10"/>
  <c r="S21" i="10"/>
  <c r="T21" i="10" s="1"/>
  <c r="S22" i="10"/>
  <c r="T22" i="10"/>
  <c r="S23" i="10"/>
  <c r="T23" i="10"/>
  <c r="S24" i="10"/>
  <c r="T24" i="10" s="1"/>
  <c r="S25" i="10"/>
  <c r="T25" i="10"/>
  <c r="S26" i="10"/>
  <c r="T26" i="10" s="1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 s="1"/>
  <c r="S57" i="10"/>
  <c r="T57" i="10"/>
  <c r="S58" i="10"/>
  <c r="T58" i="10"/>
  <c r="S59" i="10"/>
  <c r="T59" i="10" s="1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 s="1"/>
  <c r="S72" i="10"/>
  <c r="T72" i="10" s="1"/>
  <c r="S73" i="10"/>
  <c r="T73" i="10" s="1"/>
  <c r="S74" i="10"/>
  <c r="T74" i="10"/>
  <c r="S75" i="10"/>
  <c r="T75" i="10"/>
  <c r="S76" i="10"/>
  <c r="T76" i="10"/>
  <c r="S77" i="10"/>
  <c r="T77" i="10"/>
  <c r="S78" i="10"/>
  <c r="T78" i="10" s="1"/>
  <c r="S79" i="10"/>
  <c r="T79" i="10" s="1"/>
  <c r="S80" i="10"/>
  <c r="T80" i="10" s="1"/>
  <c r="S81" i="10"/>
  <c r="T81" i="10" s="1"/>
  <c r="S82" i="10"/>
  <c r="T82" i="10"/>
  <c r="S83" i="10"/>
  <c r="T83" i="10" s="1"/>
  <c r="S84" i="10"/>
  <c r="T84" i="10" s="1"/>
  <c r="S85" i="10"/>
  <c r="T85" i="10"/>
  <c r="S86" i="10"/>
  <c r="T86" i="10" s="1"/>
  <c r="S87" i="10"/>
  <c r="T87" i="10" s="1"/>
  <c r="S88" i="10"/>
  <c r="T88" i="10" s="1"/>
  <c r="S89" i="10"/>
  <c r="T89" i="10"/>
  <c r="S90" i="10"/>
  <c r="T90" i="10" s="1"/>
  <c r="B92" i="10"/>
  <c r="C92" i="10"/>
  <c r="D92" i="10"/>
  <c r="E92" i="10"/>
  <c r="F92" i="10"/>
  <c r="G92" i="10"/>
  <c r="H92" i="10"/>
  <c r="I92" i="10"/>
  <c r="J92" i="10"/>
  <c r="B102" i="10" s="1"/>
  <c r="C102" i="10" s="1"/>
  <c r="K92" i="10"/>
  <c r="L92" i="10"/>
  <c r="M92" i="10"/>
  <c r="N92" i="10"/>
  <c r="O92" i="10"/>
  <c r="P92" i="10"/>
  <c r="Q92" i="10"/>
  <c r="R92" i="10"/>
  <c r="B96" i="10"/>
  <c r="C96" i="10"/>
  <c r="B98" i="10"/>
  <c r="C98" i="10"/>
  <c r="B100" i="10"/>
  <c r="C100" i="10"/>
  <c r="A2" i="22"/>
  <c r="A7" i="22"/>
  <c r="H13" i="22"/>
  <c r="I13" i="22"/>
  <c r="J13" i="22"/>
  <c r="K13" i="22"/>
  <c r="H14" i="22"/>
  <c r="I14" i="22"/>
  <c r="J14" i="22"/>
  <c r="K14" i="22"/>
  <c r="L14" i="22"/>
  <c r="H15" i="22"/>
  <c r="I15" i="22"/>
  <c r="J15" i="22"/>
  <c r="K15" i="22"/>
  <c r="H16" i="22"/>
  <c r="I16" i="22"/>
  <c r="J16" i="22"/>
  <c r="K16" i="22"/>
  <c r="H17" i="22"/>
  <c r="I17" i="22"/>
  <c r="J17" i="22"/>
  <c r="K17" i="22"/>
  <c r="H18" i="22"/>
  <c r="L18" i="22" s="1"/>
  <c r="I18" i="22"/>
  <c r="K18" i="22"/>
  <c r="H19" i="22"/>
  <c r="L19" i="22" s="1"/>
  <c r="I19" i="22"/>
  <c r="J19" i="22"/>
  <c r="K19" i="22"/>
  <c r="H20" i="22"/>
  <c r="I20" i="22"/>
  <c r="K20" i="22"/>
  <c r="H21" i="22"/>
  <c r="I21" i="22"/>
  <c r="J21" i="22"/>
  <c r="K21" i="22"/>
  <c r="L21" i="22"/>
  <c r="H22" i="22"/>
  <c r="I22" i="22"/>
  <c r="J22" i="22"/>
  <c r="K22" i="22"/>
  <c r="H23" i="22"/>
  <c r="I23" i="22"/>
  <c r="J23" i="22"/>
  <c r="K23" i="22"/>
  <c r="H24" i="22"/>
  <c r="I24" i="22"/>
  <c r="J24" i="22"/>
  <c r="K24" i="22"/>
  <c r="L24" i="22"/>
  <c r="H25" i="22"/>
  <c r="I25" i="22"/>
  <c r="L25" i="22" s="1"/>
  <c r="J25" i="22"/>
  <c r="K25" i="22"/>
  <c r="H26" i="22"/>
  <c r="I26" i="22"/>
  <c r="J26" i="22"/>
  <c r="K26" i="22"/>
  <c r="H27" i="22"/>
  <c r="L27" i="22" s="1"/>
  <c r="I27" i="22"/>
  <c r="J27" i="22"/>
  <c r="K27" i="22"/>
  <c r="H28" i="22"/>
  <c r="I28" i="22"/>
  <c r="J28" i="22"/>
  <c r="K28" i="22"/>
  <c r="H29" i="22"/>
  <c r="I29" i="22"/>
  <c r="J29" i="22"/>
  <c r="K29" i="22"/>
  <c r="L29" i="22"/>
  <c r="H30" i="22"/>
  <c r="I30" i="22"/>
  <c r="J30" i="22"/>
  <c r="K30" i="22"/>
  <c r="H31" i="22"/>
  <c r="I31" i="22"/>
  <c r="J31" i="22"/>
  <c r="K31" i="22"/>
  <c r="H32" i="22"/>
  <c r="I32" i="22"/>
  <c r="J32" i="22"/>
  <c r="K32" i="22"/>
  <c r="L32" i="22"/>
  <c r="H33" i="22"/>
  <c r="I33" i="22"/>
  <c r="J33" i="22"/>
  <c r="K33" i="22"/>
  <c r="H34" i="22"/>
  <c r="I34" i="22"/>
  <c r="J34" i="22"/>
  <c r="K34" i="22"/>
  <c r="L34" i="22"/>
  <c r="H35" i="22"/>
  <c r="I35" i="22"/>
  <c r="J35" i="22"/>
  <c r="K35" i="22"/>
  <c r="L35" i="22"/>
  <c r="H36" i="22"/>
  <c r="I36" i="22"/>
  <c r="K36" i="22"/>
  <c r="H37" i="22"/>
  <c r="I37" i="22"/>
  <c r="J37" i="22"/>
  <c r="K37" i="22"/>
  <c r="H38" i="22"/>
  <c r="L38" i="22" s="1"/>
  <c r="I38" i="22"/>
  <c r="J38" i="22"/>
  <c r="K38" i="22"/>
  <c r="H39" i="22"/>
  <c r="I39" i="22"/>
  <c r="J39" i="22"/>
  <c r="K39" i="22"/>
  <c r="L39" i="22"/>
  <c r="H40" i="22"/>
  <c r="I40" i="22"/>
  <c r="K40" i="22"/>
  <c r="H41" i="22"/>
  <c r="I41" i="22"/>
  <c r="J41" i="22"/>
  <c r="K41" i="22"/>
  <c r="H42" i="22"/>
  <c r="L42" i="22" s="1"/>
  <c r="I42" i="22"/>
  <c r="K42" i="22"/>
  <c r="H43" i="22"/>
  <c r="I43" i="22"/>
  <c r="J43" i="22"/>
  <c r="K43" i="22"/>
  <c r="L43" i="22"/>
  <c r="H44" i="22"/>
  <c r="I44" i="22"/>
  <c r="J44" i="22"/>
  <c r="K44" i="22"/>
  <c r="L44" i="22"/>
  <c r="H45" i="22"/>
  <c r="I45" i="22"/>
  <c r="J45" i="22"/>
  <c r="K45" i="22"/>
  <c r="H46" i="22"/>
  <c r="L46" i="22" s="1"/>
  <c r="I46" i="22"/>
  <c r="J46" i="22"/>
  <c r="K46" i="22"/>
  <c r="H47" i="22"/>
  <c r="I47" i="22"/>
  <c r="J47" i="22"/>
  <c r="K47" i="22"/>
  <c r="H48" i="22"/>
  <c r="L48" i="22" s="1"/>
  <c r="I48" i="22"/>
  <c r="J48" i="22"/>
  <c r="K48" i="22"/>
  <c r="H49" i="22"/>
  <c r="I49" i="22"/>
  <c r="J49" i="22"/>
  <c r="K49" i="22"/>
  <c r="L49" i="22"/>
  <c r="H50" i="22"/>
  <c r="I50" i="22"/>
  <c r="J50" i="22"/>
  <c r="K50" i="22"/>
  <c r="H51" i="22"/>
  <c r="I51" i="22"/>
  <c r="J51" i="22"/>
  <c r="K51" i="22"/>
  <c r="L51" i="22"/>
  <c r="H52" i="22"/>
  <c r="I52" i="22"/>
  <c r="J52" i="22"/>
  <c r="K52" i="22"/>
  <c r="H53" i="22"/>
  <c r="I53" i="22"/>
  <c r="K53" i="22"/>
  <c r="L53" i="22"/>
  <c r="H54" i="22"/>
  <c r="I54" i="22"/>
  <c r="J54" i="22"/>
  <c r="K54" i="22"/>
  <c r="H55" i="22"/>
  <c r="I55" i="22"/>
  <c r="J55" i="22"/>
  <c r="K55" i="22"/>
  <c r="H56" i="22"/>
  <c r="I56" i="22"/>
  <c r="J56" i="22"/>
  <c r="K56" i="22"/>
  <c r="L56" i="22" s="1"/>
  <c r="H57" i="22"/>
  <c r="L57" i="22" s="1"/>
  <c r="I57" i="22"/>
  <c r="J57" i="22"/>
  <c r="K57" i="22"/>
  <c r="H58" i="22"/>
  <c r="I58" i="22"/>
  <c r="J58" i="22"/>
  <c r="K58" i="22"/>
  <c r="H59" i="22"/>
  <c r="I59" i="22"/>
  <c r="J59" i="22"/>
  <c r="K59" i="22"/>
  <c r="H60" i="22"/>
  <c r="I60" i="22"/>
  <c r="J60" i="22"/>
  <c r="K60" i="22"/>
  <c r="H61" i="22"/>
  <c r="I61" i="22"/>
  <c r="J61" i="22"/>
  <c r="K61" i="22"/>
  <c r="H62" i="22"/>
  <c r="I62" i="22"/>
  <c r="K62" i="22"/>
  <c r="L62" i="22"/>
  <c r="H63" i="22"/>
  <c r="L63" i="22" s="1"/>
  <c r="I63" i="22"/>
  <c r="J63" i="22"/>
  <c r="K63" i="22"/>
  <c r="H64" i="22"/>
  <c r="I64" i="22"/>
  <c r="J64" i="22"/>
  <c r="K64" i="22"/>
  <c r="L64" i="22"/>
  <c r="H65" i="22"/>
  <c r="I65" i="22"/>
  <c r="J65" i="22"/>
  <c r="K65" i="22"/>
  <c r="H66" i="22"/>
  <c r="I66" i="22"/>
  <c r="J66" i="22"/>
  <c r="K66" i="22"/>
  <c r="L66" i="22" s="1"/>
  <c r="H67" i="22"/>
  <c r="I67" i="22"/>
  <c r="J67" i="22"/>
  <c r="K67" i="22"/>
  <c r="H68" i="22"/>
  <c r="I68" i="22"/>
  <c r="K68" i="22"/>
  <c r="H69" i="22"/>
  <c r="I69" i="22"/>
  <c r="J69" i="22"/>
  <c r="L69" i="22" s="1"/>
  <c r="K69" i="22"/>
  <c r="H70" i="22"/>
  <c r="I70" i="22"/>
  <c r="J70" i="22"/>
  <c r="K70" i="22"/>
  <c r="H71" i="22"/>
  <c r="I71" i="22"/>
  <c r="J71" i="22"/>
  <c r="K71" i="22"/>
  <c r="H72" i="22"/>
  <c r="I72" i="22"/>
  <c r="K72" i="22"/>
  <c r="L72" i="22"/>
  <c r="H73" i="22"/>
  <c r="I73" i="22"/>
  <c r="J73" i="22"/>
  <c r="K73" i="22"/>
  <c r="H74" i="22"/>
  <c r="I74" i="22"/>
  <c r="K74" i="22"/>
  <c r="L74" i="22"/>
  <c r="H75" i="22"/>
  <c r="I75" i="22"/>
  <c r="K75" i="22"/>
  <c r="H76" i="22"/>
  <c r="I76" i="22"/>
  <c r="J76" i="22"/>
  <c r="K76" i="22"/>
  <c r="H77" i="22"/>
  <c r="I77" i="22"/>
  <c r="J77" i="22"/>
  <c r="K77" i="22"/>
  <c r="L77" i="22"/>
  <c r="H78" i="22"/>
  <c r="L78" i="22" s="1"/>
  <c r="I78" i="22"/>
  <c r="J78" i="22"/>
  <c r="K78" i="22"/>
  <c r="H79" i="22"/>
  <c r="I79" i="22"/>
  <c r="K79" i="22"/>
  <c r="L79" i="22"/>
  <c r="H80" i="22"/>
  <c r="I80" i="22"/>
  <c r="K80" i="22"/>
  <c r="H81" i="22"/>
  <c r="I81" i="22"/>
  <c r="K81" i="22"/>
  <c r="L81" i="22"/>
  <c r="H82" i="22"/>
  <c r="I82" i="22"/>
  <c r="K82" i="22"/>
  <c r="H83" i="22"/>
  <c r="I83" i="22"/>
  <c r="K83" i="22"/>
  <c r="H84" i="22"/>
  <c r="I84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H87" i="22"/>
  <c r="I87" i="22"/>
  <c r="J87" i="22"/>
  <c r="K87" i="22"/>
  <c r="L87" i="22"/>
  <c r="H88" i="22"/>
  <c r="I88" i="22"/>
  <c r="J88" i="22"/>
  <c r="K88" i="22"/>
  <c r="H89" i="22"/>
  <c r="I89" i="22"/>
  <c r="J89" i="22"/>
  <c r="K89" i="22"/>
  <c r="L89" i="22"/>
  <c r="H90" i="22"/>
  <c r="I90" i="22"/>
  <c r="J90" i="22"/>
  <c r="K90" i="22"/>
  <c r="L90" i="22"/>
  <c r="H91" i="22"/>
  <c r="L91" i="22" s="1"/>
  <c r="I91" i="22"/>
  <c r="J91" i="22"/>
  <c r="K91" i="22"/>
  <c r="H92" i="22"/>
  <c r="I92" i="22"/>
  <c r="L92" i="22" s="1"/>
  <c r="J92" i="22"/>
  <c r="K92" i="22"/>
  <c r="H93" i="22"/>
  <c r="I93" i="22"/>
  <c r="J93" i="22"/>
  <c r="L93" i="22" s="1"/>
  <c r="K93" i="22"/>
  <c r="H94" i="22"/>
  <c r="I94" i="22"/>
  <c r="J94" i="22"/>
  <c r="K94" i="22"/>
  <c r="L94" i="22"/>
  <c r="H95" i="22"/>
  <c r="I95" i="22"/>
  <c r="J95" i="22"/>
  <c r="K95" i="22"/>
  <c r="L95" i="22"/>
  <c r="H96" i="22"/>
  <c r="I96" i="22"/>
  <c r="J96" i="22"/>
  <c r="K96" i="22"/>
  <c r="H97" i="22"/>
  <c r="I97" i="22"/>
  <c r="J97" i="22"/>
  <c r="K97" i="22"/>
  <c r="H98" i="22"/>
  <c r="I98" i="22"/>
  <c r="J98" i="22"/>
  <c r="K98" i="22"/>
  <c r="L98" i="22"/>
  <c r="H99" i="22"/>
  <c r="I99" i="22"/>
  <c r="J99" i="22"/>
  <c r="K99" i="22"/>
  <c r="H100" i="22"/>
  <c r="I100" i="22"/>
  <c r="J100" i="22"/>
  <c r="K100" i="22"/>
  <c r="L100" i="22"/>
  <c r="H101" i="22"/>
  <c r="L101" i="22" s="1"/>
  <c r="I101" i="22"/>
  <c r="J101" i="22"/>
  <c r="K101" i="22"/>
  <c r="H102" i="22"/>
  <c r="I102" i="22"/>
  <c r="J102" i="22"/>
  <c r="K102" i="22"/>
  <c r="L102" i="22"/>
  <c r="H103" i="22"/>
  <c r="I103" i="22"/>
  <c r="J103" i="22"/>
  <c r="K103" i="22"/>
  <c r="L103" i="22"/>
  <c r="H104" i="22"/>
  <c r="I104" i="22"/>
  <c r="J104" i="22"/>
  <c r="K104" i="22"/>
  <c r="H105" i="22"/>
  <c r="L105" i="22" s="1"/>
  <c r="I105" i="22"/>
  <c r="J105" i="22"/>
  <c r="K105" i="22"/>
  <c r="H106" i="22"/>
  <c r="I106" i="22"/>
  <c r="J106" i="22"/>
  <c r="K106" i="22"/>
  <c r="L106" i="22"/>
  <c r="H107" i="22"/>
  <c r="L107" i="22" s="1"/>
  <c r="I107" i="22"/>
  <c r="J107" i="22"/>
  <c r="K107" i="22"/>
  <c r="H108" i="22"/>
  <c r="I108" i="22"/>
  <c r="K108" i="22"/>
  <c r="H109" i="22"/>
  <c r="I109" i="22"/>
  <c r="J109" i="22"/>
  <c r="K109" i="22"/>
  <c r="H110" i="22"/>
  <c r="I110" i="22"/>
  <c r="J110" i="22"/>
  <c r="K110" i="22"/>
  <c r="L110" i="22"/>
  <c r="H111" i="22"/>
  <c r="I111" i="22"/>
  <c r="J111" i="22"/>
  <c r="K111" i="22"/>
  <c r="H112" i="22"/>
  <c r="I112" i="22"/>
  <c r="J112" i="22"/>
  <c r="K112" i="22"/>
  <c r="H113" i="22"/>
  <c r="L113" i="22" s="1"/>
  <c r="I113" i="22"/>
  <c r="J113" i="22"/>
  <c r="K113" i="22"/>
  <c r="H114" i="22"/>
  <c r="I114" i="22"/>
  <c r="J114" i="22"/>
  <c r="L114" i="22" s="1"/>
  <c r="K114" i="22"/>
  <c r="H115" i="22"/>
  <c r="I115" i="22"/>
  <c r="J115" i="22"/>
  <c r="K115" i="22"/>
  <c r="H116" i="22"/>
  <c r="I116" i="22"/>
  <c r="J116" i="22"/>
  <c r="K116" i="22"/>
  <c r="L116" i="22"/>
  <c r="H117" i="22"/>
  <c r="I117" i="22"/>
  <c r="J117" i="22"/>
  <c r="K117" i="22"/>
  <c r="H118" i="22"/>
  <c r="I118" i="22"/>
  <c r="J118" i="22"/>
  <c r="K118" i="22"/>
  <c r="H119" i="22"/>
  <c r="L119" i="22" s="1"/>
  <c r="I119" i="22"/>
  <c r="J119" i="22"/>
  <c r="K119" i="22"/>
  <c r="H120" i="22"/>
  <c r="I120" i="22"/>
  <c r="J120" i="22"/>
  <c r="K120" i="22"/>
  <c r="H121" i="22"/>
  <c r="L121" i="22" s="1"/>
  <c r="I121" i="22"/>
  <c r="J121" i="22"/>
  <c r="K121" i="22"/>
  <c r="H122" i="22"/>
  <c r="I122" i="22"/>
  <c r="J122" i="22"/>
  <c r="K122" i="22"/>
  <c r="H123" i="22"/>
  <c r="I123" i="22"/>
  <c r="J123" i="22"/>
  <c r="K123" i="22"/>
  <c r="L123" i="22"/>
  <c r="H124" i="22"/>
  <c r="I124" i="22"/>
  <c r="K124" i="22"/>
  <c r="L124" i="22"/>
  <c r="H125" i="22"/>
  <c r="I125" i="22"/>
  <c r="J125" i="22"/>
  <c r="K125" i="22"/>
  <c r="H126" i="22"/>
  <c r="I126" i="22"/>
  <c r="J126" i="22"/>
  <c r="K126" i="22"/>
  <c r="L126" i="22"/>
  <c r="H127" i="22"/>
  <c r="L127" i="22" s="1"/>
  <c r="I127" i="22"/>
  <c r="J127" i="22"/>
  <c r="K127" i="22"/>
  <c r="H128" i="22"/>
  <c r="I128" i="22"/>
  <c r="J128" i="22"/>
  <c r="K128" i="22"/>
  <c r="L128" i="22" s="1"/>
  <c r="H129" i="22"/>
  <c r="I129" i="22"/>
  <c r="J129" i="22"/>
  <c r="K129" i="22"/>
  <c r="L129" i="22"/>
  <c r="B131" i="22"/>
  <c r="C131" i="22"/>
  <c r="D131" i="22"/>
  <c r="E131" i="22"/>
  <c r="F131" i="22"/>
  <c r="F135" i="22" s="1"/>
  <c r="G131" i="22"/>
  <c r="G135" i="22" s="1"/>
  <c r="B135" i="22"/>
  <c r="C135" i="22"/>
  <c r="D135" i="22"/>
  <c r="E135" i="22"/>
  <c r="A2" i="2"/>
  <c r="O122" i="3" l="1"/>
  <c r="S67" i="3"/>
  <c r="H42" i="19"/>
  <c r="C41" i="19"/>
  <c r="B59" i="3"/>
  <c r="AW60" i="1"/>
  <c r="G60" i="1" s="1"/>
  <c r="L16" i="22"/>
  <c r="L45" i="22"/>
  <c r="F12" i="7"/>
  <c r="S119" i="4"/>
  <c r="X127" i="1"/>
  <c r="B21" i="17"/>
  <c r="D41" i="18" s="1"/>
  <c r="W127" i="1"/>
  <c r="B20" i="17"/>
  <c r="D37" i="18" s="1"/>
  <c r="AW90" i="1"/>
  <c r="G90" i="1" s="1"/>
  <c r="Q23" i="8"/>
  <c r="V127" i="1"/>
  <c r="B19" i="17"/>
  <c r="D34" i="18" s="1"/>
  <c r="AW17" i="1"/>
  <c r="G17" i="1" s="1"/>
  <c r="J17" i="1" s="1"/>
  <c r="U127" i="1"/>
  <c r="B18" i="17"/>
  <c r="D31" i="18" s="1"/>
  <c r="L137" i="22"/>
  <c r="L118" i="22"/>
  <c r="T127" i="1"/>
  <c r="T132" i="1" s="1"/>
  <c r="B17" i="17"/>
  <c r="D28" i="18" s="1"/>
  <c r="S127" i="1"/>
  <c r="S132" i="1" s="1"/>
  <c r="B16" i="17"/>
  <c r="D27" i="18" s="1"/>
  <c r="J41" i="20"/>
  <c r="D90" i="20"/>
  <c r="F16" i="7"/>
  <c r="S45" i="4"/>
  <c r="X132" i="1"/>
  <c r="C38" i="19"/>
  <c r="N126" i="1"/>
  <c r="B11" i="17"/>
  <c r="D9" i="18" s="1"/>
  <c r="N127" i="1"/>
  <c r="L55" i="22"/>
  <c r="L40" i="22"/>
  <c r="F30" i="7"/>
  <c r="S79" i="3"/>
  <c r="AW61" i="1"/>
  <c r="G61" i="1" s="1"/>
  <c r="J61" i="1" s="1"/>
  <c r="L83" i="22"/>
  <c r="J16" i="1"/>
  <c r="AW35" i="1"/>
  <c r="G35" i="1" s="1"/>
  <c r="J35" i="1" s="1"/>
  <c r="B34" i="3"/>
  <c r="S34" i="3" s="1"/>
  <c r="B56" i="3"/>
  <c r="S56" i="3" s="1"/>
  <c r="AW57" i="1"/>
  <c r="G57" i="1" s="1"/>
  <c r="J57" i="1" s="1"/>
  <c r="L15" i="22"/>
  <c r="B10" i="21"/>
  <c r="B2" i="21"/>
  <c r="B103" i="3"/>
  <c r="S103" i="3" s="1"/>
  <c r="AW104" i="1"/>
  <c r="G104" i="1" s="1"/>
  <c r="J104" i="1" s="1"/>
  <c r="S113" i="4"/>
  <c r="B29" i="3"/>
  <c r="S29" i="3" s="1"/>
  <c r="AW30" i="1"/>
  <c r="G30" i="1" s="1"/>
  <c r="J30" i="1" s="1"/>
  <c r="N27" i="17"/>
  <c r="T15" i="8"/>
  <c r="S109" i="3"/>
  <c r="S56" i="4"/>
  <c r="S108" i="4"/>
  <c r="S78" i="4"/>
  <c r="L60" i="22"/>
  <c r="P132" i="1"/>
  <c r="T10" i="8"/>
  <c r="S58" i="4"/>
  <c r="AW31" i="1"/>
  <c r="G31" i="1" s="1"/>
  <c r="J31" i="1" s="1"/>
  <c r="F31" i="7"/>
  <c r="C29" i="19"/>
  <c r="S90" i="3"/>
  <c r="C28" i="19"/>
  <c r="F28" i="19" s="1"/>
  <c r="G30" i="3"/>
  <c r="S68" i="3"/>
  <c r="S67" i="4"/>
  <c r="L104" i="22"/>
  <c r="C27" i="19"/>
  <c r="S43" i="4"/>
  <c r="S31" i="3"/>
  <c r="G88" i="3"/>
  <c r="AW89" i="1"/>
  <c r="G89" i="1" s="1"/>
  <c r="J89" i="1" s="1"/>
  <c r="J42" i="20"/>
  <c r="D91" i="20"/>
  <c r="S63" i="4"/>
  <c r="L59" i="22"/>
  <c r="F18" i="7"/>
  <c r="AW114" i="1"/>
  <c r="G114" i="1" s="1"/>
  <c r="J114" i="1" s="1"/>
  <c r="E113" i="3"/>
  <c r="S113" i="3" s="1"/>
  <c r="E29" i="19"/>
  <c r="F29" i="19" s="1"/>
  <c r="E30" i="19"/>
  <c r="E31" i="19"/>
  <c r="E32" i="19"/>
  <c r="P127" i="1"/>
  <c r="B13" i="17"/>
  <c r="D19" i="18" s="1"/>
  <c r="J40" i="20"/>
  <c r="S64" i="3"/>
  <c r="AC127" i="1"/>
  <c r="AC126" i="1"/>
  <c r="AC132" i="1" s="1"/>
  <c r="B26" i="17"/>
  <c r="D55" i="18" s="1"/>
  <c r="L97" i="22"/>
  <c r="J34" i="20"/>
  <c r="D82" i="20"/>
  <c r="L111" i="22"/>
  <c r="B15" i="3"/>
  <c r="AW16" i="1"/>
  <c r="G16" i="1" s="1"/>
  <c r="C40" i="19"/>
  <c r="J35" i="20"/>
  <c r="S50" i="3"/>
  <c r="E38" i="19"/>
  <c r="R127" i="1"/>
  <c r="R132" i="1" s="1"/>
  <c r="B15" i="17"/>
  <c r="D26" i="18" s="1"/>
  <c r="J90" i="1"/>
  <c r="S13" i="4"/>
  <c r="S106" i="4"/>
  <c r="G63" i="3"/>
  <c r="S63" i="3" s="1"/>
  <c r="AW64" i="1"/>
  <c r="G64" i="1" s="1"/>
  <c r="L37" i="22"/>
  <c r="C34" i="19"/>
  <c r="C30" i="19"/>
  <c r="F30" i="19" s="1"/>
  <c r="C31" i="19"/>
  <c r="F31" i="19" s="1"/>
  <c r="C32" i="19"/>
  <c r="F32" i="19" s="1"/>
  <c r="C33" i="19"/>
  <c r="C36" i="19"/>
  <c r="W132" i="1"/>
  <c r="H35" i="20"/>
  <c r="E34" i="7"/>
  <c r="C11" i="12" s="1"/>
  <c r="AB126" i="1"/>
  <c r="AB128" i="1"/>
  <c r="AB133" i="1" s="1"/>
  <c r="AA127" i="1"/>
  <c r="AA126" i="1"/>
  <c r="AA132" i="1" s="1"/>
  <c r="B24" i="17"/>
  <c r="D50" i="18" s="1"/>
  <c r="S23" i="8"/>
  <c r="B14" i="17"/>
  <c r="Q127" i="1"/>
  <c r="Q132" i="1" s="1"/>
  <c r="S22" i="3"/>
  <c r="L117" i="22"/>
  <c r="V92" i="10"/>
  <c r="L23" i="22"/>
  <c r="E25" i="19"/>
  <c r="S117" i="4"/>
  <c r="S109" i="4"/>
  <c r="J42" i="19"/>
  <c r="L22" i="22"/>
  <c r="C25" i="19"/>
  <c r="F25" i="19" s="1"/>
  <c r="AW111" i="1"/>
  <c r="G111" i="1" s="1"/>
  <c r="L54" i="22"/>
  <c r="L68" i="22"/>
  <c r="AW117" i="1"/>
  <c r="G117" i="1" s="1"/>
  <c r="L20" i="22"/>
  <c r="S57" i="4"/>
  <c r="L82" i="22"/>
  <c r="S46" i="4"/>
  <c r="H26" i="20"/>
  <c r="C45" i="20"/>
  <c r="S68" i="4"/>
  <c r="L33" i="22"/>
  <c r="I124" i="1"/>
  <c r="I126" i="1" s="1"/>
  <c r="I25" i="17" s="1"/>
  <c r="H124" i="1"/>
  <c r="H126" i="1" s="1"/>
  <c r="L47" i="22"/>
  <c r="J14" i="1"/>
  <c r="L108" i="22"/>
  <c r="L61" i="22"/>
  <c r="H40" i="20"/>
  <c r="AW36" i="1"/>
  <c r="G36" i="1" s="1"/>
  <c r="J36" i="1" s="1"/>
  <c r="S86" i="4"/>
  <c r="J116" i="1"/>
  <c r="L80" i="22"/>
  <c r="G58" i="18"/>
  <c r="T18" i="8"/>
  <c r="B41" i="6"/>
  <c r="D124" i="1"/>
  <c r="D126" i="1" s="1"/>
  <c r="T92" i="10"/>
  <c r="AW118" i="1"/>
  <c r="G118" i="1" s="1"/>
  <c r="B117" i="3"/>
  <c r="S117" i="3" s="1"/>
  <c r="D75" i="20"/>
  <c r="J28" i="20"/>
  <c r="S30" i="3"/>
  <c r="L35" i="3"/>
  <c r="L122" i="3" s="1"/>
  <c r="K42" i="19"/>
  <c r="S59" i="3"/>
  <c r="S15" i="4"/>
  <c r="L30" i="22"/>
  <c r="S74" i="4"/>
  <c r="L58" i="22"/>
  <c r="AW39" i="1"/>
  <c r="G39" i="1" s="1"/>
  <c r="J39" i="1" s="1"/>
  <c r="B38" i="3"/>
  <c r="S38" i="3" s="1"/>
  <c r="AW50" i="1"/>
  <c r="G50" i="1" s="1"/>
  <c r="J50" i="1" s="1"/>
  <c r="B49" i="3"/>
  <c r="S49" i="3" s="1"/>
  <c r="AW28" i="1"/>
  <c r="G28" i="1" s="1"/>
  <c r="J28" i="1" s="1"/>
  <c r="L71" i="22"/>
  <c r="S51" i="3"/>
  <c r="J106" i="3"/>
  <c r="J122" i="3" s="1"/>
  <c r="AW107" i="1"/>
  <c r="G107" i="1" s="1"/>
  <c r="J107" i="1" s="1"/>
  <c r="C34" i="7"/>
  <c r="S19" i="4"/>
  <c r="N123" i="4"/>
  <c r="B40" i="6" s="1"/>
  <c r="G40" i="6" s="1"/>
  <c r="AW66" i="1"/>
  <c r="G66" i="1" s="1"/>
  <c r="J66" i="1" s="1"/>
  <c r="H65" i="3"/>
  <c r="S65" i="3" s="1"/>
  <c r="L88" i="22"/>
  <c r="J97" i="1"/>
  <c r="K40" i="3"/>
  <c r="S40" i="3" s="1"/>
  <c r="AW41" i="1"/>
  <c r="G41" i="1" s="1"/>
  <c r="J41" i="1" s="1"/>
  <c r="B76" i="3"/>
  <c r="S76" i="3" s="1"/>
  <c r="AW77" i="1"/>
  <c r="G77" i="1" s="1"/>
  <c r="J77" i="1" s="1"/>
  <c r="S92" i="10"/>
  <c r="S22" i="4"/>
  <c r="E124" i="1"/>
  <c r="E126" i="1" s="1"/>
  <c r="D72" i="20"/>
  <c r="J26" i="20"/>
  <c r="L31" i="22"/>
  <c r="L73" i="22"/>
  <c r="S16" i="3"/>
  <c r="O25" i="9"/>
  <c r="Q23" i="9" s="1"/>
  <c r="B52" i="6"/>
  <c r="S52" i="4"/>
  <c r="L115" i="22"/>
  <c r="D102" i="20"/>
  <c r="J50" i="20"/>
  <c r="S42" i="3"/>
  <c r="Q105" i="3"/>
  <c r="S105" i="3" s="1"/>
  <c r="AW106" i="1"/>
  <c r="G106" i="1" s="1"/>
  <c r="J106" i="1" s="1"/>
  <c r="J82" i="1"/>
  <c r="S27" i="3"/>
  <c r="O112" i="17"/>
  <c r="O109" i="17"/>
  <c r="O107" i="17"/>
  <c r="O108" i="17"/>
  <c r="S30" i="4"/>
  <c r="F54" i="3"/>
  <c r="S54" i="3" s="1"/>
  <c r="AW55" i="1"/>
  <c r="G55" i="1" s="1"/>
  <c r="J55" i="1" s="1"/>
  <c r="AW71" i="1"/>
  <c r="G71" i="1" s="1"/>
  <c r="J71" i="1" s="1"/>
  <c r="K70" i="3"/>
  <c r="S70" i="3" s="1"/>
  <c r="AW112" i="1"/>
  <c r="G112" i="1" s="1"/>
  <c r="J112" i="1" s="1"/>
  <c r="S102" i="3"/>
  <c r="S116" i="3"/>
  <c r="S35" i="3"/>
  <c r="J18" i="1"/>
  <c r="F124" i="1"/>
  <c r="F126" i="1" s="1"/>
  <c r="L25" i="9"/>
  <c r="S41" i="4"/>
  <c r="S26" i="4"/>
  <c r="L26" i="22"/>
  <c r="J118" i="1"/>
  <c r="Q13" i="9"/>
  <c r="S111" i="3"/>
  <c r="T9" i="8"/>
  <c r="Q11" i="9"/>
  <c r="S77" i="3"/>
  <c r="S81" i="4"/>
  <c r="S48" i="4"/>
  <c r="S62" i="3"/>
  <c r="K123" i="4"/>
  <c r="B34" i="6" s="1"/>
  <c r="G34" i="6" s="1"/>
  <c r="S83" i="3"/>
  <c r="S85" i="4"/>
  <c r="AW74" i="1"/>
  <c r="G74" i="1" s="1"/>
  <c r="J74" i="1" s="1"/>
  <c r="S70" i="4"/>
  <c r="AW84" i="1"/>
  <c r="G84" i="1" s="1"/>
  <c r="J84" i="1" s="1"/>
  <c r="B81" i="3"/>
  <c r="S81" i="3" s="1"/>
  <c r="AW82" i="1"/>
  <c r="G82" i="1" s="1"/>
  <c r="S32" i="3"/>
  <c r="T31" i="19"/>
  <c r="S107" i="4"/>
  <c r="B108" i="3"/>
  <c r="S108" i="3" s="1"/>
  <c r="AW109" i="1"/>
  <c r="G109" i="1" s="1"/>
  <c r="N122" i="3"/>
  <c r="S118" i="4"/>
  <c r="S92" i="4"/>
  <c r="L67" i="22"/>
  <c r="S119" i="3"/>
  <c r="L52" i="22"/>
  <c r="S55" i="4"/>
  <c r="S52" i="3"/>
  <c r="S33" i="4"/>
  <c r="S96" i="4"/>
  <c r="B94" i="3"/>
  <c r="S94" i="3" s="1"/>
  <c r="AW95" i="1"/>
  <c r="G95" i="1" s="1"/>
  <c r="J95" i="1" s="1"/>
  <c r="AW49" i="1"/>
  <c r="G49" i="1" s="1"/>
  <c r="J49" i="1" s="1"/>
  <c r="B48" i="3"/>
  <c r="S48" i="3" s="1"/>
  <c r="H51" i="20"/>
  <c r="D20" i="18"/>
  <c r="S99" i="4"/>
  <c r="AV124" i="1"/>
  <c r="L36" i="22"/>
  <c r="L65" i="22"/>
  <c r="S110" i="4"/>
  <c r="AW19" i="1"/>
  <c r="G19" i="1" s="1"/>
  <c r="J19" i="1" s="1"/>
  <c r="AT124" i="1"/>
  <c r="P12" i="3"/>
  <c r="P122" i="3" s="1"/>
  <c r="L50" i="22"/>
  <c r="S121" i="4"/>
  <c r="AW21" i="1"/>
  <c r="G21" i="1" s="1"/>
  <c r="J21" i="1" s="1"/>
  <c r="AR124" i="1"/>
  <c r="L122" i="22"/>
  <c r="AW92" i="1"/>
  <c r="G92" i="1" s="1"/>
  <c r="J92" i="1" s="1"/>
  <c r="B91" i="3"/>
  <c r="S91" i="3" s="1"/>
  <c r="B73" i="3"/>
  <c r="S73" i="3" s="1"/>
  <c r="AW94" i="1"/>
  <c r="G94" i="1" s="1"/>
  <c r="J94" i="1" s="1"/>
  <c r="B89" i="3"/>
  <c r="S89" i="3" s="1"/>
  <c r="J103" i="1"/>
  <c r="AW102" i="1"/>
  <c r="G102" i="1" s="1"/>
  <c r="J102" i="1" s="1"/>
  <c r="B99" i="3"/>
  <c r="S99" i="3" s="1"/>
  <c r="AW100" i="1"/>
  <c r="G100" i="1" s="1"/>
  <c r="J100" i="1" s="1"/>
  <c r="J65" i="1"/>
  <c r="M123" i="4"/>
  <c r="B38" i="6" s="1"/>
  <c r="G38" i="6" s="1"/>
  <c r="G8" i="21"/>
  <c r="B18" i="3"/>
  <c r="S18" i="3" s="1"/>
  <c r="B43" i="3"/>
  <c r="S43" i="3" s="1"/>
  <c r="AW44" i="1"/>
  <c r="G44" i="1" s="1"/>
  <c r="J44" i="1" s="1"/>
  <c r="S103" i="4"/>
  <c r="K45" i="3"/>
  <c r="S45" i="3" s="1"/>
  <c r="AW46" i="1"/>
  <c r="G46" i="1" s="1"/>
  <c r="J46" i="1" s="1"/>
  <c r="S74" i="3"/>
  <c r="H118" i="3"/>
  <c r="S118" i="3" s="1"/>
  <c r="AW119" i="1"/>
  <c r="G119" i="1" s="1"/>
  <c r="J119" i="1" s="1"/>
  <c r="C23" i="8"/>
  <c r="B121" i="3"/>
  <c r="S121" i="3" s="1"/>
  <c r="AW122" i="1"/>
  <c r="G122" i="1" s="1"/>
  <c r="J122" i="1" s="1"/>
  <c r="R14" i="8"/>
  <c r="T14" i="8" s="1"/>
  <c r="D23" i="8"/>
  <c r="B96" i="3"/>
  <c r="S96" i="3" s="1"/>
  <c r="AW97" i="1"/>
  <c r="G97" i="1" s="1"/>
  <c r="S114" i="4"/>
  <c r="S75" i="3"/>
  <c r="S95" i="3"/>
  <c r="S37" i="3"/>
  <c r="S80" i="3"/>
  <c r="S66" i="4"/>
  <c r="AW79" i="1"/>
  <c r="G79" i="1" s="1"/>
  <c r="J79" i="1" s="1"/>
  <c r="B78" i="3"/>
  <c r="S78" i="3" s="1"/>
  <c r="J131" i="22"/>
  <c r="J135" i="22" s="1"/>
  <c r="D104" i="20"/>
  <c r="J52" i="20"/>
  <c r="J108" i="1"/>
  <c r="AW105" i="1"/>
  <c r="G105" i="1" s="1"/>
  <c r="J105" i="1" s="1"/>
  <c r="B104" i="3"/>
  <c r="S104" i="3" s="1"/>
  <c r="T25" i="9"/>
  <c r="T36" i="19"/>
  <c r="S17" i="3"/>
  <c r="L123" i="4"/>
  <c r="B36" i="6" s="1"/>
  <c r="G36" i="6" s="1"/>
  <c r="S59" i="4"/>
  <c r="L96" i="22"/>
  <c r="B86" i="3"/>
  <c r="S86" i="3" s="1"/>
  <c r="AW87" i="1"/>
  <c r="G87" i="1" s="1"/>
  <c r="J87" i="1" s="1"/>
  <c r="S84" i="4"/>
  <c r="S20" i="3"/>
  <c r="M60" i="20"/>
  <c r="I131" i="22"/>
  <c r="I135" i="22" s="1"/>
  <c r="L17" i="22"/>
  <c r="H131" i="22"/>
  <c r="H135" i="22" s="1"/>
  <c r="D103" i="20"/>
  <c r="J51" i="20"/>
  <c r="S42" i="4"/>
  <c r="S24" i="3"/>
  <c r="AW70" i="1"/>
  <c r="G70" i="1" s="1"/>
  <c r="J70" i="1" s="1"/>
  <c r="B69" i="3"/>
  <c r="S69" i="3" s="1"/>
  <c r="AW91" i="1"/>
  <c r="G91" i="1" s="1"/>
  <c r="J91" i="1" s="1"/>
  <c r="L109" i="22"/>
  <c r="E36" i="19"/>
  <c r="B12" i="17"/>
  <c r="O126" i="1"/>
  <c r="O132" i="1" s="1"/>
  <c r="S88" i="3"/>
  <c r="J27" i="1"/>
  <c r="H21" i="20"/>
  <c r="D71" i="20"/>
  <c r="AW110" i="1"/>
  <c r="G110" i="1" s="1"/>
  <c r="J110" i="1" s="1"/>
  <c r="AW32" i="1"/>
  <c r="G32" i="1" s="1"/>
  <c r="J32" i="1" s="1"/>
  <c r="C23" i="3"/>
  <c r="S23" i="3" s="1"/>
  <c r="AW24" i="1"/>
  <c r="G24" i="1" s="1"/>
  <c r="J24" i="1" s="1"/>
  <c r="M126" i="1"/>
  <c r="M132" i="1" s="1"/>
  <c r="B10" i="17"/>
  <c r="B39" i="3"/>
  <c r="S39" i="3" s="1"/>
  <c r="AW40" i="1"/>
  <c r="G40" i="1" s="1"/>
  <c r="J40" i="1" s="1"/>
  <c r="AW115" i="1"/>
  <c r="G115" i="1" s="1"/>
  <c r="J115" i="1" s="1"/>
  <c r="B114" i="3"/>
  <c r="S114" i="3" s="1"/>
  <c r="AW96" i="1"/>
  <c r="G96" i="1" s="1"/>
  <c r="J96" i="1" s="1"/>
  <c r="G28" i="3"/>
  <c r="AW29" i="1"/>
  <c r="G29" i="1" s="1"/>
  <c r="J29" i="1" s="1"/>
  <c r="S20" i="4"/>
  <c r="AH124" i="1"/>
  <c r="K131" i="22"/>
  <c r="K135" i="22" s="1"/>
  <c r="S97" i="4"/>
  <c r="S49" i="4"/>
  <c r="I122" i="3"/>
  <c r="S93" i="3"/>
  <c r="AG124" i="1"/>
  <c r="C12" i="3"/>
  <c r="S53" i="4"/>
  <c r="AW13" i="1"/>
  <c r="AF124" i="1"/>
  <c r="B36" i="3"/>
  <c r="S36" i="3" s="1"/>
  <c r="AW37" i="1"/>
  <c r="G37" i="1" s="1"/>
  <c r="J37" i="1" s="1"/>
  <c r="AD124" i="1"/>
  <c r="S27" i="4"/>
  <c r="S61" i="3"/>
  <c r="E39" i="19"/>
  <c r="E37" i="19"/>
  <c r="E27" i="19"/>
  <c r="F27" i="19" s="1"/>
  <c r="E33" i="19"/>
  <c r="E28" i="19"/>
  <c r="E40" i="19"/>
  <c r="E34" i="19"/>
  <c r="S60" i="4"/>
  <c r="AW99" i="1"/>
  <c r="G99" i="1" s="1"/>
  <c r="J99" i="1" s="1"/>
  <c r="B98" i="3"/>
  <c r="S98" i="3" s="1"/>
  <c r="M14" i="3"/>
  <c r="AQ124" i="1"/>
  <c r="M122" i="3"/>
  <c r="S100" i="3"/>
  <c r="AP124" i="1"/>
  <c r="L14" i="3"/>
  <c r="AW120" i="1"/>
  <c r="G120" i="1" s="1"/>
  <c r="J120" i="1" s="1"/>
  <c r="B25" i="3"/>
  <c r="S25" i="3" s="1"/>
  <c r="AW26" i="1"/>
  <c r="G26" i="1" s="1"/>
  <c r="J26" i="1" s="1"/>
  <c r="AW18" i="1"/>
  <c r="G18" i="1" s="1"/>
  <c r="S115" i="4"/>
  <c r="S93" i="4"/>
  <c r="O123" i="4"/>
  <c r="B42" i="6" s="1"/>
  <c r="G42" i="6" s="1"/>
  <c r="S101" i="3"/>
  <c r="S64" i="4"/>
  <c r="B44" i="3"/>
  <c r="S44" i="3" s="1"/>
  <c r="AW45" i="1"/>
  <c r="G45" i="1" s="1"/>
  <c r="J45" i="1" s="1"/>
  <c r="C4" i="21"/>
  <c r="S16" i="4"/>
  <c r="S122" i="4"/>
  <c r="S100" i="4"/>
  <c r="S34" i="4"/>
  <c r="S23" i="4"/>
  <c r="S97" i="3"/>
  <c r="J75" i="1"/>
  <c r="J64" i="1"/>
  <c r="D123" i="4"/>
  <c r="B20" i="6" s="1"/>
  <c r="G20" i="6" s="1"/>
  <c r="S85" i="3"/>
  <c r="E35" i="19"/>
  <c r="S104" i="4"/>
  <c r="S38" i="4"/>
  <c r="S112" i="3"/>
  <c r="D12" i="3"/>
  <c r="D122" i="3" s="1"/>
  <c r="E26" i="19"/>
  <c r="F26" i="19" s="1"/>
  <c r="S82" i="4"/>
  <c r="E41" i="19"/>
  <c r="F41" i="19" s="1"/>
  <c r="S111" i="4"/>
  <c r="F20" i="7"/>
  <c r="S75" i="4"/>
  <c r="B126" i="1"/>
  <c r="B29" i="17" s="1"/>
  <c r="L120" i="22"/>
  <c r="C123" i="4"/>
  <c r="B18" i="6" s="1"/>
  <c r="G18" i="6" s="1"/>
  <c r="S71" i="4"/>
  <c r="S89" i="4"/>
  <c r="AW23" i="1"/>
  <c r="G23" i="1" s="1"/>
  <c r="J23" i="1" s="1"/>
  <c r="S14" i="4"/>
  <c r="B123" i="4"/>
  <c r="AW88" i="1"/>
  <c r="G88" i="1" s="1"/>
  <c r="B87" i="3"/>
  <c r="S87" i="3" s="1"/>
  <c r="C15" i="11"/>
  <c r="B51" i="6"/>
  <c r="G51" i="6" s="1"/>
  <c r="C14" i="11"/>
  <c r="B50" i="6"/>
  <c r="G50" i="6" s="1"/>
  <c r="D95" i="20"/>
  <c r="R123" i="4"/>
  <c r="B48" i="6" s="1"/>
  <c r="G48" i="6" s="1"/>
  <c r="Q123" i="4"/>
  <c r="B46" i="6" s="1"/>
  <c r="G46" i="6" s="1"/>
  <c r="J101" i="1"/>
  <c r="B58" i="3"/>
  <c r="S58" i="3" s="1"/>
  <c r="AW59" i="1"/>
  <c r="G59" i="1" s="1"/>
  <c r="J59" i="1" s="1"/>
  <c r="AW62" i="1"/>
  <c r="G62" i="1" s="1"/>
  <c r="J62" i="1" s="1"/>
  <c r="E52" i="21"/>
  <c r="G52" i="21" s="1"/>
  <c r="E54" i="21"/>
  <c r="S17" i="4"/>
  <c r="AN124" i="1"/>
  <c r="AM124" i="1"/>
  <c r="J88" i="1"/>
  <c r="AK124" i="1"/>
  <c r="G13" i="3"/>
  <c r="G122" i="3" s="1"/>
  <c r="J123" i="4"/>
  <c r="B32" i="6" s="1"/>
  <c r="G32" i="6" s="1"/>
  <c r="V132" i="1"/>
  <c r="AL124" i="1"/>
  <c r="J111" i="1"/>
  <c r="AW103" i="1"/>
  <c r="G103" i="1" s="1"/>
  <c r="AW43" i="1"/>
  <c r="G43" i="1" s="1"/>
  <c r="J43" i="1" s="1"/>
  <c r="AJ124" i="1"/>
  <c r="F13" i="3"/>
  <c r="F122" i="3" s="1"/>
  <c r="B66" i="3"/>
  <c r="S66" i="3" s="1"/>
  <c r="AW67" i="1"/>
  <c r="G67" i="1" s="1"/>
  <c r="J67" i="1" s="1"/>
  <c r="S32" i="4"/>
  <c r="S24" i="4"/>
  <c r="AI124" i="1"/>
  <c r="E13" i="3"/>
  <c r="E122" i="3" s="1"/>
  <c r="I123" i="4"/>
  <c r="B30" i="6" s="1"/>
  <c r="G30" i="6" s="1"/>
  <c r="S21" i="4"/>
  <c r="C16" i="12"/>
  <c r="S50" i="4"/>
  <c r="AW121" i="1"/>
  <c r="G121" i="1" s="1"/>
  <c r="J121" i="1" s="1"/>
  <c r="B84" i="3"/>
  <c r="S84" i="3" s="1"/>
  <c r="AW85" i="1"/>
  <c r="G85" i="1" s="1"/>
  <c r="J85" i="1" s="1"/>
  <c r="P123" i="4"/>
  <c r="B44" i="6" s="1"/>
  <c r="G44" i="6" s="1"/>
  <c r="AW80" i="1"/>
  <c r="G80" i="1" s="1"/>
  <c r="J80" i="1" s="1"/>
  <c r="J25" i="1"/>
  <c r="S61" i="4"/>
  <c r="S39" i="4"/>
  <c r="B107" i="3"/>
  <c r="S107" i="3" s="1"/>
  <c r="AW108" i="1"/>
  <c r="G108" i="1" s="1"/>
  <c r="AW75" i="1"/>
  <c r="G75" i="1" s="1"/>
  <c r="S72" i="4"/>
  <c r="S28" i="4"/>
  <c r="AW27" i="1"/>
  <c r="G27" i="1" s="1"/>
  <c r="AW83" i="1"/>
  <c r="G83" i="1" s="1"/>
  <c r="J83" i="1" s="1"/>
  <c r="B82" i="3"/>
  <c r="S82" i="3" s="1"/>
  <c r="C17" i="12"/>
  <c r="D94" i="20"/>
  <c r="H21" i="19"/>
  <c r="B53" i="3"/>
  <c r="S53" i="3" s="1"/>
  <c r="AW54" i="1"/>
  <c r="G54" i="1" s="1"/>
  <c r="J54" i="1" s="1"/>
  <c r="J51" i="1"/>
  <c r="AW33" i="1"/>
  <c r="G33" i="1" s="1"/>
  <c r="U132" i="1"/>
  <c r="B71" i="3"/>
  <c r="S71" i="3" s="1"/>
  <c r="AW72" i="1"/>
  <c r="G72" i="1" s="1"/>
  <c r="J72" i="1" s="1"/>
  <c r="H54" i="20"/>
  <c r="S79" i="4"/>
  <c r="S35" i="4"/>
  <c r="E123" i="4"/>
  <c r="B22" i="6" s="1"/>
  <c r="G22" i="6" s="1"/>
  <c r="AW113" i="1"/>
  <c r="G113" i="1" s="1"/>
  <c r="J113" i="1" s="1"/>
  <c r="B47" i="3"/>
  <c r="S47" i="3" s="1"/>
  <c r="AW48" i="1"/>
  <c r="G48" i="1" s="1"/>
  <c r="J48" i="1" s="1"/>
  <c r="J22" i="1"/>
  <c r="C39" i="19"/>
  <c r="C35" i="19"/>
  <c r="F35" i="19" s="1"/>
  <c r="S73" i="4"/>
  <c r="S19" i="3"/>
  <c r="J63" i="1"/>
  <c r="S91" i="4"/>
  <c r="J117" i="1"/>
  <c r="AW42" i="1"/>
  <c r="G42" i="1" s="1"/>
  <c r="J42" i="1" s="1"/>
  <c r="AU124" i="1"/>
  <c r="J76" i="1"/>
  <c r="J68" i="1"/>
  <c r="L112" i="22"/>
  <c r="AS124" i="1"/>
  <c r="J109" i="1"/>
  <c r="S28" i="3"/>
  <c r="AO124" i="1"/>
  <c r="L125" i="22"/>
  <c r="AW73" i="1"/>
  <c r="S15" i="3"/>
  <c r="J81" i="1"/>
  <c r="AW52" i="1"/>
  <c r="G52" i="1" s="1"/>
  <c r="J52" i="1" s="1"/>
  <c r="B72" i="3"/>
  <c r="S72" i="3" s="1"/>
  <c r="S13" i="3"/>
  <c r="O111" i="17"/>
  <c r="L60" i="20"/>
  <c r="S25" i="4"/>
  <c r="J60" i="1"/>
  <c r="B33" i="3"/>
  <c r="S33" i="3" s="1"/>
  <c r="AW34" i="1"/>
  <c r="G34" i="1" s="1"/>
  <c r="J34" i="1" s="1"/>
  <c r="AW47" i="1"/>
  <c r="G47" i="1" s="1"/>
  <c r="J47" i="1" s="1"/>
  <c r="B46" i="3"/>
  <c r="S46" i="3" s="1"/>
  <c r="S80" i="4"/>
  <c r="L41" i="22"/>
  <c r="S54" i="4"/>
  <c r="S57" i="3"/>
  <c r="R12" i="3"/>
  <c r="R122" i="3" s="1"/>
  <c r="J86" i="1"/>
  <c r="AW78" i="1"/>
  <c r="G78" i="1" s="1"/>
  <c r="J78" i="1" s="1"/>
  <c r="L70" i="22"/>
  <c r="L28" i="22"/>
  <c r="C37" i="19"/>
  <c r="G44" i="20"/>
  <c r="H44" i="20" s="1"/>
  <c r="G54" i="20"/>
  <c r="G51" i="20"/>
  <c r="G45" i="20"/>
  <c r="G25" i="20"/>
  <c r="G41" i="20"/>
  <c r="H41" i="20" s="1"/>
  <c r="Q12" i="3"/>
  <c r="B92" i="3"/>
  <c r="S92" i="3" s="1"/>
  <c r="AW93" i="1"/>
  <c r="G93" i="1" s="1"/>
  <c r="J93" i="1" s="1"/>
  <c r="L13" i="22"/>
  <c r="AW98" i="1"/>
  <c r="G98" i="1" s="1"/>
  <c r="J98" i="1" s="1"/>
  <c r="J56" i="1"/>
  <c r="AW38" i="1"/>
  <c r="G38" i="1" s="1"/>
  <c r="J38" i="1" s="1"/>
  <c r="L99" i="22"/>
  <c r="L86" i="22"/>
  <c r="S116" i="4"/>
  <c r="S37" i="4"/>
  <c r="AW63" i="1"/>
  <c r="G63" i="1" s="1"/>
  <c r="AW15" i="1"/>
  <c r="G15" i="1" s="1"/>
  <c r="J15" i="1" s="1"/>
  <c r="B14" i="3"/>
  <c r="S69" i="4"/>
  <c r="S112" i="4"/>
  <c r="AW20" i="1"/>
  <c r="G20" i="1" s="1"/>
  <c r="J20" i="1" s="1"/>
  <c r="T12" i="8"/>
  <c r="AW68" i="1"/>
  <c r="G68" i="1" s="1"/>
  <c r="S105" i="4"/>
  <c r="AW58" i="1"/>
  <c r="G58" i="1" s="1"/>
  <c r="J58" i="1" s="1"/>
  <c r="AW53" i="1"/>
  <c r="G53" i="1" s="1"/>
  <c r="J53" i="1" s="1"/>
  <c r="S101" i="4"/>
  <c r="J33" i="1"/>
  <c r="S110" i="3"/>
  <c r="B25" i="17"/>
  <c r="AB127" i="1"/>
  <c r="H123" i="4"/>
  <c r="B28" i="6" s="1"/>
  <c r="G28" i="6" s="1"/>
  <c r="G123" i="4"/>
  <c r="B26" i="6" s="1"/>
  <c r="G26" i="6" s="1"/>
  <c r="F123" i="4"/>
  <c r="B24" i="6" s="1"/>
  <c r="G24" i="6" s="1"/>
  <c r="C50" i="20"/>
  <c r="H50" i="20" s="1"/>
  <c r="S123" i="4" l="1"/>
  <c r="C10" i="11" s="1"/>
  <c r="F40" i="19"/>
  <c r="I14" i="17"/>
  <c r="P107" i="17" s="1"/>
  <c r="B14" i="6"/>
  <c r="G14" i="6" s="1"/>
  <c r="F38" i="19"/>
  <c r="S12" i="3"/>
  <c r="J60" i="20"/>
  <c r="F36" i="19"/>
  <c r="AB132" i="1"/>
  <c r="F34" i="19"/>
  <c r="H45" i="20"/>
  <c r="F34" i="7"/>
  <c r="U24" i="8" s="1"/>
  <c r="F33" i="19"/>
  <c r="N132" i="1"/>
  <c r="S14" i="3"/>
  <c r="C122" i="3"/>
  <c r="R23" i="8"/>
  <c r="B21" i="6"/>
  <c r="E125" i="3"/>
  <c r="E129" i="3" s="1"/>
  <c r="B35" i="6"/>
  <c r="L125" i="3"/>
  <c r="L129" i="3" s="1"/>
  <c r="B23" i="6"/>
  <c r="F125" i="3"/>
  <c r="F129" i="3" s="1"/>
  <c r="J125" i="3"/>
  <c r="J129" i="3" s="1"/>
  <c r="B31" i="6"/>
  <c r="H99" i="20"/>
  <c r="G152" i="17" s="1"/>
  <c r="Q20" i="17"/>
  <c r="H98" i="20"/>
  <c r="H100" i="20"/>
  <c r="G151" i="17" s="1"/>
  <c r="H92" i="20"/>
  <c r="G142" i="17" s="1"/>
  <c r="Q17" i="17"/>
  <c r="H91" i="20"/>
  <c r="C12" i="11"/>
  <c r="B12" i="6"/>
  <c r="G12" i="6" s="1"/>
  <c r="H87" i="20"/>
  <c r="G137" i="17" s="1"/>
  <c r="H84" i="20"/>
  <c r="G134" i="17" s="1"/>
  <c r="H85" i="20"/>
  <c r="G135" i="17" s="1"/>
  <c r="H86" i="20"/>
  <c r="G136" i="17" s="1"/>
  <c r="Q14" i="17"/>
  <c r="H83" i="20"/>
  <c r="B122" i="3"/>
  <c r="H122" i="3"/>
  <c r="Q24" i="17"/>
  <c r="H107" i="20"/>
  <c r="G163" i="17" s="1"/>
  <c r="B25" i="6"/>
  <c r="G125" i="3"/>
  <c r="G129" i="3" s="1"/>
  <c r="T23" i="8"/>
  <c r="T25" i="8" s="1"/>
  <c r="S106" i="3"/>
  <c r="S122" i="3" s="1"/>
  <c r="O110" i="17"/>
  <c r="O113" i="17" s="1"/>
  <c r="H82" i="20"/>
  <c r="G132" i="17" s="1"/>
  <c r="Q13" i="17"/>
  <c r="H25" i="20"/>
  <c r="H60" i="20" s="1"/>
  <c r="G60" i="20"/>
  <c r="Q16" i="17"/>
  <c r="H90" i="20"/>
  <c r="G140" i="17" s="1"/>
  <c r="L131" i="22"/>
  <c r="L135" i="22" s="1"/>
  <c r="L141" i="22" s="1"/>
  <c r="H94" i="20"/>
  <c r="G144" i="17" s="1"/>
  <c r="G146" i="17" s="1"/>
  <c r="Q18" i="17"/>
  <c r="C42" i="19"/>
  <c r="K122" i="3"/>
  <c r="C11" i="11"/>
  <c r="Q19" i="9"/>
  <c r="Q20" i="9"/>
  <c r="Q8" i="9"/>
  <c r="E11" i="6"/>
  <c r="Q16" i="9"/>
  <c r="P32" i="9"/>
  <c r="Q18" i="9"/>
  <c r="Q17" i="9"/>
  <c r="B11" i="6"/>
  <c r="G11" i="6" s="1"/>
  <c r="Q21" i="9"/>
  <c r="Q14" i="9"/>
  <c r="Q22" i="9"/>
  <c r="Q12" i="9"/>
  <c r="Q10" i="9"/>
  <c r="Q24" i="9"/>
  <c r="B47" i="6"/>
  <c r="R125" i="3"/>
  <c r="R129" i="3" s="1"/>
  <c r="C6" i="11"/>
  <c r="I2" i="17"/>
  <c r="I5" i="17" s="1"/>
  <c r="B10" i="6"/>
  <c r="G10" i="6" s="1"/>
  <c r="O30" i="17" s="1"/>
  <c r="N125" i="3"/>
  <c r="N129" i="3" s="1"/>
  <c r="B39" i="6"/>
  <c r="D12" i="18"/>
  <c r="H103" i="20"/>
  <c r="G155" i="17" s="1"/>
  <c r="G159" i="17" s="1"/>
  <c r="Q22" i="17"/>
  <c r="H79" i="20"/>
  <c r="G129" i="17" s="1"/>
  <c r="H75" i="20"/>
  <c r="Q12" i="17"/>
  <c r="H78" i="20"/>
  <c r="G128" i="17" s="1"/>
  <c r="H76" i="20"/>
  <c r="G126" i="17" s="1"/>
  <c r="H77" i="20"/>
  <c r="G127" i="17" s="1"/>
  <c r="H80" i="20"/>
  <c r="G130" i="17" s="1"/>
  <c r="D8" i="18"/>
  <c r="B27" i="17"/>
  <c r="C12" i="17" s="1"/>
  <c r="F37" i="19"/>
  <c r="D115" i="20"/>
  <c r="Q9" i="9"/>
  <c r="M125" i="3"/>
  <c r="M129" i="3" s="1"/>
  <c r="B37" i="6"/>
  <c r="O125" i="3"/>
  <c r="O129" i="3" s="1"/>
  <c r="H73" i="20"/>
  <c r="G123" i="17" s="1"/>
  <c r="H72" i="20"/>
  <c r="Q11" i="17"/>
  <c r="B13" i="6"/>
  <c r="G13" i="6" s="1"/>
  <c r="B35" i="7"/>
  <c r="C10" i="12"/>
  <c r="G4" i="21"/>
  <c r="C5" i="21"/>
  <c r="G5" i="21" s="1"/>
  <c r="H112" i="20"/>
  <c r="Q26" i="17"/>
  <c r="H113" i="20"/>
  <c r="G169" i="17" s="1"/>
  <c r="C4" i="11"/>
  <c r="B8" i="6"/>
  <c r="E132" i="1"/>
  <c r="E134" i="1" s="1"/>
  <c r="J141" i="22"/>
  <c r="J143" i="22" s="1"/>
  <c r="C5" i="11"/>
  <c r="B9" i="6"/>
  <c r="G9" i="6" s="1"/>
  <c r="C8" i="12" s="1"/>
  <c r="AW124" i="1"/>
  <c r="G13" i="1"/>
  <c r="I125" i="3"/>
  <c r="I129" i="3" s="1"/>
  <c r="B29" i="6"/>
  <c r="F39" i="19"/>
  <c r="Q122" i="3"/>
  <c r="H104" i="20"/>
  <c r="H105" i="20"/>
  <c r="G161" i="17" s="1"/>
  <c r="Q23" i="17"/>
  <c r="Q111" i="17"/>
  <c r="Q109" i="17"/>
  <c r="Q107" i="17"/>
  <c r="Q108" i="17"/>
  <c r="Q112" i="17"/>
  <c r="U23" i="8"/>
  <c r="Q15" i="9"/>
  <c r="F41" i="6"/>
  <c r="F25" i="21" s="1"/>
  <c r="G41" i="6"/>
  <c r="P23" i="17" s="1"/>
  <c r="H96" i="20"/>
  <c r="G148" i="17" s="1"/>
  <c r="Q19" i="17"/>
  <c r="H95" i="20"/>
  <c r="H89" i="20"/>
  <c r="G139" i="17" s="1"/>
  <c r="Q15" i="17"/>
  <c r="D51" i="18"/>
  <c r="P125" i="3"/>
  <c r="P129" i="3" s="1"/>
  <c r="B43" i="6"/>
  <c r="B19" i="6"/>
  <c r="D125" i="3"/>
  <c r="D129" i="3" s="1"/>
  <c r="B17" i="6"/>
  <c r="C125" i="3"/>
  <c r="C129" i="3" s="1"/>
  <c r="E42" i="19"/>
  <c r="C16" i="11"/>
  <c r="C18" i="12"/>
  <c r="G52" i="6"/>
  <c r="H110" i="20"/>
  <c r="G166" i="17" s="1"/>
  <c r="Q25" i="17"/>
  <c r="H108" i="20"/>
  <c r="H109" i="20"/>
  <c r="G165" i="17" s="1"/>
  <c r="C60" i="20"/>
  <c r="S126" i="4"/>
  <c r="B16" i="6"/>
  <c r="G16" i="6" s="1"/>
  <c r="H102" i="20"/>
  <c r="G154" i="17" s="1"/>
  <c r="Q21" i="17"/>
  <c r="F42" i="19" l="1"/>
  <c r="U25" i="8"/>
  <c r="C8" i="11"/>
  <c r="S125" i="3"/>
  <c r="S129" i="3" s="1"/>
  <c r="I18" i="17"/>
  <c r="M100" i="17"/>
  <c r="F29" i="6"/>
  <c r="F19" i="21" s="1"/>
  <c r="K125" i="3"/>
  <c r="K129" i="3" s="1"/>
  <c r="B33" i="6"/>
  <c r="C13" i="11"/>
  <c r="B37" i="7"/>
  <c r="F37" i="6"/>
  <c r="F23" i="21" s="1"/>
  <c r="I22" i="17"/>
  <c r="Q100" i="17"/>
  <c r="Q101" i="17"/>
  <c r="G175" i="17" s="1"/>
  <c r="Q102" i="17"/>
  <c r="G176" i="17" s="1"/>
  <c r="J53" i="18"/>
  <c r="L102" i="17" s="1"/>
  <c r="Q110" i="17"/>
  <c r="I17" i="17"/>
  <c r="J51" i="18"/>
  <c r="J52" i="18"/>
  <c r="L101" i="17" s="1"/>
  <c r="G168" i="17"/>
  <c r="G170" i="17" s="1"/>
  <c r="H115" i="20"/>
  <c r="C54" i="21"/>
  <c r="Q10" i="17"/>
  <c r="Q27" i="17" s="1"/>
  <c r="H71" i="20"/>
  <c r="G121" i="17" s="1"/>
  <c r="B15" i="6"/>
  <c r="B125" i="3"/>
  <c r="B129" i="3" s="1"/>
  <c r="T122" i="3"/>
  <c r="F17" i="6"/>
  <c r="F13" i="21" s="1"/>
  <c r="F43" i="6"/>
  <c r="F26" i="21" s="1"/>
  <c r="G43" i="6"/>
  <c r="P24" i="17" s="1"/>
  <c r="F163" i="17" s="1"/>
  <c r="G147" i="17"/>
  <c r="G149" i="17" s="1"/>
  <c r="H97" i="20"/>
  <c r="F162" i="17"/>
  <c r="F160" i="17"/>
  <c r="F35" i="6"/>
  <c r="F22" i="21" s="1"/>
  <c r="P100" i="17"/>
  <c r="E53" i="6"/>
  <c r="C13" i="12" s="1"/>
  <c r="P25" i="9"/>
  <c r="J13" i="1"/>
  <c r="J124" i="1" s="1"/>
  <c r="J126" i="1" s="1"/>
  <c r="J132" i="1" s="1"/>
  <c r="G124" i="1"/>
  <c r="G126" i="1" s="1"/>
  <c r="G8" i="6"/>
  <c r="H74" i="20"/>
  <c r="G122" i="17"/>
  <c r="G124" i="17" s="1"/>
  <c r="G133" i="17"/>
  <c r="G138" i="17" s="1"/>
  <c r="H88" i="20"/>
  <c r="H106" i="20"/>
  <c r="G160" i="17"/>
  <c r="G162" i="17" s="1"/>
  <c r="Q25" i="9"/>
  <c r="F25" i="6"/>
  <c r="F17" i="21" s="1"/>
  <c r="H125" i="3"/>
  <c r="H129" i="3" s="1"/>
  <c r="B27" i="6"/>
  <c r="C19" i="17"/>
  <c r="C13" i="17"/>
  <c r="C15" i="17"/>
  <c r="C22" i="17"/>
  <c r="C18" i="17"/>
  <c r="C17" i="17"/>
  <c r="C26" i="17"/>
  <c r="C27" i="17"/>
  <c r="C23" i="17"/>
  <c r="C11" i="17"/>
  <c r="C21" i="17"/>
  <c r="C24" i="17"/>
  <c r="C16" i="17"/>
  <c r="C14" i="17"/>
  <c r="C20" i="17"/>
  <c r="C10" i="17"/>
  <c r="D58" i="18"/>
  <c r="E8" i="18" s="1"/>
  <c r="H93" i="20"/>
  <c r="G141" i="17"/>
  <c r="G143" i="17" s="1"/>
  <c r="F19" i="6"/>
  <c r="F14" i="21" s="1"/>
  <c r="H101" i="20"/>
  <c r="G150" i="17"/>
  <c r="G153" i="17" s="1"/>
  <c r="E51" i="18"/>
  <c r="E12" i="18"/>
  <c r="F39" i="6"/>
  <c r="F24" i="21" s="1"/>
  <c r="I7" i="17"/>
  <c r="I8" i="17"/>
  <c r="I9" i="17"/>
  <c r="F47" i="6"/>
  <c r="F28" i="21" s="1"/>
  <c r="I19" i="17"/>
  <c r="N101" i="17"/>
  <c r="N102" i="17"/>
  <c r="D176" i="17" s="1"/>
  <c r="N100" i="17"/>
  <c r="B45" i="6"/>
  <c r="Q125" i="3"/>
  <c r="Q129" i="3" s="1"/>
  <c r="C17" i="11"/>
  <c r="C29" i="11" s="1"/>
  <c r="G164" i="17"/>
  <c r="G167" i="17" s="1"/>
  <c r="H111" i="20"/>
  <c r="G125" i="17"/>
  <c r="G131" i="17" s="1"/>
  <c r="H81" i="20"/>
  <c r="C25" i="17"/>
  <c r="F31" i="6"/>
  <c r="F20" i="21" s="1"/>
  <c r="F23" i="6"/>
  <c r="F16" i="21" s="1"/>
  <c r="F21" i="6"/>
  <c r="F15" i="21" s="1"/>
  <c r="G39" i="6" l="1"/>
  <c r="P22" i="17" s="1"/>
  <c r="D56" i="17"/>
  <c r="B3" i="19"/>
  <c r="C4" i="19" s="1"/>
  <c r="F15" i="6"/>
  <c r="G15" i="6" s="1"/>
  <c r="D20" i="17"/>
  <c r="D25" i="17"/>
  <c r="D13" i="17"/>
  <c r="D19" i="17"/>
  <c r="D15" i="17"/>
  <c r="D22" i="17"/>
  <c r="D29" i="17"/>
  <c r="D16" i="17"/>
  <c r="D18" i="17"/>
  <c r="D24" i="17"/>
  <c r="D10" i="17"/>
  <c r="D17" i="17"/>
  <c r="D26" i="17"/>
  <c r="I11" i="17"/>
  <c r="D12" i="17"/>
  <c r="D14" i="17"/>
  <c r="D23" i="17"/>
  <c r="D11" i="17"/>
  <c r="D21" i="17"/>
  <c r="O102" i="17"/>
  <c r="R102" i="17" s="1"/>
  <c r="H176" i="17" s="1"/>
  <c r="B176" i="17"/>
  <c r="E176" i="17" s="1"/>
  <c r="F33" i="6"/>
  <c r="F21" i="21" s="1"/>
  <c r="G31" i="6"/>
  <c r="P18" i="17" s="1"/>
  <c r="G47" i="6"/>
  <c r="P26" i="17" s="1"/>
  <c r="C7" i="12"/>
  <c r="F45" i="6"/>
  <c r="F27" i="21" s="1"/>
  <c r="G17" i="6"/>
  <c r="P11" i="17" s="1"/>
  <c r="I20" i="17"/>
  <c r="Q113" i="17"/>
  <c r="F159" i="17"/>
  <c r="F155" i="17"/>
  <c r="G19" i="6"/>
  <c r="P12" i="17" s="1"/>
  <c r="G37" i="6"/>
  <c r="P21" i="17" s="1"/>
  <c r="F154" i="17" s="1"/>
  <c r="G29" i="6"/>
  <c r="P17" i="17" s="1"/>
  <c r="R12" i="9"/>
  <c r="S12" i="9" s="1"/>
  <c r="U12" i="9" s="1"/>
  <c r="R19" i="9"/>
  <c r="S19" i="9" s="1"/>
  <c r="U19" i="9" s="1"/>
  <c r="R9" i="9"/>
  <c r="S9" i="9" s="1"/>
  <c r="U9" i="9" s="1"/>
  <c r="R8" i="9"/>
  <c r="R15" i="9"/>
  <c r="S15" i="9" s="1"/>
  <c r="U15" i="9" s="1"/>
  <c r="R16" i="9"/>
  <c r="S16" i="9" s="1"/>
  <c r="U16" i="9" s="1"/>
  <c r="Q28" i="9"/>
  <c r="N35" i="9" s="1"/>
  <c r="R18" i="9"/>
  <c r="S18" i="9" s="1"/>
  <c r="U18" i="9" s="1"/>
  <c r="R17" i="9"/>
  <c r="S17" i="9" s="1"/>
  <c r="U17" i="9" s="1"/>
  <c r="R20" i="9"/>
  <c r="S20" i="9" s="1"/>
  <c r="U20" i="9" s="1"/>
  <c r="R13" i="9"/>
  <c r="S13" i="9" s="1"/>
  <c r="U13" i="9" s="1"/>
  <c r="R14" i="9"/>
  <c r="S14" i="9" s="1"/>
  <c r="U14" i="9" s="1"/>
  <c r="R11" i="9"/>
  <c r="S11" i="9" s="1"/>
  <c r="U11" i="9" s="1"/>
  <c r="R22" i="9"/>
  <c r="S22" i="9" s="1"/>
  <c r="U22" i="9" s="1"/>
  <c r="R21" i="9"/>
  <c r="S21" i="9" s="1"/>
  <c r="U21" i="9" s="1"/>
  <c r="R10" i="9"/>
  <c r="S10" i="9" s="1"/>
  <c r="U10" i="9" s="1"/>
  <c r="R24" i="9"/>
  <c r="S24" i="9" s="1"/>
  <c r="U24" i="9" s="1"/>
  <c r="R23" i="9"/>
  <c r="S23" i="9" s="1"/>
  <c r="U23" i="9" s="1"/>
  <c r="W25" i="9"/>
  <c r="C5" i="12" s="1"/>
  <c r="C31" i="11"/>
  <c r="E32" i="11"/>
  <c r="B54" i="11"/>
  <c r="H116" i="20"/>
  <c r="Q103" i="17"/>
  <c r="G174" i="17"/>
  <c r="G177" i="17" s="1"/>
  <c r="M103" i="17"/>
  <c r="C174" i="17"/>
  <c r="C177" i="17" s="1"/>
  <c r="G35" i="6"/>
  <c r="P20" i="17" s="1"/>
  <c r="O101" i="17"/>
  <c r="R101" i="17" s="1"/>
  <c r="H175" i="17" s="1"/>
  <c r="B175" i="17"/>
  <c r="F27" i="6"/>
  <c r="F18" i="21" s="1"/>
  <c r="G25" i="6"/>
  <c r="P15" i="17" s="1"/>
  <c r="F139" i="17" s="1"/>
  <c r="G23" i="6"/>
  <c r="P14" i="17" s="1"/>
  <c r="N103" i="17"/>
  <c r="D174" i="17"/>
  <c r="G172" i="17"/>
  <c r="B53" i="6"/>
  <c r="G21" i="6"/>
  <c r="P13" i="17" s="1"/>
  <c r="F132" i="17" s="1"/>
  <c r="P103" i="17"/>
  <c r="F174" i="17"/>
  <c r="F177" i="17" s="1"/>
  <c r="C116" i="20"/>
  <c r="B3" i="20"/>
  <c r="C4" i="20" s="1"/>
  <c r="D87" i="17"/>
  <c r="J54" i="18"/>
  <c r="L100" i="17"/>
  <c r="E19" i="18"/>
  <c r="E55" i="18"/>
  <c r="E26" i="18"/>
  <c r="E50" i="18"/>
  <c r="E34" i="18"/>
  <c r="E37" i="18"/>
  <c r="E41" i="18"/>
  <c r="E42" i="18"/>
  <c r="E47" i="18"/>
  <c r="E31" i="18"/>
  <c r="E28" i="18"/>
  <c r="E9" i="18"/>
  <c r="E27" i="18"/>
  <c r="E20" i="18"/>
  <c r="E58" i="18" l="1"/>
  <c r="G178" i="17"/>
  <c r="P10" i="17"/>
  <c r="G45" i="6"/>
  <c r="P25" i="17" s="1"/>
  <c r="R25" i="9"/>
  <c r="R29" i="9" s="1"/>
  <c r="S8" i="9"/>
  <c r="I23" i="17"/>
  <c r="I26" i="17" s="1"/>
  <c r="R113" i="17"/>
  <c r="I21" i="17" s="1"/>
  <c r="G33" i="6"/>
  <c r="P19" i="17" s="1"/>
  <c r="F9" i="18"/>
  <c r="F11" i="17"/>
  <c r="F133" i="17"/>
  <c r="F138" i="17"/>
  <c r="F15" i="17"/>
  <c r="F26" i="18"/>
  <c r="F144" i="17"/>
  <c r="F146" i="17"/>
  <c r="F12" i="18"/>
  <c r="F12" i="17"/>
  <c r="F19" i="17"/>
  <c r="F34" i="18"/>
  <c r="F125" i="17"/>
  <c r="F131" i="17"/>
  <c r="F26" i="17"/>
  <c r="F55" i="18"/>
  <c r="F13" i="17"/>
  <c r="F19" i="18"/>
  <c r="F168" i="17"/>
  <c r="F170" i="17"/>
  <c r="F28" i="18"/>
  <c r="F17" i="17"/>
  <c r="F25" i="17"/>
  <c r="F51" i="18"/>
  <c r="F50" i="18"/>
  <c r="F24" i="17"/>
  <c r="G27" i="6"/>
  <c r="P16" i="17" s="1"/>
  <c r="F140" i="17" s="1"/>
  <c r="F37" i="18"/>
  <c r="F20" i="17"/>
  <c r="F124" i="17"/>
  <c r="F122" i="17"/>
  <c r="C23" i="20"/>
  <c r="T24" i="20"/>
  <c r="Y60" i="20"/>
  <c r="G2" i="20"/>
  <c r="F10" i="17"/>
  <c r="F8" i="18"/>
  <c r="D27" i="17"/>
  <c r="F27" i="18"/>
  <c r="F16" i="17"/>
  <c r="F42" i="18"/>
  <c r="F22" i="17"/>
  <c r="F141" i="17"/>
  <c r="F143" i="17"/>
  <c r="F20" i="18"/>
  <c r="F14" i="17"/>
  <c r="F53" i="6"/>
  <c r="C12" i="12" s="1"/>
  <c r="F12" i="21"/>
  <c r="F47" i="18"/>
  <c r="F23" i="17"/>
  <c r="F150" i="17"/>
  <c r="F153" i="17"/>
  <c r="F48" i="17"/>
  <c r="F51" i="17"/>
  <c r="F53" i="17"/>
  <c r="F44" i="17"/>
  <c r="F38" i="17"/>
  <c r="F42" i="17"/>
  <c r="F45" i="17"/>
  <c r="F41" i="17"/>
  <c r="F43" i="17"/>
  <c r="F46" i="17"/>
  <c r="F49" i="17"/>
  <c r="W42" i="19"/>
  <c r="G2" i="19"/>
  <c r="R24" i="19"/>
  <c r="C23" i="19"/>
  <c r="L103" i="17"/>
  <c r="O100" i="17"/>
  <c r="B174" i="17"/>
  <c r="F41" i="18"/>
  <c r="F21" i="17"/>
  <c r="F31" i="18"/>
  <c r="F18" i="17"/>
  <c r="F58" i="18" l="1"/>
  <c r="G17" i="20"/>
  <c r="I17" i="20" s="1"/>
  <c r="G18" i="20"/>
  <c r="I18" i="20" s="1"/>
  <c r="G19" i="20"/>
  <c r="I19" i="20" s="1"/>
  <c r="G20" i="20"/>
  <c r="I20" i="20" s="1"/>
  <c r="G15" i="20"/>
  <c r="I15" i="20" s="1"/>
  <c r="G8" i="20"/>
  <c r="I8" i="20" s="1"/>
  <c r="G9" i="20"/>
  <c r="I9" i="20" s="1"/>
  <c r="G10" i="20"/>
  <c r="I10" i="20" s="1"/>
  <c r="G14" i="20"/>
  <c r="I14" i="20" s="1"/>
  <c r="G11" i="20"/>
  <c r="I11" i="20" s="1"/>
  <c r="G13" i="20"/>
  <c r="I13" i="20" s="1"/>
  <c r="G12" i="20"/>
  <c r="I12" i="20" s="1"/>
  <c r="G4" i="20"/>
  <c r="G5" i="20"/>
  <c r="I5" i="20" s="1"/>
  <c r="G16" i="20"/>
  <c r="I16" i="20" s="1"/>
  <c r="G6" i="20"/>
  <c r="G7" i="20"/>
  <c r="I7" i="20" s="1"/>
  <c r="L18" i="17"/>
  <c r="H31" i="18"/>
  <c r="D48" i="17"/>
  <c r="M21" i="17"/>
  <c r="C154" i="17"/>
  <c r="M14" i="17"/>
  <c r="C133" i="17"/>
  <c r="C138" i="17" s="1"/>
  <c r="D41" i="17"/>
  <c r="F172" i="17"/>
  <c r="F178" i="17" s="1"/>
  <c r="H26" i="18"/>
  <c r="K26" i="18" s="1"/>
  <c r="B139" i="17" s="1"/>
  <c r="L15" i="17"/>
  <c r="M16" i="17"/>
  <c r="D43" i="17"/>
  <c r="C140" i="17"/>
  <c r="L10" i="17"/>
  <c r="H8" i="18"/>
  <c r="F27" i="17"/>
  <c r="I25" i="20"/>
  <c r="I51" i="20"/>
  <c r="K51" i="20" s="1"/>
  <c r="I45" i="20"/>
  <c r="K45" i="20" s="1"/>
  <c r="I34" i="20"/>
  <c r="K34" i="20" s="1"/>
  <c r="I41" i="20"/>
  <c r="K41" i="20" s="1"/>
  <c r="I47" i="20"/>
  <c r="K47" i="20" s="1"/>
  <c r="I54" i="20"/>
  <c r="K54" i="20" s="1"/>
  <c r="I40" i="20"/>
  <c r="K40" i="20" s="1"/>
  <c r="I28" i="20"/>
  <c r="K28" i="20" s="1"/>
  <c r="I26" i="20"/>
  <c r="K26" i="20" s="1"/>
  <c r="I58" i="20"/>
  <c r="K58" i="20" s="1"/>
  <c r="I50" i="20"/>
  <c r="K50" i="20" s="1"/>
  <c r="I52" i="20"/>
  <c r="K52" i="20" s="1"/>
  <c r="I35" i="20"/>
  <c r="K35" i="20" s="1"/>
  <c r="I42" i="20"/>
  <c r="K42" i="20" s="1"/>
  <c r="I44" i="20"/>
  <c r="K44" i="20" s="1"/>
  <c r="I55" i="20"/>
  <c r="K55" i="20" s="1"/>
  <c r="H28" i="18"/>
  <c r="L17" i="17"/>
  <c r="D38" i="17"/>
  <c r="M11" i="17"/>
  <c r="C122" i="17"/>
  <c r="C124" i="17" s="1"/>
  <c r="H9" i="18"/>
  <c r="L11" i="17"/>
  <c r="B177" i="17"/>
  <c r="E174" i="17"/>
  <c r="C147" i="17"/>
  <c r="C149" i="17" s="1"/>
  <c r="M19" i="17"/>
  <c r="D46" i="17"/>
  <c r="M17" i="17"/>
  <c r="D44" i="17"/>
  <c r="C141" i="17"/>
  <c r="C143" i="17" s="1"/>
  <c r="H12" i="18"/>
  <c r="L12" i="17"/>
  <c r="F53" i="21"/>
  <c r="G53" i="21" s="1"/>
  <c r="O103" i="17"/>
  <c r="R100" i="17"/>
  <c r="G28" i="19"/>
  <c r="I28" i="19" s="1"/>
  <c r="G39" i="19"/>
  <c r="I39" i="19" s="1"/>
  <c r="G31" i="19"/>
  <c r="I31" i="19" s="1"/>
  <c r="G35" i="19"/>
  <c r="I35" i="19" s="1"/>
  <c r="G30" i="19"/>
  <c r="I30" i="19" s="1"/>
  <c r="G32" i="19"/>
  <c r="I32" i="19" s="1"/>
  <c r="G41" i="19"/>
  <c r="I41" i="19" s="1"/>
  <c r="G37" i="19"/>
  <c r="I37" i="19" s="1"/>
  <c r="G33" i="19"/>
  <c r="I33" i="19" s="1"/>
  <c r="G27" i="19"/>
  <c r="I27" i="19" s="1"/>
  <c r="G34" i="19"/>
  <c r="I34" i="19" s="1"/>
  <c r="G40" i="19"/>
  <c r="I40" i="19" s="1"/>
  <c r="G26" i="19"/>
  <c r="I26" i="19" s="1"/>
  <c r="G29" i="19"/>
  <c r="I29" i="19" s="1"/>
  <c r="G38" i="19"/>
  <c r="I38" i="19" s="1"/>
  <c r="G36" i="19"/>
  <c r="I36" i="19" s="1"/>
  <c r="G25" i="19"/>
  <c r="F147" i="17"/>
  <c r="F149" i="17"/>
  <c r="H50" i="18"/>
  <c r="K50" i="18" s="1"/>
  <c r="B163" i="17" s="1"/>
  <c r="L24" i="17"/>
  <c r="L14" i="17"/>
  <c r="H20" i="18"/>
  <c r="G16" i="19"/>
  <c r="I16" i="19" s="1"/>
  <c r="G17" i="19"/>
  <c r="I17" i="19" s="1"/>
  <c r="G8" i="19"/>
  <c r="I8" i="19" s="1"/>
  <c r="G9" i="19"/>
  <c r="I9" i="19" s="1"/>
  <c r="G10" i="19"/>
  <c r="I10" i="19" s="1"/>
  <c r="G12" i="19"/>
  <c r="I12" i="19" s="1"/>
  <c r="G11" i="19"/>
  <c r="I11" i="19" s="1"/>
  <c r="G13" i="19"/>
  <c r="I13" i="19" s="1"/>
  <c r="G14" i="19"/>
  <c r="I14" i="19" s="1"/>
  <c r="G15" i="19"/>
  <c r="I15" i="19" s="1"/>
  <c r="G5" i="19"/>
  <c r="I5" i="19" s="1"/>
  <c r="G6" i="19"/>
  <c r="G4" i="19"/>
  <c r="G7" i="19"/>
  <c r="I7" i="19" s="1"/>
  <c r="G18" i="19"/>
  <c r="I18" i="19" s="1"/>
  <c r="G19" i="19"/>
  <c r="I19" i="19" s="1"/>
  <c r="G20" i="19"/>
  <c r="I20" i="19" s="1"/>
  <c r="L26" i="17"/>
  <c r="H55" i="18"/>
  <c r="L19" i="17"/>
  <c r="H34" i="18"/>
  <c r="H37" i="18"/>
  <c r="L20" i="17"/>
  <c r="L13" i="17"/>
  <c r="H19" i="18"/>
  <c r="K19" i="18" s="1"/>
  <c r="B132" i="17" s="1"/>
  <c r="D53" i="17"/>
  <c r="C168" i="17"/>
  <c r="C170" i="17" s="1"/>
  <c r="M26" i="17"/>
  <c r="D51" i="17"/>
  <c r="C163" i="17"/>
  <c r="M24" i="17"/>
  <c r="U8" i="9"/>
  <c r="U25" i="9" s="1"/>
  <c r="S25" i="9"/>
  <c r="H41" i="18"/>
  <c r="K41" i="18" s="1"/>
  <c r="B154" i="17" s="1"/>
  <c r="L21" i="17"/>
  <c r="M22" i="17"/>
  <c r="D49" i="17"/>
  <c r="C155" i="17"/>
  <c r="C159" i="17" s="1"/>
  <c r="H42" i="18"/>
  <c r="L22" i="17"/>
  <c r="F164" i="17"/>
  <c r="F167" i="17"/>
  <c r="M18" i="17"/>
  <c r="C144" i="17"/>
  <c r="C146" i="17" s="1"/>
  <c r="D45" i="17"/>
  <c r="L23" i="17"/>
  <c r="H47" i="18"/>
  <c r="G53" i="6"/>
  <c r="L25" i="17"/>
  <c r="H51" i="18"/>
  <c r="M15" i="17"/>
  <c r="D42" i="17"/>
  <c r="C139" i="17"/>
  <c r="H27" i="18"/>
  <c r="K27" i="18" s="1"/>
  <c r="B140" i="17" s="1"/>
  <c r="L16" i="17"/>
  <c r="F121" i="17"/>
  <c r="P27" i="17"/>
  <c r="O19" i="17" l="1"/>
  <c r="R19" i="17" s="1"/>
  <c r="S19" i="17"/>
  <c r="R44" i="20"/>
  <c r="S44" i="20" s="1"/>
  <c r="T44" i="20" s="1"/>
  <c r="N44" i="20"/>
  <c r="O44" i="20" s="1"/>
  <c r="P44" i="20"/>
  <c r="S24" i="17"/>
  <c r="O24" i="17"/>
  <c r="R24" i="17" s="1"/>
  <c r="N57" i="18"/>
  <c r="M55" i="18"/>
  <c r="K56" i="18"/>
  <c r="B169" i="17" s="1"/>
  <c r="M56" i="18"/>
  <c r="P41" i="20"/>
  <c r="N41" i="20"/>
  <c r="O41" i="20" s="1"/>
  <c r="R41" i="20"/>
  <c r="S41" i="20" s="1"/>
  <c r="T41" i="20" s="1"/>
  <c r="M38" i="18"/>
  <c r="K39" i="18"/>
  <c r="B151" i="17" s="1"/>
  <c r="N40" i="18"/>
  <c r="M39" i="18"/>
  <c r="K38" i="18"/>
  <c r="B152" i="17" s="1"/>
  <c r="M37" i="18"/>
  <c r="M40" i="18" s="1"/>
  <c r="K8" i="18"/>
  <c r="H58" i="18"/>
  <c r="S17" i="17"/>
  <c r="O17" i="17"/>
  <c r="R17" i="17" s="1"/>
  <c r="O26" i="17"/>
  <c r="R26" i="17" s="1"/>
  <c r="S26" i="17"/>
  <c r="M35" i="18"/>
  <c r="N36" i="18"/>
  <c r="K35" i="18"/>
  <c r="B148" i="17" s="1"/>
  <c r="M34" i="18"/>
  <c r="M36" i="18" s="1"/>
  <c r="N58" i="20"/>
  <c r="O58" i="20" s="1"/>
  <c r="P58" i="20"/>
  <c r="R58" i="20"/>
  <c r="S58" i="20" s="1"/>
  <c r="T58" i="20" s="1"/>
  <c r="M9" i="18"/>
  <c r="K10" i="18"/>
  <c r="B123" i="17" s="1"/>
  <c r="M10" i="18"/>
  <c r="N11" i="18"/>
  <c r="N50" i="20"/>
  <c r="O50" i="20" s="1"/>
  <c r="R50" i="20"/>
  <c r="S50" i="20" s="1"/>
  <c r="T50" i="20" s="1"/>
  <c r="P50" i="20"/>
  <c r="L27" i="17"/>
  <c r="P30" i="19"/>
  <c r="Q30" i="19" s="1"/>
  <c r="R30" i="19" s="1"/>
  <c r="L30" i="19"/>
  <c r="N30" i="19"/>
  <c r="P28" i="19"/>
  <c r="L28" i="19"/>
  <c r="N28" i="19"/>
  <c r="G21" i="19"/>
  <c r="J21" i="19" s="1"/>
  <c r="I6" i="19" s="1"/>
  <c r="I4" i="19"/>
  <c r="L40" i="19"/>
  <c r="P40" i="19"/>
  <c r="N40" i="19"/>
  <c r="G21" i="20"/>
  <c r="J21" i="20" s="1"/>
  <c r="I6" i="20" s="1"/>
  <c r="I4" i="20"/>
  <c r="S22" i="17"/>
  <c r="O22" i="17"/>
  <c r="R22" i="17" s="1"/>
  <c r="R104" i="17"/>
  <c r="H174" i="17"/>
  <c r="H177" i="17" s="1"/>
  <c r="N42" i="20"/>
  <c r="O42" i="20" s="1"/>
  <c r="P42" i="20"/>
  <c r="R42" i="20"/>
  <c r="S42" i="20" s="1"/>
  <c r="T42" i="20" s="1"/>
  <c r="N34" i="20"/>
  <c r="R34" i="20"/>
  <c r="P34" i="20"/>
  <c r="M44" i="18"/>
  <c r="N46" i="18"/>
  <c r="K44" i="18"/>
  <c r="B157" i="17" s="1"/>
  <c r="E157" i="17" s="1"/>
  <c r="K45" i="18"/>
  <c r="B158" i="17" s="1"/>
  <c r="E158" i="17" s="1"/>
  <c r="M42" i="18"/>
  <c r="K43" i="18"/>
  <c r="B156" i="17" s="1"/>
  <c r="E156" i="17" s="1"/>
  <c r="M43" i="18"/>
  <c r="M45" i="18"/>
  <c r="R110" i="17"/>
  <c r="S110" i="17" s="1"/>
  <c r="D175" i="17" s="1"/>
  <c r="R103" i="17"/>
  <c r="R55" i="20"/>
  <c r="N55" i="20"/>
  <c r="P55" i="20"/>
  <c r="R54" i="20"/>
  <c r="S54" i="20" s="1"/>
  <c r="T54" i="20" s="1"/>
  <c r="P54" i="20"/>
  <c r="N54" i="20"/>
  <c r="O54" i="20" s="1"/>
  <c r="I60" i="20"/>
  <c r="K25" i="20"/>
  <c r="N40" i="20"/>
  <c r="O40" i="20" s="1"/>
  <c r="P40" i="20"/>
  <c r="R40" i="20"/>
  <c r="S40" i="20" s="1"/>
  <c r="T40" i="20" s="1"/>
  <c r="O14" i="17"/>
  <c r="R14" i="17" s="1"/>
  <c r="S14" i="17"/>
  <c r="F54" i="21"/>
  <c r="P26" i="20"/>
  <c r="N26" i="20"/>
  <c r="O26" i="20" s="1"/>
  <c r="R26" i="20"/>
  <c r="S26" i="20" s="1"/>
  <c r="T26" i="20" s="1"/>
  <c r="N51" i="20"/>
  <c r="O51" i="20" s="1"/>
  <c r="R51" i="20"/>
  <c r="S51" i="20" s="1"/>
  <c r="T51" i="20" s="1"/>
  <c r="P51" i="20"/>
  <c r="M20" i="18"/>
  <c r="K22" i="18"/>
  <c r="B135" i="17" s="1"/>
  <c r="K21" i="18"/>
  <c r="B134" i="17" s="1"/>
  <c r="M21" i="18"/>
  <c r="K23" i="18"/>
  <c r="B136" i="17" s="1"/>
  <c r="M22" i="18"/>
  <c r="N25" i="18"/>
  <c r="M23" i="18"/>
  <c r="K24" i="18"/>
  <c r="B137" i="17" s="1"/>
  <c r="M24" i="18"/>
  <c r="L27" i="19"/>
  <c r="P27" i="19"/>
  <c r="N27" i="19"/>
  <c r="L37" i="19"/>
  <c r="P37" i="19"/>
  <c r="Q37" i="19" s="1"/>
  <c r="R37" i="19" s="1"/>
  <c r="N37" i="19"/>
  <c r="L32" i="19"/>
  <c r="N32" i="19"/>
  <c r="P32" i="19"/>
  <c r="Q32" i="19" s="1"/>
  <c r="R32" i="19" s="1"/>
  <c r="N39" i="19"/>
  <c r="P39" i="19"/>
  <c r="Q39" i="19" s="1"/>
  <c r="R39" i="19" s="1"/>
  <c r="L39" i="19"/>
  <c r="P35" i="20"/>
  <c r="N35" i="20"/>
  <c r="O35" i="20" s="1"/>
  <c r="R35" i="20"/>
  <c r="S35" i="20" s="1"/>
  <c r="T35" i="20" s="1"/>
  <c r="P36" i="19"/>
  <c r="Q36" i="19" s="1"/>
  <c r="R36" i="19" s="1"/>
  <c r="L36" i="19"/>
  <c r="N36" i="19"/>
  <c r="L26" i="19"/>
  <c r="P26" i="19"/>
  <c r="Q26" i="19" s="1"/>
  <c r="R26" i="19" s="1"/>
  <c r="N26" i="19"/>
  <c r="L34" i="19"/>
  <c r="P34" i="19"/>
  <c r="Q34" i="19" s="1"/>
  <c r="R34" i="19" s="1"/>
  <c r="N34" i="19"/>
  <c r="K53" i="18"/>
  <c r="B166" i="17" s="1"/>
  <c r="M53" i="18"/>
  <c r="N54" i="18"/>
  <c r="M51" i="18"/>
  <c r="K52" i="18"/>
  <c r="B165" i="17" s="1"/>
  <c r="M52" i="18"/>
  <c r="P41" i="19"/>
  <c r="Q41" i="19" s="1"/>
  <c r="R41" i="19" s="1"/>
  <c r="L41" i="19"/>
  <c r="N41" i="19"/>
  <c r="O21" i="17"/>
  <c r="R21" i="17" s="1"/>
  <c r="S21" i="17"/>
  <c r="K13" i="18"/>
  <c r="B126" i="17" s="1"/>
  <c r="M12" i="18"/>
  <c r="K15" i="18"/>
  <c r="B128" i="17" s="1"/>
  <c r="M15" i="18"/>
  <c r="K16" i="18"/>
  <c r="B129" i="17" s="1"/>
  <c r="M16" i="18"/>
  <c r="K17" i="18"/>
  <c r="B130" i="17" s="1"/>
  <c r="M17" i="18"/>
  <c r="N18" i="18"/>
  <c r="K14" i="18"/>
  <c r="B127" i="17" s="1"/>
  <c r="M14" i="18"/>
  <c r="M13" i="18"/>
  <c r="O11" i="17"/>
  <c r="R11" i="17" s="1"/>
  <c r="S11" i="17"/>
  <c r="R52" i="20"/>
  <c r="N52" i="20"/>
  <c r="P52" i="20"/>
  <c r="N47" i="20"/>
  <c r="P47" i="20"/>
  <c r="R47" i="20"/>
  <c r="P29" i="19"/>
  <c r="Q29" i="19" s="1"/>
  <c r="R29" i="19" s="1"/>
  <c r="L29" i="19"/>
  <c r="N29" i="19"/>
  <c r="M31" i="18"/>
  <c r="K32" i="18"/>
  <c r="B145" i="17" s="1"/>
  <c r="E145" i="17" s="1"/>
  <c r="M32" i="18"/>
  <c r="N33" i="18"/>
  <c r="N33" i="19"/>
  <c r="L33" i="19"/>
  <c r="P33" i="19"/>
  <c r="Q33" i="19" s="1"/>
  <c r="R33" i="19" s="1"/>
  <c r="M47" i="18"/>
  <c r="K48" i="18"/>
  <c r="B161" i="17" s="1"/>
  <c r="M48" i="18"/>
  <c r="N49" i="18"/>
  <c r="R28" i="20"/>
  <c r="N28" i="20"/>
  <c r="P28" i="20"/>
  <c r="S15" i="17"/>
  <c r="O15" i="17"/>
  <c r="R15" i="17" s="1"/>
  <c r="L38" i="19"/>
  <c r="N38" i="19"/>
  <c r="P38" i="19"/>
  <c r="S18" i="17"/>
  <c r="O18" i="17"/>
  <c r="R18" i="17" s="1"/>
  <c r="L35" i="19"/>
  <c r="P35" i="19"/>
  <c r="N35" i="19"/>
  <c r="N30" i="18"/>
  <c r="M28" i="18"/>
  <c r="K29" i="18"/>
  <c r="B142" i="17" s="1"/>
  <c r="M29" i="18"/>
  <c r="R45" i="20"/>
  <c r="S45" i="20" s="1"/>
  <c r="T45" i="20" s="1"/>
  <c r="N45" i="20"/>
  <c r="O45" i="20" s="1"/>
  <c r="P45" i="20"/>
  <c r="G42" i="19"/>
  <c r="I25" i="19"/>
  <c r="O16" i="17"/>
  <c r="R16" i="17" s="1"/>
  <c r="S16" i="17"/>
  <c r="N31" i="19"/>
  <c r="P31" i="19"/>
  <c r="Q31" i="19" s="1"/>
  <c r="R31" i="19" s="1"/>
  <c r="L31" i="19"/>
  <c r="S104" i="17" l="1"/>
  <c r="D40" i="21"/>
  <c r="G40" i="21" s="1"/>
  <c r="H145" i="17"/>
  <c r="H157" i="17"/>
  <c r="D45" i="21"/>
  <c r="G45" i="21" s="1"/>
  <c r="X50" i="20"/>
  <c r="U50" i="20"/>
  <c r="U41" i="20"/>
  <c r="X41" i="20"/>
  <c r="M11" i="18"/>
  <c r="U45" i="20"/>
  <c r="X45" i="20"/>
  <c r="X51" i="20"/>
  <c r="U51" i="20"/>
  <c r="I42" i="19"/>
  <c r="P25" i="19"/>
  <c r="N25" i="19"/>
  <c r="N42" i="19" s="1"/>
  <c r="L25" i="19"/>
  <c r="S29" i="19"/>
  <c r="U29" i="19" s="1"/>
  <c r="V29" i="19"/>
  <c r="M18" i="18"/>
  <c r="O18" i="18" s="1"/>
  <c r="K12" i="18" s="1"/>
  <c r="B125" i="17" s="1"/>
  <c r="O36" i="18"/>
  <c r="K34" i="18" s="1"/>
  <c r="B147" i="17" s="1"/>
  <c r="I21" i="19"/>
  <c r="S30" i="19"/>
  <c r="U30" i="19" s="1"/>
  <c r="V30" i="19"/>
  <c r="X40" i="20"/>
  <c r="U40" i="20"/>
  <c r="H156" i="17"/>
  <c r="D44" i="21"/>
  <c r="G44" i="21" s="1"/>
  <c r="M57" i="18"/>
  <c r="O57" i="18" s="1"/>
  <c r="K55" i="18" s="1"/>
  <c r="B168" i="17" s="1"/>
  <c r="M33" i="18"/>
  <c r="O33" i="18" s="1"/>
  <c r="K31" i="18" s="1"/>
  <c r="B144" i="17" s="1"/>
  <c r="M30" i="18"/>
  <c r="O30" i="18" s="1"/>
  <c r="K28" i="18" s="1"/>
  <c r="B141" i="17" s="1"/>
  <c r="M46" i="18"/>
  <c r="O46" i="18" s="1"/>
  <c r="K42" i="18" s="1"/>
  <c r="B155" i="17" s="1"/>
  <c r="S36" i="19"/>
  <c r="U36" i="19" s="1"/>
  <c r="V36" i="19"/>
  <c r="U42" i="20"/>
  <c r="X42" i="20"/>
  <c r="M25" i="18"/>
  <c r="S41" i="19"/>
  <c r="U41" i="19" s="1"/>
  <c r="V41" i="19"/>
  <c r="V39" i="19"/>
  <c r="S39" i="19"/>
  <c r="U39" i="19" s="1"/>
  <c r="B121" i="17"/>
  <c r="H158" i="17"/>
  <c r="D46" i="21"/>
  <c r="G46" i="21" s="1"/>
  <c r="O11" i="18"/>
  <c r="K9" i="18" s="1"/>
  <c r="B122" i="17" s="1"/>
  <c r="V31" i="19"/>
  <c r="S31" i="19"/>
  <c r="U31" i="19" s="1"/>
  <c r="O54" i="18"/>
  <c r="K51" i="18" s="1"/>
  <c r="B164" i="17" s="1"/>
  <c r="M49" i="18"/>
  <c r="O49" i="18" s="1"/>
  <c r="K47" i="18" s="1"/>
  <c r="B160" i="17" s="1"/>
  <c r="S32" i="19"/>
  <c r="U32" i="19" s="1"/>
  <c r="V32" i="19"/>
  <c r="O25" i="18"/>
  <c r="K20" i="18" s="1"/>
  <c r="B133" i="17" s="1"/>
  <c r="S34" i="19"/>
  <c r="U34" i="19" s="1"/>
  <c r="V34" i="19"/>
  <c r="O40" i="18"/>
  <c r="K37" i="18" s="1"/>
  <c r="B150" i="17" s="1"/>
  <c r="U58" i="20"/>
  <c r="X58" i="20"/>
  <c r="K60" i="20"/>
  <c r="R25" i="20"/>
  <c r="N25" i="20"/>
  <c r="P25" i="20"/>
  <c r="P60" i="20" s="1"/>
  <c r="E175" i="17"/>
  <c r="E177" i="17" s="1"/>
  <c r="D177" i="17"/>
  <c r="V33" i="19"/>
  <c r="S33" i="19"/>
  <c r="U33" i="19" s="1"/>
  <c r="U44" i="20"/>
  <c r="X44" i="20"/>
  <c r="U26" i="20"/>
  <c r="X26" i="20"/>
  <c r="V26" i="19"/>
  <c r="S26" i="19"/>
  <c r="U26" i="19" s="1"/>
  <c r="X54" i="20"/>
  <c r="U54" i="20"/>
  <c r="M54" i="18"/>
  <c r="U35" i="20"/>
  <c r="X35" i="20"/>
  <c r="V37" i="19"/>
  <c r="S37" i="19"/>
  <c r="U37" i="19" s="1"/>
  <c r="I21" i="20"/>
  <c r="B162" i="17" l="1"/>
  <c r="B159" i="17"/>
  <c r="B170" i="17"/>
  <c r="B143" i="17"/>
  <c r="B131" i="17"/>
  <c r="B146" i="17"/>
  <c r="L42" i="19"/>
  <c r="B138" i="17"/>
  <c r="R60" i="20"/>
  <c r="S25" i="20" s="1"/>
  <c r="B167" i="17"/>
  <c r="B153" i="17"/>
  <c r="P42" i="19"/>
  <c r="Q25" i="19" s="1"/>
  <c r="N60" i="20"/>
  <c r="O25" i="20" s="1"/>
  <c r="K58" i="18"/>
  <c r="B149" i="17"/>
  <c r="B124" i="17"/>
  <c r="R25" i="19" l="1"/>
  <c r="T25" i="20"/>
  <c r="O42" i="19"/>
  <c r="M27" i="19"/>
  <c r="M28" i="19"/>
  <c r="M38" i="19"/>
  <c r="M40" i="19"/>
  <c r="M35" i="19"/>
  <c r="Q38" i="19"/>
  <c r="R38" i="19" s="1"/>
  <c r="Q27" i="19"/>
  <c r="R27" i="19" s="1"/>
  <c r="Q35" i="19"/>
  <c r="R35" i="19" s="1"/>
  <c r="Q28" i="19"/>
  <c r="R28" i="19" s="1"/>
  <c r="Q40" i="19"/>
  <c r="R40" i="19" s="1"/>
  <c r="M25" i="19"/>
  <c r="M42" i="19" s="1"/>
  <c r="S52" i="20"/>
  <c r="T52" i="20" s="1"/>
  <c r="S34" i="20"/>
  <c r="T34" i="20" s="1"/>
  <c r="S47" i="20"/>
  <c r="T47" i="20" s="1"/>
  <c r="S55" i="20"/>
  <c r="T55" i="20" s="1"/>
  <c r="S28" i="20"/>
  <c r="T28" i="20" s="1"/>
  <c r="Q60" i="20"/>
  <c r="O47" i="20"/>
  <c r="Q47" i="20" s="1"/>
  <c r="V47" i="20" s="1"/>
  <c r="E98" i="20" s="1"/>
  <c r="O28" i="20"/>
  <c r="Q28" i="20" s="1"/>
  <c r="V28" i="20" s="1"/>
  <c r="E75" i="20" s="1"/>
  <c r="O52" i="20"/>
  <c r="Q52" i="20" s="1"/>
  <c r="V52" i="20" s="1"/>
  <c r="E104" i="20" s="1"/>
  <c r="O34" i="20"/>
  <c r="Q34" i="20" s="1"/>
  <c r="V34" i="20" s="1"/>
  <c r="E82" i="20" s="1"/>
  <c r="O55" i="20"/>
  <c r="Q55" i="20" s="1"/>
  <c r="V55" i="20" s="1"/>
  <c r="E108" i="20" s="1"/>
  <c r="B172" i="17"/>
  <c r="B178" i="17" s="1"/>
  <c r="G104" i="20" l="1"/>
  <c r="G105" i="20"/>
  <c r="D161" i="17" s="1"/>
  <c r="E161" i="17" s="1"/>
  <c r="T105" i="20"/>
  <c r="U106" i="20"/>
  <c r="T104" i="20"/>
  <c r="T106" i="20" s="1"/>
  <c r="C104" i="20"/>
  <c r="Q40" i="20"/>
  <c r="V40" i="20" s="1"/>
  <c r="Q26" i="20"/>
  <c r="V26" i="20" s="1"/>
  <c r="Q41" i="20"/>
  <c r="V41" i="20" s="1"/>
  <c r="Q54" i="20"/>
  <c r="V54" i="20" s="1"/>
  <c r="Q44" i="20"/>
  <c r="V44" i="20" s="1"/>
  <c r="Q45" i="20"/>
  <c r="V45" i="20" s="1"/>
  <c r="Q51" i="20"/>
  <c r="V51" i="20" s="1"/>
  <c r="Q42" i="20"/>
  <c r="V42" i="20" s="1"/>
  <c r="Q35" i="20"/>
  <c r="V35" i="20" s="1"/>
  <c r="Q50" i="20"/>
  <c r="V50" i="20" s="1"/>
  <c r="Q58" i="20"/>
  <c r="V58" i="20" s="1"/>
  <c r="T109" i="20"/>
  <c r="G110" i="20"/>
  <c r="D166" i="17" s="1"/>
  <c r="E166" i="17" s="1"/>
  <c r="U111" i="20"/>
  <c r="G109" i="20"/>
  <c r="D165" i="17" s="1"/>
  <c r="E165" i="17" s="1"/>
  <c r="T108" i="20"/>
  <c r="T111" i="20" s="1"/>
  <c r="C108" i="20"/>
  <c r="T110" i="20"/>
  <c r="X52" i="20"/>
  <c r="U52" i="20"/>
  <c r="W52" i="20" s="1"/>
  <c r="G79" i="20"/>
  <c r="D129" i="17" s="1"/>
  <c r="E129" i="17" s="1"/>
  <c r="T79" i="20"/>
  <c r="T75" i="20"/>
  <c r="T77" i="20"/>
  <c r="U81" i="20"/>
  <c r="T78" i="20"/>
  <c r="G78" i="20"/>
  <c r="D128" i="17" s="1"/>
  <c r="E128" i="17" s="1"/>
  <c r="G76" i="20"/>
  <c r="D126" i="17" s="1"/>
  <c r="E126" i="17" s="1"/>
  <c r="T76" i="20"/>
  <c r="G77" i="20"/>
  <c r="D127" i="17" s="1"/>
  <c r="E127" i="17" s="1"/>
  <c r="G80" i="20"/>
  <c r="D130" i="17" s="1"/>
  <c r="E130" i="17" s="1"/>
  <c r="T80" i="20"/>
  <c r="C75" i="20"/>
  <c r="S40" i="19"/>
  <c r="V40" i="19"/>
  <c r="X55" i="20"/>
  <c r="U55" i="20"/>
  <c r="W55" i="20" s="1"/>
  <c r="U101" i="20"/>
  <c r="T98" i="20"/>
  <c r="G99" i="20"/>
  <c r="D152" i="17" s="1"/>
  <c r="E152" i="17" s="1"/>
  <c r="T99" i="20"/>
  <c r="G100" i="20"/>
  <c r="D151" i="17" s="1"/>
  <c r="E151" i="17" s="1"/>
  <c r="T100" i="20"/>
  <c r="C98" i="20"/>
  <c r="S35" i="19"/>
  <c r="V35" i="19"/>
  <c r="O35" i="19"/>
  <c r="T35" i="19" s="1"/>
  <c r="F47" i="17" s="1"/>
  <c r="O27" i="19"/>
  <c r="T27" i="19" s="1"/>
  <c r="F39" i="17" s="1"/>
  <c r="O38" i="19"/>
  <c r="T38" i="19" s="1"/>
  <c r="F50" i="17" s="1"/>
  <c r="O28" i="19"/>
  <c r="T28" i="19" s="1"/>
  <c r="F40" i="17" s="1"/>
  <c r="O40" i="19"/>
  <c r="T40" i="19" s="1"/>
  <c r="F52" i="17" s="1"/>
  <c r="O25" i="19"/>
  <c r="T25" i="19" s="1"/>
  <c r="U28" i="20"/>
  <c r="W28" i="20" s="1"/>
  <c r="X28" i="20"/>
  <c r="S28" i="19"/>
  <c r="V28" i="19"/>
  <c r="S60" i="20"/>
  <c r="X47" i="20"/>
  <c r="U47" i="20"/>
  <c r="W47" i="20" s="1"/>
  <c r="S38" i="19"/>
  <c r="V38" i="19"/>
  <c r="T60" i="20"/>
  <c r="X60" i="20" s="1"/>
  <c r="Z60" i="20" s="1"/>
  <c r="U25" i="20"/>
  <c r="X25" i="20"/>
  <c r="Q25" i="20"/>
  <c r="G82" i="20"/>
  <c r="D132" i="17" s="1"/>
  <c r="C82" i="20"/>
  <c r="U34" i="20"/>
  <c r="W34" i="20" s="1"/>
  <c r="X34" i="20"/>
  <c r="V27" i="19"/>
  <c r="R42" i="19"/>
  <c r="V42" i="19" s="1"/>
  <c r="X42" i="19" s="1"/>
  <c r="S27" i="19" s="1"/>
  <c r="S25" i="19"/>
  <c r="V25" i="19"/>
  <c r="Q42" i="19"/>
  <c r="O60" i="20"/>
  <c r="U27" i="19" l="1"/>
  <c r="V106" i="20"/>
  <c r="H152" i="17"/>
  <c r="D42" i="21"/>
  <c r="G42" i="21" s="1"/>
  <c r="T101" i="20"/>
  <c r="V101" i="20" s="1"/>
  <c r="G98" i="20" s="1"/>
  <c r="S42" i="19"/>
  <c r="U25" i="19"/>
  <c r="C150" i="17"/>
  <c r="D47" i="17"/>
  <c r="M20" i="17"/>
  <c r="E102" i="20"/>
  <c r="W50" i="20"/>
  <c r="Q61" i="20"/>
  <c r="Q62" i="20" s="1"/>
  <c r="V25" i="20"/>
  <c r="M23" i="17"/>
  <c r="C160" i="17"/>
  <c r="D50" i="17"/>
  <c r="D33" i="21"/>
  <c r="G33" i="21" s="1"/>
  <c r="H129" i="17"/>
  <c r="C164" i="17"/>
  <c r="D52" i="17"/>
  <c r="M25" i="17"/>
  <c r="H126" i="17"/>
  <c r="D30" i="21"/>
  <c r="G30" i="21" s="1"/>
  <c r="D39" i="17"/>
  <c r="C125" i="17"/>
  <c r="M12" i="17"/>
  <c r="T81" i="20"/>
  <c r="E112" i="20"/>
  <c r="W58" i="20"/>
  <c r="E103" i="20"/>
  <c r="W51" i="20"/>
  <c r="E90" i="20"/>
  <c r="W41" i="20"/>
  <c r="U38" i="19"/>
  <c r="T42" i="19"/>
  <c r="F37" i="17"/>
  <c r="U35" i="19"/>
  <c r="H127" i="17"/>
  <c r="D31" i="21"/>
  <c r="G31" i="21" s="1"/>
  <c r="H166" i="17"/>
  <c r="D49" i="21"/>
  <c r="G49" i="21" s="1"/>
  <c r="M13" i="17"/>
  <c r="D40" i="17"/>
  <c r="C132" i="17"/>
  <c r="E132" i="17" s="1"/>
  <c r="U40" i="19"/>
  <c r="E94" i="20"/>
  <c r="W44" i="20"/>
  <c r="V81" i="20"/>
  <c r="G75" i="20" s="1"/>
  <c r="E95" i="20"/>
  <c r="W45" i="20"/>
  <c r="U60" i="20"/>
  <c r="W25" i="20"/>
  <c r="H130" i="17"/>
  <c r="D34" i="21"/>
  <c r="G34" i="21" s="1"/>
  <c r="H165" i="17"/>
  <c r="D48" i="21"/>
  <c r="G48" i="21" s="1"/>
  <c r="E91" i="20"/>
  <c r="W42" i="20"/>
  <c r="E72" i="20"/>
  <c r="W26" i="20"/>
  <c r="H161" i="17"/>
  <c r="D47" i="21"/>
  <c r="G47" i="21" s="1"/>
  <c r="D43" i="21"/>
  <c r="G43" i="21" s="1"/>
  <c r="H151" i="17"/>
  <c r="D32" i="21"/>
  <c r="G32" i="21" s="1"/>
  <c r="H128" i="17"/>
  <c r="V111" i="20"/>
  <c r="G108" i="20" s="1"/>
  <c r="E83" i="20"/>
  <c r="W35" i="20"/>
  <c r="E107" i="20"/>
  <c r="W54" i="20"/>
  <c r="E89" i="20"/>
  <c r="W40" i="20"/>
  <c r="U28" i="19"/>
  <c r="G106" i="20"/>
  <c r="D162" i="17" s="1"/>
  <c r="D160" i="17"/>
  <c r="G101" i="20" l="1"/>
  <c r="D153" i="17" s="1"/>
  <c r="D150" i="17"/>
  <c r="T92" i="20"/>
  <c r="U93" i="20"/>
  <c r="T91" i="20"/>
  <c r="T93" i="20" s="1"/>
  <c r="G92" i="20"/>
  <c r="D142" i="17" s="1"/>
  <c r="E142" i="17" s="1"/>
  <c r="C91" i="20"/>
  <c r="G94" i="20"/>
  <c r="C94" i="20"/>
  <c r="D15" i="21"/>
  <c r="G15" i="21" s="1"/>
  <c r="H132" i="17"/>
  <c r="C162" i="17"/>
  <c r="E160" i="17"/>
  <c r="O20" i="17"/>
  <c r="R20" i="17" s="1"/>
  <c r="S20" i="17"/>
  <c r="S13" i="17"/>
  <c r="O13" i="17"/>
  <c r="R13" i="17" s="1"/>
  <c r="O25" i="17"/>
  <c r="R25" i="17" s="1"/>
  <c r="S25" i="17"/>
  <c r="T96" i="20"/>
  <c r="G96" i="20"/>
  <c r="D148" i="17" s="1"/>
  <c r="E148" i="17" s="1"/>
  <c r="T95" i="20"/>
  <c r="T97" i="20" s="1"/>
  <c r="U97" i="20"/>
  <c r="C95" i="20"/>
  <c r="S12" i="17"/>
  <c r="O12" i="17"/>
  <c r="R12" i="17" s="1"/>
  <c r="C167" i="17"/>
  <c r="E164" i="17"/>
  <c r="V60" i="20"/>
  <c r="W60" i="20" s="1"/>
  <c r="E71" i="20"/>
  <c r="C153" i="17"/>
  <c r="E150" i="17"/>
  <c r="T73" i="20"/>
  <c r="T72" i="20"/>
  <c r="T74" i="20" s="1"/>
  <c r="G73" i="20"/>
  <c r="D123" i="17" s="1"/>
  <c r="E123" i="17" s="1"/>
  <c r="U74" i="20"/>
  <c r="C72" i="20"/>
  <c r="D125" i="17"/>
  <c r="G81" i="20"/>
  <c r="D131" i="17" s="1"/>
  <c r="S23" i="17"/>
  <c r="O23" i="17"/>
  <c r="R23" i="17" s="1"/>
  <c r="G107" i="20"/>
  <c r="D163" i="17" s="1"/>
  <c r="E163" i="17" s="1"/>
  <c r="C107" i="20"/>
  <c r="U42" i="19"/>
  <c r="G90" i="20"/>
  <c r="D140" i="17" s="1"/>
  <c r="E140" i="17" s="1"/>
  <c r="C90" i="20"/>
  <c r="G102" i="20"/>
  <c r="D154" i="17" s="1"/>
  <c r="E154" i="17" s="1"/>
  <c r="C102" i="20"/>
  <c r="D37" i="17"/>
  <c r="D54" i="17" s="1"/>
  <c r="C121" i="17"/>
  <c r="M10" i="17"/>
  <c r="F54" i="17"/>
  <c r="C131" i="17"/>
  <c r="E125" i="17"/>
  <c r="U88" i="20"/>
  <c r="T85" i="20"/>
  <c r="T83" i="20"/>
  <c r="G84" i="20"/>
  <c r="D134" i="17" s="1"/>
  <c r="E134" i="17" s="1"/>
  <c r="T86" i="20"/>
  <c r="T84" i="20"/>
  <c r="G87" i="20"/>
  <c r="D137" i="17" s="1"/>
  <c r="E137" i="17" s="1"/>
  <c r="G85" i="20"/>
  <c r="D135" i="17" s="1"/>
  <c r="E135" i="17" s="1"/>
  <c r="G86" i="20"/>
  <c r="D136" i="17" s="1"/>
  <c r="E136" i="17" s="1"/>
  <c r="T87" i="20"/>
  <c r="C83" i="20"/>
  <c r="G103" i="20"/>
  <c r="C103" i="20"/>
  <c r="D164" i="17"/>
  <c r="G111" i="20"/>
  <c r="D167" i="17" s="1"/>
  <c r="T113" i="20"/>
  <c r="T112" i="20"/>
  <c r="T114" i="20" s="1"/>
  <c r="G113" i="20"/>
  <c r="D169" i="17" s="1"/>
  <c r="E169" i="17" s="1"/>
  <c r="U114" i="20"/>
  <c r="C112" i="20"/>
  <c r="G89" i="20"/>
  <c r="D139" i="17" s="1"/>
  <c r="E139" i="17" s="1"/>
  <c r="C89" i="20"/>
  <c r="V114" i="20" l="1"/>
  <c r="G112" i="20" s="1"/>
  <c r="G115" i="20" s="1"/>
  <c r="D168" i="17"/>
  <c r="E168" i="17" s="1"/>
  <c r="M27" i="17"/>
  <c r="S10" i="17"/>
  <c r="O10" i="17"/>
  <c r="D18" i="21"/>
  <c r="G18" i="21" s="1"/>
  <c r="H140" i="17"/>
  <c r="D27" i="21"/>
  <c r="G27" i="21" s="1"/>
  <c r="E167" i="17"/>
  <c r="H167" i="17" s="1"/>
  <c r="H164" i="17"/>
  <c r="H169" i="17"/>
  <c r="D50" i="21"/>
  <c r="G50" i="21" s="1"/>
  <c r="D144" i="17"/>
  <c r="E144" i="17" s="1"/>
  <c r="D146" i="17"/>
  <c r="E162" i="17"/>
  <c r="H162" i="17" s="1"/>
  <c r="D25" i="21"/>
  <c r="G25" i="21" s="1"/>
  <c r="H160" i="17"/>
  <c r="D35" i="21"/>
  <c r="G35" i="21" s="1"/>
  <c r="H134" i="17"/>
  <c r="D22" i="21"/>
  <c r="G22" i="21" s="1"/>
  <c r="H150" i="17"/>
  <c r="E153" i="17"/>
  <c r="H153" i="17" s="1"/>
  <c r="D159" i="17"/>
  <c r="D155" i="17"/>
  <c r="E155" i="17" s="1"/>
  <c r="T88" i="20"/>
  <c r="V88" i="20" s="1"/>
  <c r="G83" i="20" s="1"/>
  <c r="H154" i="17"/>
  <c r="D23" i="21"/>
  <c r="G23" i="21" s="1"/>
  <c r="E115" i="20"/>
  <c r="G71" i="20"/>
  <c r="D121" i="17" s="1"/>
  <c r="E121" i="17" s="1"/>
  <c r="C71" i="20"/>
  <c r="C115" i="20" s="1"/>
  <c r="D39" i="21"/>
  <c r="G39" i="21" s="1"/>
  <c r="H142" i="17"/>
  <c r="E131" i="17"/>
  <c r="H131" i="17" s="1"/>
  <c r="H125" i="17"/>
  <c r="D14" i="21"/>
  <c r="G14" i="21" s="1"/>
  <c r="V74" i="20"/>
  <c r="G72" i="20" s="1"/>
  <c r="D17" i="21"/>
  <c r="G17" i="21" s="1"/>
  <c r="H139" i="17"/>
  <c r="D41" i="21"/>
  <c r="G41" i="21" s="1"/>
  <c r="H148" i="17"/>
  <c r="V93" i="20"/>
  <c r="G91" i="20" s="1"/>
  <c r="D29" i="21"/>
  <c r="G29" i="21" s="1"/>
  <c r="H123" i="17"/>
  <c r="H136" i="17"/>
  <c r="D37" i="21"/>
  <c r="G37" i="21" s="1"/>
  <c r="C172" i="17"/>
  <c r="C178" i="17" s="1"/>
  <c r="H135" i="17"/>
  <c r="D36" i="21"/>
  <c r="G36" i="21" s="1"/>
  <c r="D26" i="21"/>
  <c r="G26" i="21" s="1"/>
  <c r="H163" i="17"/>
  <c r="V97" i="20"/>
  <c r="G95" i="20" s="1"/>
  <c r="D38" i="21"/>
  <c r="G38" i="21" s="1"/>
  <c r="H137" i="17"/>
  <c r="H121" i="17" l="1"/>
  <c r="D12" i="21"/>
  <c r="D133" i="17"/>
  <c r="E133" i="17" s="1"/>
  <c r="G88" i="20"/>
  <c r="D138" i="17" s="1"/>
  <c r="G74" i="20"/>
  <c r="D124" i="17" s="1"/>
  <c r="D122" i="17"/>
  <c r="E122" i="17" s="1"/>
  <c r="D141" i="17"/>
  <c r="E141" i="17" s="1"/>
  <c r="G93" i="20"/>
  <c r="D143" i="17" s="1"/>
  <c r="H144" i="17"/>
  <c r="E146" i="17"/>
  <c r="H146" i="17" s="1"/>
  <c r="D20" i="21"/>
  <c r="G20" i="21" s="1"/>
  <c r="D147" i="17"/>
  <c r="E147" i="17" s="1"/>
  <c r="G97" i="20"/>
  <c r="D149" i="17" s="1"/>
  <c r="H168" i="17"/>
  <c r="D28" i="21"/>
  <c r="G28" i="21" s="1"/>
  <c r="E170" i="17"/>
  <c r="H155" i="17"/>
  <c r="D24" i="21"/>
  <c r="G24" i="21" s="1"/>
  <c r="E159" i="17"/>
  <c r="H159" i="17" s="1"/>
  <c r="O27" i="17"/>
  <c r="R30" i="17" s="1"/>
  <c r="R10" i="17"/>
  <c r="R27" i="17" s="1"/>
  <c r="G116" i="20"/>
  <c r="D170" i="17"/>
  <c r="D172" i="17" s="1"/>
  <c r="D178" i="17" s="1"/>
  <c r="H170" i="17" l="1"/>
  <c r="H141" i="17"/>
  <c r="E143" i="17"/>
  <c r="H143" i="17" s="1"/>
  <c r="D19" i="21"/>
  <c r="G19" i="21" s="1"/>
  <c r="D21" i="21"/>
  <c r="G21" i="21" s="1"/>
  <c r="H147" i="17"/>
  <c r="E149" i="17"/>
  <c r="H149" i="17" s="1"/>
  <c r="D16" i="21"/>
  <c r="G16" i="21" s="1"/>
  <c r="H133" i="17"/>
  <c r="E138" i="17"/>
  <c r="H138" i="17" s="1"/>
  <c r="D13" i="21"/>
  <c r="G13" i="21" s="1"/>
  <c r="H122" i="17"/>
  <c r="E124" i="17"/>
  <c r="H124" i="17" s="1"/>
  <c r="D51" i="21"/>
  <c r="G51" i="21" s="1"/>
  <c r="G12" i="21"/>
  <c r="G55" i="21" l="1"/>
  <c r="D54" i="21"/>
  <c r="G54" i="21" s="1"/>
  <c r="E172" i="17"/>
  <c r="H172" i="17"/>
  <c r="C4" i="12" l="1"/>
  <c r="C19" i="12" s="1"/>
  <c r="H178" i="17"/>
  <c r="E178" i="17"/>
  <c r="H173" i="17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<sst xmlns="http://schemas.openxmlformats.org/spreadsheetml/2006/main" count="1743" uniqueCount="789">
  <si>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</si>
  <si>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</si>
  <si>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</si>
  <si>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</si>
  <si>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</si>
  <si>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</si>
  <si>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</si>
  <si>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</si>
  <si>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</si>
  <si>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</si>
  <si>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</si>
  <si>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</si>
  <si>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</si>
  <si>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</si>
  <si>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</si>
  <si>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</si>
  <si>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</si>
  <si>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</si>
  <si>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</si>
  <si>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</si>
  <si>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</si>
  <si>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</si>
  <si>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</si>
  <si>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</si>
  <si>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</si>
  <si>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</si>
  <si>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</si>
  <si>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</si>
  <si>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</si>
  <si>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</si>
  <si>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</si>
  <si>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</si>
  <si>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</si>
  <si>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</si>
  <si>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</si>
  <si>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</si>
  <si>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</si>
  <si>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</si>
  <si>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</si>
  <si>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</si>
  <si>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</si>
  <si>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</si>
  <si>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</si>
  <si>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</si>
  <si>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</si>
  <si>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</si>
  <si>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</si>
  <si>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</si>
  <si>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</si>
  <si>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</si>
  <si>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</si>
  <si>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</si>
  <si>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Majors Fuels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</si>
  <si>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</si>
  <si>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</si>
  <si>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</si>
  <si>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</si>
  <si>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</si>
  <si>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</si>
  <si>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</si>
  <si>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</si>
  <si>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</si>
  <si>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</si>
  <si>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</si>
  <si>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</si>
  <si>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</si>
  <si>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</si>
  <si>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</si>
  <si>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</si>
  <si>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</si>
  <si>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</si>
  <si>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</si>
  <si>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</si>
  <si>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</si>
  <si>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</si>
  <si>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</si>
  <si>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</si>
  <si>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</si>
  <si>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</si>
  <si>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</si>
  <si>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</si>
  <si>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</si>
  <si>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</si>
  <si>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</si>
  <si>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</si>
  <si>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</si>
  <si>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</si>
  <si>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</si>
  <si>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</si>
  <si>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</si>
  <si>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</si>
  <si>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</si>
  <si>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</si>
  <si>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</si>
  <si>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</si>
  <si>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</si>
  <si>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</si>
  <si>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</si>
  <si>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</si>
  <si>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</si>
  <si>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</si>
  <si>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</si>
  <si>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</si>
  <si>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</si>
  <si>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</si>
  <si>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</si>
  <si>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</si>
  <si>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</si>
  <si>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Page 1</t>
  </si>
  <si>
    <t>Page 4</t>
  </si>
  <si>
    <t>1.75 CENT STATE TAX (COUNTY ALLOCATION)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</si>
  <si>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</si>
  <si>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</si>
  <si>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</si>
  <si>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</si>
  <si>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</si>
  <si>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</si>
  <si>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</si>
  <si>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</si>
  <si>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</si>
  <si>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</si>
  <si>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</si>
  <si>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</si>
  <si>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</si>
  <si>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</si>
  <si>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</si>
  <si>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</si>
  <si>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</si>
  <si>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</si>
  <si>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</si>
  <si>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</si>
  <si>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</si>
  <si>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</si>
  <si>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</si>
  <si>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</si>
  <si>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</si>
  <si>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</si>
  <si>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</si>
  <si>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</si>
  <si>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</si>
  <si>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</si>
  <si>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</si>
  <si>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</si>
  <si>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</si>
  <si>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</si>
  <si>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</si>
  <si>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</si>
  <si>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</si>
  <si>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</si>
  <si>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</si>
  <si>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</si>
  <si>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</si>
  <si>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</si>
  <si>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</si>
  <si>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</si>
  <si>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</si>
  <si>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</si>
  <si>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</si>
  <si>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</si>
  <si>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</si>
  <si>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</si>
  <si>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</si>
  <si>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</si>
  <si>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</si>
  <si>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</si>
  <si>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</si>
  <si>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</si>
  <si>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</si>
  <si>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</si>
  <si>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</si>
  <si>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</si>
  <si>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</si>
  <si>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</si>
  <si>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</si>
  <si>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</si>
  <si>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</si>
  <si>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</si>
  <si>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</si>
  <si>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</si>
  <si>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</si>
  <si>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</si>
  <si>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</si>
  <si>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</si>
  <si>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</si>
  <si>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</si>
  <si>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</si>
  <si>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</si>
  <si>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</si>
  <si>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</si>
  <si>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</si>
  <si>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</si>
  <si>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</si>
  <si>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</si>
  <si>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</si>
  <si>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</si>
  <si>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</si>
  <si>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</si>
  <si>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</si>
  <si>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</si>
  <si>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</si>
  <si>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</si>
  <si>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</si>
  <si>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</si>
  <si>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</si>
  <si>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</si>
  <si>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</si>
  <si>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</si>
  <si>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</si>
  <si>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</si>
  <si>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</si>
  <si>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</si>
  <si>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</si>
  <si>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</si>
  <si>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</si>
  <si>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</si>
  <si>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</si>
  <si>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</si>
  <si>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</si>
  <si>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</si>
  <si>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</si>
  <si>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</si>
  <si>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</si>
  <si>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</si>
  <si>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</si>
  <si>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</si>
  <si>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</si>
  <si>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</si>
  <si>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</si>
  <si>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</si>
  <si>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</si>
  <si>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</si>
  <si>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</si>
  <si>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</si>
  <si>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</si>
  <si>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</si>
  <si>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</si>
  <si>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</si>
  <si>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</si>
  <si>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</si>
  <si>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</si>
  <si>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</si>
  <si>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</si>
  <si>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</si>
  <si>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</si>
  <si>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</si>
  <si>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</si>
  <si>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</si>
  <si>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</si>
  <si>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</si>
  <si>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</si>
  <si>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</si>
  <si>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</si>
  <si>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</si>
  <si>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</si>
  <si>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</si>
  <si>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</si>
  <si>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</si>
  <si>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</si>
  <si>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</si>
  <si>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</si>
  <si>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</si>
  <si>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</si>
  <si>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</si>
  <si>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</si>
  <si>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</si>
  <si>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</si>
  <si>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</si>
  <si>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</si>
  <si>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</si>
  <si>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</si>
  <si>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</si>
  <si>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</si>
  <si>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</si>
  <si>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</si>
  <si>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</si>
  <si>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</si>
  <si>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</si>
  <si>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</si>
  <si>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</si>
  <si>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</si>
  <si>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</si>
  <si>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</si>
  <si>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</si>
  <si>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</si>
  <si>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</si>
  <si>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</si>
  <si>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</si>
  <si>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</si>
  <si>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</si>
  <si>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</si>
  <si>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</si>
  <si>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</si>
  <si>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</si>
  <si>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</si>
  <si>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</si>
  <si>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</si>
  <si>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</si>
  <si>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</si>
  <si>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</si>
  <si>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</si>
  <si>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</si>
  <si>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</si>
  <si>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</si>
  <si>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</si>
  <si>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</si>
  <si>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</si>
  <si>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</si>
  <si>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</si>
  <si>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</si>
  <si>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</si>
  <si>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</si>
  <si>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</si>
  <si>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</si>
  <si>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</si>
  <si>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</si>
  <si>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</si>
  <si>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</si>
  <si>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</si>
  <si>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</si>
  <si>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</si>
  <si>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</si>
  <si>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</si>
  <si>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</si>
  <si>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</si>
  <si>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</si>
  <si>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</si>
  <si>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</si>
  <si>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</si>
  <si>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</si>
  <si>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</si>
  <si>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</si>
  <si>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</si>
  <si>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</si>
  <si>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</si>
  <si>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</si>
  <si>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</si>
  <si>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</si>
  <si>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</si>
  <si>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</si>
  <si>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</si>
  <si>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</si>
  <si>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</si>
  <si>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</si>
  <si>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</si>
  <si>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</si>
  <si>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</si>
  <si>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</si>
  <si>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</si>
  <si>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</si>
  <si>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</si>
  <si>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</si>
  <si>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</si>
  <si>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</si>
  <si>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</si>
  <si>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</si>
  <si>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</si>
  <si>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</si>
  <si>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</si>
  <si>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</si>
  <si>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</si>
  <si>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</si>
  <si>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</si>
  <si>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</si>
  <si>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</si>
  <si>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</si>
  <si>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</si>
  <si>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</si>
  <si>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</si>
  <si>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</si>
  <si>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</si>
  <si>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</si>
  <si>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</si>
  <si>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</si>
  <si>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</si>
  <si>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</si>
  <si>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</si>
  <si>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</si>
  <si>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</si>
  <si>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</si>
  <si>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</si>
  <si>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</si>
  <si>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</si>
  <si>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</si>
  <si>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</si>
  <si>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</si>
  <si>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</si>
  <si>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</si>
  <si>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</si>
  <si>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</si>
  <si>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</si>
  <si>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</si>
  <si>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</si>
  <si>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</si>
  <si>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</si>
  <si>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</si>
  <si>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</si>
  <si>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</si>
  <si>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Monthly Average (FY01)</t>
  </si>
  <si>
    <t>Monthly Actual(FY02)</t>
  </si>
  <si>
    <t>-Total REFUNDS</t>
  </si>
  <si>
    <t>Counties</t>
  </si>
  <si>
    <t>FY01 Distr %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</si>
  <si>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</si>
  <si>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</si>
  <si>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</si>
  <si>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</si>
  <si>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</si>
  <si>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</si>
  <si>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</si>
  <si>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</si>
  <si>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</si>
  <si>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</si>
  <si>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</si>
  <si>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</si>
  <si>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</si>
  <si>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</si>
  <si>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</si>
  <si>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</si>
  <si>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</si>
  <si>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</si>
  <si>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</si>
  <si>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</si>
  <si>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</si>
  <si>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</si>
  <si>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</si>
  <si>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</si>
  <si>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</si>
  <si>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</si>
  <si>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</si>
  <si>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</si>
  <si>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</si>
  <si>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</si>
  <si>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</si>
  <si>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</si>
  <si>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</si>
  <si>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</si>
  <si>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</si>
  <si>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</si>
  <si>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</si>
  <si>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</si>
  <si>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</si>
  <si>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</si>
  <si>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</si>
  <si>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</si>
  <si>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</si>
  <si>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</si>
  <si>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NEVADA 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</si>
  <si>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</si>
  <si>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</si>
  <si>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</si>
  <si>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</si>
  <si>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</si>
  <si>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</si>
  <si>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</si>
  <si>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</si>
  <si>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</si>
  <si>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</si>
  <si>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Ed Staub and Sons</t>
  </si>
  <si>
    <t>Falcon Fuels</t>
  </si>
  <si>
    <t>Future Petroleum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</si>
  <si>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</si>
  <si>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</si>
  <si>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</si>
  <si>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</si>
  <si>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</si>
  <si>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</si>
  <si>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>PHILLIPS</t>
  </si>
  <si>
    <t xml:space="preserve">Ed Staub and Sons Petro </t>
  </si>
  <si>
    <t>ExxonMobil Oil Corp.</t>
  </si>
  <si>
    <t>AGP Corn Processing</t>
  </si>
  <si>
    <t>Bennett's &amp; Sons</t>
  </si>
  <si>
    <t>Cargill Inc</t>
  </si>
  <si>
    <t>Carver's Distributing</t>
  </si>
  <si>
    <t>Mobil Diesel Supply</t>
  </si>
  <si>
    <t>Morgan Stanley</t>
  </si>
  <si>
    <t>Ken Bettridge</t>
  </si>
  <si>
    <t>VP Racing Fuel</t>
  </si>
  <si>
    <t>Southern Counties Oil</t>
  </si>
  <si>
    <t>Tesoro Northwest</t>
  </si>
  <si>
    <t>Ray Bell Oil Company</t>
  </si>
  <si>
    <t>Regent Marketing Company</t>
  </si>
  <si>
    <t>Snobird Inc</t>
  </si>
  <si>
    <t>Southwest Jet Fuel Co</t>
  </si>
  <si>
    <t>Tauber Oil Co</t>
  </si>
  <si>
    <t>Union Distributing Co</t>
  </si>
  <si>
    <t>United Liquid Gas Co</t>
  </si>
  <si>
    <t>Westport Petroleum</t>
  </si>
  <si>
    <t>Woody's Enterprises</t>
  </si>
  <si>
    <t xml:space="preserve">World Energy Alternatives 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</si>
  <si>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</si>
  <si>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</si>
  <si>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</si>
  <si>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</si>
  <si>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</si>
  <si>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</si>
  <si>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</si>
  <si>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</si>
  <si>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</si>
  <si>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</si>
  <si>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</si>
  <si>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</si>
  <si>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</si>
  <si>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</si>
  <si>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</si>
  <si>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</si>
  <si>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</si>
  <si>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</si>
  <si>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</si>
  <si>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</si>
  <si>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</si>
  <si>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</si>
  <si>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</si>
  <si>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</si>
  <si>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</si>
  <si>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</si>
  <si>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</si>
  <si>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</si>
  <si>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</si>
  <si>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</si>
  <si>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</si>
  <si>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</si>
  <si>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</si>
  <si>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</si>
  <si>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</si>
  <si>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</si>
  <si>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</si>
  <si>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</si>
  <si>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</si>
  <si>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</si>
  <si>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</si>
  <si>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</si>
  <si>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</si>
  <si>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</si>
  <si>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</si>
  <si>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</si>
  <si>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</si>
  <si>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</si>
  <si>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</si>
  <si>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</si>
  <si>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</si>
  <si>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</si>
  <si>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</si>
  <si>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</si>
  <si>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</si>
  <si>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</si>
  <si>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</si>
  <si>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</si>
  <si>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</si>
  <si>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</si>
  <si>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</si>
  <si>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</si>
  <si>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</si>
  <si>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</si>
  <si>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</si>
  <si>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</si>
  <si>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</si>
  <si>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</si>
  <si>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</si>
  <si>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</si>
  <si>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</si>
  <si>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</si>
  <si>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</si>
  <si>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</si>
  <si>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</si>
  <si>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Douglas County AP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</si>
  <si>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</si>
  <si>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</si>
  <si>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</si>
  <si>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</si>
  <si>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</si>
  <si>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</si>
  <si>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</si>
  <si>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</si>
  <si>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</si>
  <si>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</si>
  <si>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</si>
  <si>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</si>
  <si>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</si>
  <si>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</si>
  <si>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</si>
  <si>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</si>
  <si>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Big Sky Fuel Inc.</t>
  </si>
  <si>
    <t>Chevron Phillips Chemical Co. LP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</si>
  <si>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</si>
  <si>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</si>
  <si>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</si>
  <si>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</si>
  <si>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</si>
  <si>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</si>
  <si>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</si>
  <si>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</si>
  <si>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</si>
  <si>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</si>
  <si>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</si>
  <si>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</si>
  <si>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</si>
  <si>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</si>
  <si>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</si>
  <si>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</si>
  <si>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</si>
  <si>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</si>
  <si>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</si>
  <si>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</si>
  <si>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</si>
  <si>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Pyramid Lake Paiute</t>
  </si>
  <si>
    <t>American Airlines</t>
  </si>
  <si>
    <t>Pacific Fuel Trading</t>
  </si>
  <si>
    <t>CONOCO-</t>
  </si>
  <si>
    <t>CL Bryant</t>
  </si>
  <si>
    <t>ConocoPhillips.</t>
  </si>
  <si>
    <t>Mercy Air</t>
  </si>
  <si>
    <t>Terry Oil</t>
  </si>
  <si>
    <t>Western Refining</t>
  </si>
  <si>
    <t>Avefuel</t>
  </si>
  <si>
    <t>Battle Mountain</t>
  </si>
  <si>
    <t>Beneto</t>
  </si>
  <si>
    <t>Flying J</t>
  </si>
  <si>
    <t>Nella Oil</t>
  </si>
  <si>
    <t>Nevada Yellow Cab</t>
  </si>
  <si>
    <t>Rhinehart Oil</t>
  </si>
  <si>
    <t xml:space="preserve">Cottams Oil Co. </t>
  </si>
  <si>
    <t>Clean Fuels</t>
  </si>
  <si>
    <t>GN Renn</t>
  </si>
  <si>
    <t xml:space="preserve">Green River Development </t>
  </si>
  <si>
    <t>Hallum Inc</t>
  </si>
  <si>
    <t>Ramos Strong</t>
  </si>
  <si>
    <t>Wes Pac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</si>
  <si>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</si>
  <si>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</si>
  <si>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</si>
  <si>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</si>
  <si>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</si>
  <si>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</si>
  <si>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</si>
  <si>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</si>
  <si>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If actuals are smaller, use FY03 percentages to distribute FY04 money</t>
  </si>
  <si>
    <t>FY03 Distr %</t>
  </si>
  <si>
    <t>FY04 Money</t>
  </si>
  <si>
    <t>If FY04 actuals are larger than the FY03 average, distribution is done using the table below</t>
  </si>
  <si>
    <t>NDOT FY04 (2/3 of % population &amp; 1/3  of % of road miles)</t>
  </si>
  <si>
    <t>% applied to FY04 actuals</t>
  </si>
  <si>
    <t>Compare to FY03 averages</t>
  </si>
  <si>
    <t>Calculation based on Average Monthly FY03 Allocation</t>
  </si>
  <si>
    <t>Counties with positive figures received more via FY04 calc than FY03</t>
  </si>
  <si>
    <t>Diff between FY03 Avg and FY04 Actual</t>
  </si>
  <si>
    <t>Monthly Average (FY03)</t>
  </si>
  <si>
    <t>Monthly Actual(FY04)</t>
  </si>
  <si>
    <t>If FY04actuals are larger than the FY03 average, distribution is done using the table below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</si>
  <si>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</si>
  <si>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</si>
  <si>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</si>
  <si>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</si>
  <si>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</si>
  <si>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</si>
  <si>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</si>
  <si>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.4206¢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</si>
  <si>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</si>
  <si>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</si>
  <si>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</si>
  <si>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</si>
  <si>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</si>
  <si>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</si>
  <si>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</si>
  <si>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</si>
  <si>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 xml:space="preserve">County CP Index .004206 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</si>
  <si>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</si>
  <si>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</si>
  <si>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</si>
  <si>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</si>
  <si>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</si>
  <si>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</si>
  <si>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</si>
  <si>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</si>
  <si>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</si>
  <si>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</si>
  <si>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</si>
  <si>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>CPI Multiplier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</si>
  <si>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</si>
  <si>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</si>
  <si>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</si>
  <si>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</si>
  <si>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</si>
  <si>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</si>
  <si>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</si>
  <si>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</si>
  <si>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</si>
  <si>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</si>
  <si>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</si>
  <si>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</si>
  <si>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</si>
  <si>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</si>
  <si>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difference</t>
  </si>
  <si>
    <t>Special Fuel Refunds</t>
  </si>
  <si>
    <t>APRIL 2004</t>
  </si>
  <si>
    <t>Manuel Barcellos</t>
  </si>
  <si>
    <t>Trejo Oil Company</t>
  </si>
  <si>
    <t>to Battle Mtn</t>
  </si>
  <si>
    <t>SF Refunds</t>
  </si>
  <si>
    <t>Audits</t>
  </si>
  <si>
    <t>Musket Corp</t>
  </si>
  <si>
    <t>Lander 9¢</t>
  </si>
  <si>
    <t>Epic Aviation</t>
  </si>
  <si>
    <t>Bay Area Diablo</t>
  </si>
  <si>
    <t>Majors Fuel Inc</t>
  </si>
  <si>
    <t>Petroleum Wholesale LP</t>
  </si>
  <si>
    <t>Petroleum Wholesales LP</t>
  </si>
  <si>
    <t>Petro Stopping Centers</t>
  </si>
  <si>
    <t>Aircraft International</t>
  </si>
  <si>
    <t>Beneto Inc</t>
  </si>
  <si>
    <t>CL Bryant Inc</t>
  </si>
  <si>
    <t>Duck Valley Reservation</t>
  </si>
  <si>
    <t>Mercury Air Group Inc</t>
  </si>
  <si>
    <t>Mieco Inc</t>
  </si>
  <si>
    <t xml:space="preserve">Off 8.28 due </t>
  </si>
  <si>
    <t>to Duck Valley</t>
  </si>
  <si>
    <t xml:space="preserve">Pyramid Lake </t>
  </si>
  <si>
    <t>Henderson AP</t>
  </si>
  <si>
    <t>City of Mesquite AP</t>
  </si>
  <si>
    <t>Humboldt Cnty AP</t>
  </si>
  <si>
    <t>Battle Mountain Band 3-04</t>
  </si>
  <si>
    <t>Battle Mountain 3-04</t>
  </si>
  <si>
    <t>Sierra Tabacco</t>
  </si>
  <si>
    <t>Washoe Co off 583.81</t>
  </si>
  <si>
    <t>due to Pyramid Lake</t>
  </si>
  <si>
    <t>Simons Petroleum</t>
  </si>
  <si>
    <t>World Fuel Service Inc</t>
  </si>
  <si>
    <t>.</t>
  </si>
  <si>
    <t>Crawford Oil Inc Adj</t>
  </si>
  <si>
    <t>ConocoPhillips Adj</t>
  </si>
  <si>
    <t>Dats Trucking Adj</t>
  </si>
  <si>
    <t>Foreland Refining Corp Adj</t>
  </si>
  <si>
    <t>Inter State Oil Company Adj</t>
  </si>
  <si>
    <t>Ken Bettridge Adj</t>
  </si>
  <si>
    <t>Manuel Barcellos Adj</t>
  </si>
  <si>
    <t>Simon's Petroleum Adj</t>
  </si>
  <si>
    <t>Rhinehart Oil Co Adj</t>
  </si>
  <si>
    <t>Battle Mountain Adj</t>
  </si>
  <si>
    <t>Battle Mountain 3-04 Adj</t>
  </si>
  <si>
    <t>Exxon/Mobil Oil 11-02 AM</t>
  </si>
  <si>
    <t>Exxon/Mobil Oil 12-02 AM</t>
  </si>
  <si>
    <t>Jackson Food 4-02 AM</t>
  </si>
  <si>
    <t>Jackson Food</t>
  </si>
  <si>
    <t>Jackson Food 10-02 AM</t>
  </si>
  <si>
    <t>Simon's Peroleum 7-02 AM</t>
  </si>
  <si>
    <t>Truman Arnold Co 2-04 AM</t>
  </si>
  <si>
    <t>Truman Arnold Co 2-04</t>
  </si>
  <si>
    <t>GN Renn Inc</t>
  </si>
  <si>
    <t>Ed Staub</t>
  </si>
  <si>
    <t>Premium Oil Co</t>
  </si>
  <si>
    <t>Terry Oil Co</t>
  </si>
  <si>
    <t>Grand Total</t>
  </si>
  <si>
    <t>Maverik Country 2-03 Audit</t>
  </si>
  <si>
    <t>Maverik Country 3-03 Audit</t>
  </si>
  <si>
    <t>Maverik Country 1-03 Audit</t>
  </si>
  <si>
    <t>Maverik Counrty 3-03 Audit Rev</t>
  </si>
  <si>
    <t>Maverik Country 3-03 Audit Rev</t>
  </si>
  <si>
    <t>Maverik Country 1-03 Audit Rev</t>
  </si>
  <si>
    <t>Maverik Country 2-03 Audit Rev</t>
  </si>
  <si>
    <t>Maverik Country 10-03 Audit</t>
  </si>
  <si>
    <t>Maverik Country 10-03 Audit Rev</t>
  </si>
  <si>
    <t>Maverik Country 10-03 Audit 2</t>
  </si>
  <si>
    <t>Maverik Country 10-03 Audit P &amp; I</t>
  </si>
  <si>
    <t>Penalty &amp; Interest</t>
  </si>
  <si>
    <t>Native Nations &amp; Walker River Refunds</t>
  </si>
  <si>
    <t>Maverik 1-03</t>
  </si>
  <si>
    <t>Maverik 2-03</t>
  </si>
  <si>
    <t>Maverik 3-03</t>
  </si>
  <si>
    <t>Maverik 10-03</t>
  </si>
  <si>
    <t>Maverik 10-03 2</t>
  </si>
  <si>
    <t xml:space="preserve">Off 4016.08 due </t>
  </si>
  <si>
    <t>Native Nations 6-03 Bishop</t>
  </si>
  <si>
    <t>Native Nations 6-03 Oroville</t>
  </si>
  <si>
    <t>Native Nations 7-03 Bishop</t>
  </si>
  <si>
    <t>Native Nations 7-03 Oroville</t>
  </si>
  <si>
    <t>Native Nations 4-04</t>
  </si>
  <si>
    <t>Walker River Paiute Tribe</t>
  </si>
  <si>
    <t xml:space="preserve">   this month's clean up fee refunds</t>
  </si>
  <si>
    <t xml:space="preserve">   ** $2,582.75 is the amount of</t>
  </si>
  <si>
    <t>Eastern Aviation Fuels of NC</t>
  </si>
  <si>
    <t>Holly Refining &amp; Marketing Co</t>
  </si>
  <si>
    <t>Inyo Crude Inc</t>
  </si>
  <si>
    <t>Nevada Petroleum</t>
  </si>
  <si>
    <t>Petro America</t>
  </si>
  <si>
    <t>Sunoco</t>
  </si>
  <si>
    <t>Tri Valley</t>
  </si>
  <si>
    <t>Valero Marketing Adj 1-04</t>
  </si>
  <si>
    <t>Citgo</t>
  </si>
  <si>
    <t>Dial Oil</t>
  </si>
  <si>
    <t>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</si>
</sst>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;;;"/>
    <numFmt numFmtId="166" formatCode="0.000%"/>
    <numFmt numFmtId="167" formatCode="0.0000000%"/>
    <numFmt numFmtId="168" formatCode="mmmm\ yyyy"/>
    <numFmt numFmtId="169" formatCode="_(* #,##0_);_(* \(#,##0\);_(* &quot;-&quot;??_);_(@_)"/>
    <numFmt numFmtId="170" formatCode="0.0000000"/>
    <numFmt numFmtId="171" formatCode="0.00_);[Red]\(0.00\)"/>
    <numFmt numFmtId="172" formatCode="_(&quot;$&quot;* #,##0.00_);_(&quot;$&quot;* \(#,##0.00\);_(&quot;$&quot;* &quot;-&quot;_);_(@_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1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4" fontId="0" fillId="0" borderId="0" xfId="0" applyNumberFormat="1" applyProtection="1"/>
    <xf numFmtId="10" fontId="0" fillId="0" borderId="0" xfId="0" applyNumberFormat="1" applyProtection="1"/>
    <xf numFmtId="165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67" fontId="0" fillId="0" borderId="0" xfId="0" applyNumberFormat="1" applyProtection="1"/>
    <xf numFmtId="164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4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6" fontId="0" fillId="0" borderId="3" xfId="0" applyNumberFormat="1" applyBorder="1" applyProtection="1"/>
    <xf numFmtId="165" fontId="0" fillId="0" borderId="1" xfId="0" applyNumberFormat="1" applyBorder="1" applyProtection="1"/>
    <xf numFmtId="164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68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4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4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69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69" fontId="18" fillId="0" borderId="10" xfId="0" applyNumberFormat="1" applyFont="1" applyBorder="1"/>
    <xf numFmtId="164" fontId="18" fillId="0" borderId="10" xfId="0" applyNumberFormat="1" applyFont="1" applyBorder="1"/>
    <xf numFmtId="164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4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4" fontId="2" fillId="0" borderId="0" xfId="4" applyNumberFormat="1" applyBorder="1"/>
    <xf numFmtId="164" fontId="2" fillId="0" borderId="10" xfId="4" applyNumberFormat="1" applyBorder="1"/>
    <xf numFmtId="164" fontId="2" fillId="0" borderId="11" xfId="4" applyNumberFormat="1" applyBorder="1"/>
    <xf numFmtId="43" fontId="2" fillId="0" borderId="11" xfId="1" applyBorder="1"/>
    <xf numFmtId="164" fontId="2" fillId="0" borderId="12" xfId="4" applyNumberFormat="1" applyBorder="1"/>
    <xf numFmtId="164" fontId="2" fillId="0" borderId="0" xfId="4" applyNumberFormat="1" applyFont="1" applyBorder="1"/>
    <xf numFmtId="3" fontId="18" fillId="0" borderId="3" xfId="0" applyNumberFormat="1" applyFont="1" applyBorder="1" applyAlignment="1">
      <alignment horizontal="center" wrapText="1"/>
    </xf>
    <xf numFmtId="164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4" fontId="2" fillId="0" borderId="0" xfId="4" applyNumberFormat="1" applyAlignment="1">
      <alignment wrapText="1"/>
    </xf>
    <xf numFmtId="164" fontId="2" fillId="0" borderId="0" xfId="4" applyNumberFormat="1" applyFont="1" applyAlignment="1">
      <alignment wrapText="1"/>
    </xf>
    <xf numFmtId="164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4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quotePrefix="1" applyFont="1" applyAlignment="1">
      <alignment horizontal="center"/>
    </xf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67" fontId="0" fillId="0" borderId="0" xfId="0" applyNumberFormat="1" applyAlignment="1">
      <alignment wrapText="1"/>
    </xf>
    <xf numFmtId="167" fontId="0" fillId="0" borderId="0" xfId="0" applyNumberFormat="1" applyBorder="1" applyAlignment="1">
      <alignment wrapText="1"/>
    </xf>
    <xf numFmtId="167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171" fontId="0" fillId="0" borderId="0" xfId="0" applyNumberFormat="1" applyProtection="1"/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4" fontId="0" fillId="0" borderId="0" xfId="0" applyNumberFormat="1"/>
    <xf numFmtId="0" fontId="0" fillId="6" borderId="10" xfId="0" applyFill="1" applyBorder="1"/>
    <xf numFmtId="38" fontId="0" fillId="0" borderId="0" xfId="0" applyNumberFormat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4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4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4" fontId="2" fillId="0" borderId="10" xfId="4" applyNumberFormat="1" applyFont="1" applyBorder="1"/>
    <xf numFmtId="164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70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4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67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172" fontId="34" fillId="7" borderId="0" xfId="0" applyNumberFormat="1" applyFont="1" applyFill="1" applyProtection="1"/>
    <xf numFmtId="164" fontId="34" fillId="7" borderId="0" xfId="0" applyNumberFormat="1" applyFont="1" applyFill="1" applyProtection="1"/>
    <xf numFmtId="172" fontId="35" fillId="7" borderId="0" xfId="0" applyNumberFormat="1" applyFont="1" applyFill="1" applyProtection="1"/>
    <xf numFmtId="172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4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172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172" fontId="35" fillId="7" borderId="10" xfId="0" applyNumberFormat="1" applyFont="1" applyFill="1" applyBorder="1" applyProtection="1"/>
    <xf numFmtId="172" fontId="36" fillId="7" borderId="10" xfId="0" applyNumberFormat="1" applyFont="1" applyFill="1" applyBorder="1" applyProtection="1"/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10" fontId="0" fillId="0" borderId="8" xfId="0" applyNumberFormat="1" applyBorder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70" fontId="0" fillId="0" borderId="13" xfId="0" applyNumberFormat="1" applyBorder="1" applyProtection="1"/>
    <xf numFmtId="164" fontId="2" fillId="0" borderId="0" xfId="4" applyNumberFormat="1" applyBorder="1" applyAlignment="1">
      <alignment wrapText="1"/>
    </xf>
    <xf numFmtId="164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0" fontId="4" fillId="0" borderId="0" xfId="0" applyFont="1" applyBorder="1" applyProtection="1"/>
    <xf numFmtId="39" fontId="4" fillId="0" borderId="0" xfId="0" applyNumberFormat="1" applyFont="1" applyFill="1" applyProtection="1"/>
    <xf numFmtId="44" fontId="18" fillId="0" borderId="0" xfId="0" applyNumberFormat="1" applyFont="1"/>
    <xf numFmtId="40" fontId="4" fillId="0" borderId="0" xfId="0" applyNumberFormat="1" applyFont="1"/>
    <xf numFmtId="0" fontId="0" fillId="0" borderId="16" xfId="0" applyBorder="1"/>
    <xf numFmtId="44" fontId="0" fillId="0" borderId="17" xfId="2" applyFont="1" applyBorder="1"/>
    <xf numFmtId="7" fontId="0" fillId="2" borderId="0" xfId="0" applyNumberFormat="1" applyFill="1" applyProtection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Continuous"/>
    </xf>
    <xf numFmtId="0" fontId="0" fillId="0" borderId="0" xfId="0" quotePrefix="1" applyFill="1" applyAlignment="1" applyProtection="1">
      <alignment horizontal="right"/>
    </xf>
    <xf numFmtId="44" fontId="0" fillId="0" borderId="2" xfId="0" applyNumberFormat="1" applyFill="1" applyBorder="1" applyProtection="1"/>
    <xf numFmtId="43" fontId="2" fillId="0" borderId="0" xfId="1" applyFill="1" applyProtection="1"/>
    <xf numFmtId="4" fontId="0" fillId="0" borderId="0" xfId="0" applyNumberFormat="1" applyFill="1"/>
    <xf numFmtId="4" fontId="18" fillId="0" borderId="13" xfId="0" applyNumberFormat="1" applyFont="1" applyFill="1" applyBorder="1"/>
    <xf numFmtId="40" fontId="0" fillId="0" borderId="0" xfId="0" applyNumberFormat="1" applyFill="1"/>
    <xf numFmtId="167" fontId="0" fillId="0" borderId="0" xfId="0" applyNumberFormat="1" applyFill="1"/>
    <xf numFmtId="167" fontId="0" fillId="0" borderId="13" xfId="0" applyNumberFormat="1" applyFill="1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cmahoney\LOCALS~1\Temp\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282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12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2" width="14.7109375" hidden="1" customWidth="1"/>
    <col min="33" max="33" width="13" hidden="1" customWidth="1"/>
    <col min="34" max="34" width="14.140625" hidden="1" customWidth="1"/>
    <col min="35" max="35" width="13.140625" hidden="1" customWidth="1"/>
    <col min="36" max="36" width="12.42578125" hidden="1" customWidth="1"/>
    <col min="37" max="37" width="12.5703125" hidden="1" customWidth="1"/>
    <col min="38" max="38" width="12.42578125" hidden="1" customWidth="1"/>
    <col min="39" max="39" width="13.140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111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693</v>
      </c>
      <c r="AP1" s="82"/>
    </row>
    <row r="2" spans="1:60" ht="15.75" x14ac:dyDescent="0.25">
      <c r="A2" s="112" t="str">
        <f>ReportMonth</f>
        <v>APRIL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693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444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3" t="str">
        <f>CONCATENATE("EXCISE TAX COLLECTED IN ",ReportMonth," FOR ",ActivityMonth," FUEL TRANSACTIONS")</f>
        <v>EXCISE TAX COLLECTED IN APRIL 2004 FOR APRIL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5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656</v>
      </c>
      <c r="J10" s="373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0" t="s">
        <v>666</v>
      </c>
      <c r="AG10" s="400"/>
      <c r="AH10" s="400"/>
      <c r="AI10" s="400"/>
      <c r="AJ10" s="400"/>
      <c r="AK10" s="400"/>
      <c r="AL10" s="400"/>
      <c r="AM10" s="400"/>
      <c r="AN10" s="400"/>
      <c r="AO10" s="400"/>
      <c r="AP10" s="400"/>
      <c r="AQ10" s="400"/>
      <c r="AR10" s="400"/>
      <c r="AS10" s="400"/>
      <c r="AT10" s="400"/>
      <c r="AU10" s="400"/>
      <c r="AV10" s="400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 t="s">
        <v>655</v>
      </c>
      <c r="J11" s="374" t="s">
        <v>20</v>
      </c>
      <c r="K11" s="18"/>
      <c r="L11" s="80"/>
      <c r="M11" s="106" t="s">
        <v>21</v>
      </c>
      <c r="N11" s="106" t="s">
        <v>22</v>
      </c>
      <c r="O11" s="107" t="s">
        <v>23</v>
      </c>
      <c r="P11" s="106" t="s">
        <v>24</v>
      </c>
      <c r="Q11" s="107" t="s">
        <v>25</v>
      </c>
      <c r="R11" s="106" t="s">
        <v>26</v>
      </c>
      <c r="S11" s="106" t="s">
        <v>27</v>
      </c>
      <c r="T11" s="106" t="s">
        <v>28</v>
      </c>
      <c r="U11" s="106" t="s">
        <v>29</v>
      </c>
      <c r="V11" s="106" t="s">
        <v>30</v>
      </c>
      <c r="W11" s="107" t="s">
        <v>31</v>
      </c>
      <c r="X11" s="106" t="s">
        <v>32</v>
      </c>
      <c r="Y11" s="107" t="s">
        <v>33</v>
      </c>
      <c r="Z11" s="106" t="s">
        <v>34</v>
      </c>
      <c r="AA11" s="106" t="s">
        <v>35</v>
      </c>
      <c r="AB11" s="107" t="s">
        <v>36</v>
      </c>
      <c r="AC11" s="106" t="s">
        <v>37</v>
      </c>
      <c r="AD11" s="106" t="s">
        <v>5</v>
      </c>
      <c r="AE11" s="18"/>
      <c r="AF11" s="317" t="s">
        <v>21</v>
      </c>
      <c r="AG11" s="317" t="s">
        <v>22</v>
      </c>
      <c r="AH11" s="318" t="s">
        <v>23</v>
      </c>
      <c r="AI11" s="317" t="s">
        <v>24</v>
      </c>
      <c r="AJ11" s="318" t="s">
        <v>25</v>
      </c>
      <c r="AK11" s="317" t="s">
        <v>26</v>
      </c>
      <c r="AL11" s="317" t="s">
        <v>27</v>
      </c>
      <c r="AM11" s="317" t="s">
        <v>28</v>
      </c>
      <c r="AN11" s="317" t="s">
        <v>29</v>
      </c>
      <c r="AO11" s="317" t="s">
        <v>30</v>
      </c>
      <c r="AP11" s="318" t="s">
        <v>31</v>
      </c>
      <c r="AQ11" s="317" t="s">
        <v>32</v>
      </c>
      <c r="AR11" s="318" t="s">
        <v>33</v>
      </c>
      <c r="AS11" s="317" t="s">
        <v>34</v>
      </c>
      <c r="AT11" s="317" t="s">
        <v>35</v>
      </c>
      <c r="AU11" s="318" t="s">
        <v>36</v>
      </c>
      <c r="AV11" s="317" t="s">
        <v>37</v>
      </c>
      <c r="AW11" s="319" t="s">
        <v>667</v>
      </c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5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9" t="s">
        <v>668</v>
      </c>
    </row>
    <row r="13" spans="1:60" ht="12.75" customHeight="1" x14ac:dyDescent="0.2">
      <c r="A13" s="1" t="s">
        <v>707</v>
      </c>
      <c r="B13" s="7">
        <v>6792</v>
      </c>
      <c r="C13" s="7">
        <v>0</v>
      </c>
      <c r="D13" s="2">
        <f t="shared" ref="D13:D18" si="0">(B13+C13)*0.124</f>
        <v>842.21</v>
      </c>
      <c r="E13" s="2">
        <f>(B13+C13)*0.049</f>
        <v>332.81</v>
      </c>
      <c r="F13" s="2">
        <f>(B13+C13)*0.0524</f>
        <v>355.9</v>
      </c>
      <c r="G13" s="2">
        <f>+AW13</f>
        <v>599.04999999999995</v>
      </c>
      <c r="H13" s="2">
        <f>(B13+C13)*0.0098</f>
        <v>66.56</v>
      </c>
      <c r="I13" s="2">
        <f>(AB13)*0.0041219</f>
        <v>0</v>
      </c>
      <c r="J13" s="376">
        <f>SUM(D13:I13)</f>
        <v>2196.5300000000002</v>
      </c>
      <c r="K13" s="1"/>
      <c r="L13" s="7"/>
      <c r="M13" s="7"/>
      <c r="N13" s="7"/>
      <c r="O13" s="7">
        <v>6792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6792</v>
      </c>
      <c r="AE13" s="1"/>
      <c r="AF13" s="283">
        <f>+M13*$AF$12</f>
        <v>0</v>
      </c>
      <c r="AG13" s="283">
        <f>+N13*$AG$12</f>
        <v>0</v>
      </c>
      <c r="AH13" s="283">
        <f>+O13*$AH$12</f>
        <v>599.04999999999995</v>
      </c>
      <c r="AI13" s="283">
        <f>+P13*$AI$12</f>
        <v>0</v>
      </c>
      <c r="AJ13" s="283">
        <f>+Q13*$AJ$12</f>
        <v>0</v>
      </c>
      <c r="AK13" s="283">
        <f>+R13*$AK$12</f>
        <v>0</v>
      </c>
      <c r="AL13" s="283">
        <f>+S13*$AL$12</f>
        <v>0</v>
      </c>
      <c r="AM13" s="283">
        <f>+T13*$AM$12</f>
        <v>0</v>
      </c>
      <c r="AN13" s="283">
        <f>+U13*$AN$12</f>
        <v>0</v>
      </c>
      <c r="AO13" s="283">
        <f>+V13*$AO$12</f>
        <v>0</v>
      </c>
      <c r="AP13" s="283">
        <f>+W13*$AP$12</f>
        <v>0</v>
      </c>
      <c r="AQ13" s="283">
        <f>+X13*$AQ$12</f>
        <v>0</v>
      </c>
      <c r="AR13" s="283">
        <f>+Y13*$AR$12</f>
        <v>0</v>
      </c>
      <c r="AS13" s="283">
        <f>+Z13*$AS$12</f>
        <v>0</v>
      </c>
      <c r="AT13" s="283">
        <f>+AA13*$AT$12</f>
        <v>0</v>
      </c>
      <c r="AU13" s="283">
        <f>+AB13*$AU$12</f>
        <v>0</v>
      </c>
      <c r="AV13" s="283">
        <f>+AC13*$AV$12</f>
        <v>0</v>
      </c>
      <c r="AW13" s="320">
        <f>SUM(AF13:AV13)</f>
        <v>599.04999999999995</v>
      </c>
    </row>
    <row r="14" spans="1:60" ht="12.75" customHeight="1" x14ac:dyDescent="0.2">
      <c r="A14" s="1" t="s">
        <v>38</v>
      </c>
      <c r="B14" s="7">
        <v>219120</v>
      </c>
      <c r="C14" s="7">
        <v>0</v>
      </c>
      <c r="D14" s="2">
        <f t="shared" si="0"/>
        <v>27170.880000000001</v>
      </c>
      <c r="E14" s="2">
        <f t="shared" ref="E14:E24" si="1">(B14+C14)*0.049</f>
        <v>10736.88</v>
      </c>
      <c r="F14" s="2">
        <f t="shared" ref="F14:F24" si="2">(B14+C14)*0.0524</f>
        <v>11481.89</v>
      </c>
      <c r="G14" s="2">
        <f t="shared" ref="G14:G90" si="3">+AW14</f>
        <v>11272.25</v>
      </c>
      <c r="H14" s="2">
        <f t="shared" ref="H14:H97" si="4">(B14+C14)*0.0098</f>
        <v>2147.38</v>
      </c>
      <c r="I14" s="2">
        <f t="shared" ref="I14:I90" si="5">(AB14)*0.0041219</f>
        <v>0</v>
      </c>
      <c r="J14" s="376">
        <f t="shared" ref="J14:J89" si="6">SUM(D14:I14)</f>
        <v>62809.279999999999</v>
      </c>
      <c r="K14" s="1"/>
      <c r="L14" s="7"/>
      <c r="M14" s="7"/>
      <c r="N14" s="7"/>
      <c r="O14" s="7"/>
      <c r="P14" s="7"/>
      <c r="Q14" s="7">
        <v>147822</v>
      </c>
      <c r="R14" s="7"/>
      <c r="S14" s="7">
        <v>16548</v>
      </c>
      <c r="T14" s="7">
        <v>13885</v>
      </c>
      <c r="U14" s="7">
        <v>36843</v>
      </c>
      <c r="V14" s="7"/>
      <c r="W14" s="7"/>
      <c r="X14" s="7">
        <v>4022</v>
      </c>
      <c r="Y14" s="7"/>
      <c r="Z14" s="7"/>
      <c r="AA14" s="7"/>
      <c r="AB14" s="7"/>
      <c r="AC14" s="7"/>
      <c r="AD14" s="7">
        <f t="shared" ref="AD14:AD29" si="7">SUM(L14:AC14)</f>
        <v>219120</v>
      </c>
      <c r="AE14" s="1"/>
      <c r="AF14" s="283">
        <f t="shared" ref="AF14:AF90" si="8">+M14*$AF$12</f>
        <v>0</v>
      </c>
      <c r="AG14" s="283">
        <f t="shared" ref="AG14:AG90" si="9">+N14*$AG$12</f>
        <v>0</v>
      </c>
      <c r="AH14" s="283">
        <f t="shared" ref="AH14:AH90" si="10">+O14*$AH$12</f>
        <v>0</v>
      </c>
      <c r="AI14" s="283">
        <f t="shared" ref="AI14:AI90" si="11">+P14*$AI$12</f>
        <v>0</v>
      </c>
      <c r="AJ14" s="283">
        <f t="shared" ref="AJ14:AJ90" si="12">+Q14*$AJ$12</f>
        <v>5794.62</v>
      </c>
      <c r="AK14" s="283">
        <f t="shared" ref="AK14:AK90" si="13">+R14*$AK$12</f>
        <v>0</v>
      </c>
      <c r="AL14" s="283">
        <f t="shared" ref="AL14:AL90" si="14">+S14*$AL$12</f>
        <v>648.67999999999995</v>
      </c>
      <c r="AM14" s="283">
        <f t="shared" ref="AM14:AM90" si="15">+T14*$AM$12</f>
        <v>1224.6600000000001</v>
      </c>
      <c r="AN14" s="283">
        <f t="shared" ref="AN14:AN90" si="16">+U14*$AN$12</f>
        <v>3249.55</v>
      </c>
      <c r="AO14" s="283">
        <f t="shared" ref="AO14:AO90" si="17">+V14*$AO$12</f>
        <v>0</v>
      </c>
      <c r="AP14" s="283">
        <f t="shared" ref="AP14:AP90" si="18">+W14*$AP$12</f>
        <v>0</v>
      </c>
      <c r="AQ14" s="283">
        <f t="shared" ref="AQ14:AQ90" si="19">+X14*$AQ$12</f>
        <v>354.74</v>
      </c>
      <c r="AR14" s="283">
        <f t="shared" ref="AR14:AR90" si="20">+Y14*$AR$12</f>
        <v>0</v>
      </c>
      <c r="AS14" s="283">
        <f t="shared" ref="AS14:AS90" si="21">+Z14*$AS$12</f>
        <v>0</v>
      </c>
      <c r="AT14" s="283">
        <f t="shared" ref="AT14:AT90" si="22">+AA14*$AT$12</f>
        <v>0</v>
      </c>
      <c r="AU14" s="283">
        <f t="shared" ref="AU14:AU90" si="23">+AB14*$AU$12</f>
        <v>0</v>
      </c>
      <c r="AV14" s="283">
        <f t="shared" ref="AV14:AV90" si="24">+AC14*$AV$12</f>
        <v>0</v>
      </c>
      <c r="AW14" s="320">
        <f t="shared" ref="AW14:AW90" si="25">SUM(AF14:AV14)</f>
        <v>11272.25</v>
      </c>
    </row>
    <row r="15" spans="1:60" x14ac:dyDescent="0.2">
      <c r="A15" s="1" t="s">
        <v>345</v>
      </c>
      <c r="B15" s="7">
        <v>23816</v>
      </c>
      <c r="C15" s="7">
        <v>0</v>
      </c>
      <c r="D15" s="2">
        <f t="shared" si="0"/>
        <v>2953.18</v>
      </c>
      <c r="E15" s="2">
        <f t="shared" si="1"/>
        <v>1166.98</v>
      </c>
      <c r="F15" s="2">
        <f t="shared" si="2"/>
        <v>1247.96</v>
      </c>
      <c r="G15" s="2">
        <f t="shared" si="3"/>
        <v>2100.5700000000002</v>
      </c>
      <c r="H15" s="2">
        <f t="shared" si="4"/>
        <v>233.4</v>
      </c>
      <c r="I15" s="2">
        <f t="shared" si="5"/>
        <v>0</v>
      </c>
      <c r="J15" s="376">
        <f t="shared" si="6"/>
        <v>7702.09</v>
      </c>
      <c r="K15" s="1"/>
      <c r="L15" s="7"/>
      <c r="M15" s="7"/>
      <c r="N15" s="7"/>
      <c r="O15" s="7"/>
      <c r="P15" s="7"/>
      <c r="Q15" s="7"/>
      <c r="R15" s="7"/>
      <c r="S15" s="7"/>
      <c r="T15" s="7"/>
      <c r="U15" s="7">
        <v>23816</v>
      </c>
      <c r="V15" s="7"/>
      <c r="W15" s="7"/>
      <c r="X15" s="7"/>
      <c r="Y15" s="7"/>
      <c r="Z15" s="7"/>
      <c r="AA15" s="7"/>
      <c r="AB15" s="7"/>
      <c r="AC15" s="7"/>
      <c r="AD15" s="7">
        <f t="shared" si="7"/>
        <v>23816</v>
      </c>
      <c r="AE15" s="1"/>
      <c r="AF15" s="283">
        <f t="shared" si="8"/>
        <v>0</v>
      </c>
      <c r="AG15" s="283">
        <f t="shared" si="9"/>
        <v>0</v>
      </c>
      <c r="AH15" s="283">
        <f t="shared" si="10"/>
        <v>0</v>
      </c>
      <c r="AI15" s="283">
        <f t="shared" si="11"/>
        <v>0</v>
      </c>
      <c r="AJ15" s="283">
        <f t="shared" si="12"/>
        <v>0</v>
      </c>
      <c r="AK15" s="283">
        <f t="shared" si="13"/>
        <v>0</v>
      </c>
      <c r="AL15" s="283">
        <f t="shared" si="14"/>
        <v>0</v>
      </c>
      <c r="AM15" s="283">
        <f t="shared" si="15"/>
        <v>0</v>
      </c>
      <c r="AN15" s="283">
        <f t="shared" si="16"/>
        <v>2100.5700000000002</v>
      </c>
      <c r="AO15" s="283">
        <f t="shared" si="17"/>
        <v>0</v>
      </c>
      <c r="AP15" s="283">
        <f t="shared" si="18"/>
        <v>0</v>
      </c>
      <c r="AQ15" s="283">
        <f t="shared" si="19"/>
        <v>0</v>
      </c>
      <c r="AR15" s="283">
        <f t="shared" si="20"/>
        <v>0</v>
      </c>
      <c r="AS15" s="283">
        <f t="shared" si="21"/>
        <v>0</v>
      </c>
      <c r="AT15" s="283">
        <f t="shared" si="22"/>
        <v>0</v>
      </c>
      <c r="AU15" s="283">
        <f t="shared" si="23"/>
        <v>0</v>
      </c>
      <c r="AV15" s="283">
        <f t="shared" si="24"/>
        <v>0</v>
      </c>
      <c r="AW15" s="320">
        <f t="shared" si="25"/>
        <v>2100.5700000000002</v>
      </c>
    </row>
    <row r="16" spans="1:60" x14ac:dyDescent="0.2">
      <c r="A16" s="7" t="s">
        <v>39</v>
      </c>
      <c r="B16" s="7">
        <v>159</v>
      </c>
      <c r="C16" s="7">
        <v>0</v>
      </c>
      <c r="D16" s="2">
        <f t="shared" si="0"/>
        <v>19.72</v>
      </c>
      <c r="E16" s="2">
        <f t="shared" si="1"/>
        <v>7.79</v>
      </c>
      <c r="F16" s="2">
        <f t="shared" si="2"/>
        <v>8.33</v>
      </c>
      <c r="G16" s="2">
        <f t="shared" si="3"/>
        <v>14.02</v>
      </c>
      <c r="H16" s="2">
        <f t="shared" si="4"/>
        <v>1.56</v>
      </c>
      <c r="I16" s="2">
        <f t="shared" si="5"/>
        <v>0</v>
      </c>
      <c r="J16" s="376">
        <f t="shared" si="6"/>
        <v>51.42</v>
      </c>
      <c r="K16" s="1"/>
      <c r="L16" s="7"/>
      <c r="M16" s="7"/>
      <c r="N16" s="7"/>
      <c r="O16" s="7">
        <v>159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f t="shared" si="7"/>
        <v>159</v>
      </c>
      <c r="AF16" s="283">
        <f t="shared" si="8"/>
        <v>0</v>
      </c>
      <c r="AG16" s="283">
        <f t="shared" si="9"/>
        <v>0</v>
      </c>
      <c r="AH16" s="283">
        <f t="shared" si="10"/>
        <v>14.02</v>
      </c>
      <c r="AI16" s="283">
        <f t="shared" si="11"/>
        <v>0</v>
      </c>
      <c r="AJ16" s="283">
        <f t="shared" si="12"/>
        <v>0</v>
      </c>
      <c r="AK16" s="283">
        <f t="shared" si="13"/>
        <v>0</v>
      </c>
      <c r="AL16" s="283">
        <f t="shared" si="14"/>
        <v>0</v>
      </c>
      <c r="AM16" s="283">
        <f t="shared" si="15"/>
        <v>0</v>
      </c>
      <c r="AN16" s="283">
        <f t="shared" si="16"/>
        <v>0</v>
      </c>
      <c r="AO16" s="283">
        <f t="shared" si="17"/>
        <v>0</v>
      </c>
      <c r="AP16" s="283">
        <f t="shared" si="18"/>
        <v>0</v>
      </c>
      <c r="AQ16" s="283">
        <f t="shared" si="19"/>
        <v>0</v>
      </c>
      <c r="AR16" s="283">
        <f t="shared" si="20"/>
        <v>0</v>
      </c>
      <c r="AS16" s="283">
        <f t="shared" si="21"/>
        <v>0</v>
      </c>
      <c r="AT16" s="283">
        <f t="shared" si="22"/>
        <v>0</v>
      </c>
      <c r="AU16" s="283">
        <f t="shared" si="23"/>
        <v>0</v>
      </c>
      <c r="AV16" s="283">
        <f t="shared" si="24"/>
        <v>0</v>
      </c>
      <c r="AW16" s="320">
        <f t="shared" si="25"/>
        <v>14.02</v>
      </c>
    </row>
    <row r="17" spans="1:49" x14ac:dyDescent="0.2">
      <c r="A17" s="18" t="s">
        <v>605</v>
      </c>
      <c r="B17" s="7">
        <v>5173</v>
      </c>
      <c r="C17" s="7">
        <v>0</v>
      </c>
      <c r="D17" s="2">
        <f t="shared" si="0"/>
        <v>641.45000000000005</v>
      </c>
      <c r="E17" s="2">
        <f>(B17+C17)*0.049</f>
        <v>253.48</v>
      </c>
      <c r="F17" s="2">
        <f>(B17+C17)*0.0524</f>
        <v>271.07</v>
      </c>
      <c r="G17" s="2">
        <f t="shared" si="3"/>
        <v>454.49</v>
      </c>
      <c r="H17" s="2">
        <f>(B17+C17)*0.0098-0.2</f>
        <v>50.5</v>
      </c>
      <c r="I17" s="2">
        <f t="shared" si="5"/>
        <v>0.7</v>
      </c>
      <c r="J17" s="376">
        <f t="shared" si="6"/>
        <v>1671.69</v>
      </c>
      <c r="K17" s="1"/>
      <c r="L17" s="7"/>
      <c r="M17" s="7"/>
      <c r="N17" s="7"/>
      <c r="O17" s="7">
        <v>4982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v>171</v>
      </c>
      <c r="AC17" s="7"/>
      <c r="AD17" s="7">
        <f t="shared" si="7"/>
        <v>5153</v>
      </c>
      <c r="AF17" s="283">
        <f t="shared" si="8"/>
        <v>0</v>
      </c>
      <c r="AG17" s="283">
        <f t="shared" si="9"/>
        <v>0</v>
      </c>
      <c r="AH17" s="283">
        <f t="shared" si="10"/>
        <v>439.41</v>
      </c>
      <c r="AI17" s="283">
        <f t="shared" si="11"/>
        <v>0</v>
      </c>
      <c r="AJ17" s="283">
        <f t="shared" si="12"/>
        <v>0</v>
      </c>
      <c r="AK17" s="283">
        <f t="shared" si="13"/>
        <v>0</v>
      </c>
      <c r="AL17" s="283">
        <f t="shared" si="14"/>
        <v>0</v>
      </c>
      <c r="AM17" s="283">
        <f t="shared" si="15"/>
        <v>0</v>
      </c>
      <c r="AN17" s="283">
        <f t="shared" si="16"/>
        <v>0</v>
      </c>
      <c r="AO17" s="283">
        <f t="shared" si="17"/>
        <v>0</v>
      </c>
      <c r="AP17" s="283">
        <f t="shared" si="18"/>
        <v>0</v>
      </c>
      <c r="AQ17" s="283">
        <f t="shared" si="19"/>
        <v>0</v>
      </c>
      <c r="AR17" s="283">
        <f t="shared" si="20"/>
        <v>0</v>
      </c>
      <c r="AS17" s="283">
        <f t="shared" si="21"/>
        <v>0</v>
      </c>
      <c r="AT17" s="283">
        <f t="shared" si="22"/>
        <v>0</v>
      </c>
      <c r="AU17" s="283">
        <f t="shared" si="23"/>
        <v>15.08</v>
      </c>
      <c r="AV17" s="283">
        <f t="shared" si="24"/>
        <v>0</v>
      </c>
      <c r="AW17" s="320">
        <f t="shared" si="25"/>
        <v>454.49</v>
      </c>
    </row>
    <row r="18" spans="1:49" x14ac:dyDescent="0.2">
      <c r="A18" s="1" t="s">
        <v>491</v>
      </c>
      <c r="B18" s="7">
        <v>0</v>
      </c>
      <c r="C18" s="7">
        <v>208949</v>
      </c>
      <c r="D18" s="2">
        <f t="shared" si="0"/>
        <v>25909.68</v>
      </c>
      <c r="E18" s="2">
        <f t="shared" si="1"/>
        <v>10238.5</v>
      </c>
      <c r="F18" s="2">
        <f t="shared" si="2"/>
        <v>10948.93</v>
      </c>
      <c r="G18" s="2">
        <f t="shared" si="3"/>
        <v>18429.3</v>
      </c>
      <c r="H18" s="2">
        <f t="shared" si="4"/>
        <v>2047.7</v>
      </c>
      <c r="I18" s="2">
        <f t="shared" si="5"/>
        <v>0</v>
      </c>
      <c r="J18" s="376">
        <f t="shared" si="6"/>
        <v>67574.11</v>
      </c>
      <c r="K18" s="1"/>
      <c r="L18" s="7"/>
      <c r="M18" s="7"/>
      <c r="N18" s="7"/>
      <c r="O18" s="7">
        <v>208949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7"/>
        <v>208949</v>
      </c>
      <c r="AE18" s="7"/>
      <c r="AF18" s="283">
        <f t="shared" si="8"/>
        <v>0</v>
      </c>
      <c r="AG18" s="283">
        <f t="shared" si="9"/>
        <v>0</v>
      </c>
      <c r="AH18" s="283">
        <f t="shared" si="10"/>
        <v>18429.3</v>
      </c>
      <c r="AI18" s="283">
        <f t="shared" si="11"/>
        <v>0</v>
      </c>
      <c r="AJ18" s="283">
        <f t="shared" si="12"/>
        <v>0</v>
      </c>
      <c r="AK18" s="283">
        <f t="shared" si="13"/>
        <v>0</v>
      </c>
      <c r="AL18" s="283">
        <f t="shared" si="14"/>
        <v>0</v>
      </c>
      <c r="AM18" s="283">
        <f t="shared" si="15"/>
        <v>0</v>
      </c>
      <c r="AN18" s="283">
        <f t="shared" si="16"/>
        <v>0</v>
      </c>
      <c r="AO18" s="283">
        <f t="shared" si="17"/>
        <v>0</v>
      </c>
      <c r="AP18" s="283">
        <f t="shared" si="18"/>
        <v>0</v>
      </c>
      <c r="AQ18" s="283">
        <f t="shared" si="19"/>
        <v>0</v>
      </c>
      <c r="AR18" s="283">
        <f t="shared" si="20"/>
        <v>0</v>
      </c>
      <c r="AS18" s="283">
        <f t="shared" si="21"/>
        <v>0</v>
      </c>
      <c r="AT18" s="283">
        <f t="shared" si="22"/>
        <v>0</v>
      </c>
      <c r="AU18" s="283">
        <f t="shared" si="23"/>
        <v>0</v>
      </c>
      <c r="AV18" s="283">
        <f t="shared" si="24"/>
        <v>0</v>
      </c>
      <c r="AW18" s="320">
        <f t="shared" si="25"/>
        <v>18429.3</v>
      </c>
    </row>
    <row r="19" spans="1:49" x14ac:dyDescent="0.2">
      <c r="A19" s="7" t="s">
        <v>601</v>
      </c>
      <c r="B19" s="7">
        <v>36929</v>
      </c>
      <c r="C19" s="7">
        <v>0</v>
      </c>
      <c r="D19" s="2">
        <f>(B19+C19)*0.124-374.84</f>
        <v>4204.3599999999997</v>
      </c>
      <c r="E19" s="2">
        <f>(B19+C19)*0.049-147.72</f>
        <v>1661.8</v>
      </c>
      <c r="F19" s="2">
        <f>(B19+C19)*0.0524-156.94</f>
        <v>1778.14</v>
      </c>
      <c r="G19" s="2">
        <f t="shared" si="3"/>
        <v>1329.44</v>
      </c>
      <c r="H19" s="2">
        <f>(B19+C19)*0.0098-29.54</f>
        <v>332.36</v>
      </c>
      <c r="I19" s="2">
        <f t="shared" si="5"/>
        <v>0</v>
      </c>
      <c r="J19" s="376">
        <f t="shared" si="6"/>
        <v>9306.1</v>
      </c>
      <c r="K19" s="1"/>
      <c r="L19" s="7"/>
      <c r="M19" s="7"/>
      <c r="N19" s="7"/>
      <c r="O19" s="7"/>
      <c r="P19" s="7"/>
      <c r="Q19" s="7"/>
      <c r="R19" s="7"/>
      <c r="S19" s="7"/>
      <c r="T19" s="7"/>
      <c r="U19" s="7">
        <v>36929</v>
      </c>
      <c r="V19" s="7"/>
      <c r="W19" s="7"/>
      <c r="X19" s="7"/>
      <c r="Y19" s="7"/>
      <c r="Z19" s="7"/>
      <c r="AA19" s="7"/>
      <c r="AB19" s="7"/>
      <c r="AC19" s="7"/>
      <c r="AD19" s="7">
        <f t="shared" si="7"/>
        <v>36929</v>
      </c>
      <c r="AF19" s="283">
        <f t="shared" si="8"/>
        <v>0</v>
      </c>
      <c r="AG19" s="283">
        <f t="shared" si="9"/>
        <v>0</v>
      </c>
      <c r="AH19" s="283">
        <f t="shared" si="10"/>
        <v>0</v>
      </c>
      <c r="AI19" s="283">
        <f t="shared" si="11"/>
        <v>0</v>
      </c>
      <c r="AJ19" s="283">
        <f t="shared" si="12"/>
        <v>0</v>
      </c>
      <c r="AK19" s="283">
        <f t="shared" si="13"/>
        <v>0</v>
      </c>
      <c r="AL19" s="283">
        <f t="shared" si="14"/>
        <v>0</v>
      </c>
      <c r="AM19" s="283">
        <f t="shared" si="15"/>
        <v>0</v>
      </c>
      <c r="AN19" s="283">
        <f>+U19*$AN$12-1927.7</f>
        <v>1329.44</v>
      </c>
      <c r="AO19" s="283">
        <f t="shared" si="17"/>
        <v>0</v>
      </c>
      <c r="AP19" s="283">
        <f t="shared" si="18"/>
        <v>0</v>
      </c>
      <c r="AQ19" s="283">
        <f t="shared" si="19"/>
        <v>0</v>
      </c>
      <c r="AR19" s="283">
        <f t="shared" si="20"/>
        <v>0</v>
      </c>
      <c r="AS19" s="283">
        <f t="shared" si="21"/>
        <v>0</v>
      </c>
      <c r="AT19" s="283">
        <f t="shared" si="22"/>
        <v>0</v>
      </c>
      <c r="AU19" s="283">
        <f t="shared" si="23"/>
        <v>0</v>
      </c>
      <c r="AV19" s="283">
        <f t="shared" si="24"/>
        <v>0</v>
      </c>
      <c r="AW19" s="320">
        <f t="shared" si="25"/>
        <v>1329.44</v>
      </c>
    </row>
    <row r="20" spans="1:49" x14ac:dyDescent="0.2">
      <c r="A20" s="1" t="s">
        <v>719</v>
      </c>
      <c r="B20" s="7">
        <v>38846</v>
      </c>
      <c r="C20" s="7">
        <v>0</v>
      </c>
      <c r="D20" s="2">
        <f>(B20+C20)*0.124-394.29</f>
        <v>4422.6099999999997</v>
      </c>
      <c r="E20" s="2">
        <f>(B20+C20)*0.049-155.39</f>
        <v>1748.06</v>
      </c>
      <c r="F20" s="2">
        <f>(B20+C20)*0.0524-165.08</f>
        <v>1870.45</v>
      </c>
      <c r="G20" s="2">
        <f>+AW20</f>
        <v>1398.46</v>
      </c>
      <c r="H20" s="2">
        <f>(B20+C20)*0.0098-31.08</f>
        <v>349.61</v>
      </c>
      <c r="I20" s="2">
        <f>(AB20)*0.0041219</f>
        <v>0</v>
      </c>
      <c r="J20" s="376">
        <f>SUM(D20:I20)</f>
        <v>9789.19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>
        <v>38846</v>
      </c>
      <c r="V20" s="7"/>
      <c r="W20" s="7"/>
      <c r="X20" s="7"/>
      <c r="Y20" s="7"/>
      <c r="Z20" s="7"/>
      <c r="AA20" s="7"/>
      <c r="AB20" s="7"/>
      <c r="AC20" s="7"/>
      <c r="AD20" s="7">
        <f>SUM(L20:AC20)</f>
        <v>38846</v>
      </c>
      <c r="AE20" s="7"/>
      <c r="AF20" s="283">
        <f>+M20*$AF$12</f>
        <v>0</v>
      </c>
      <c r="AG20" s="283">
        <f>+N20*$AG$12</f>
        <v>0</v>
      </c>
      <c r="AH20" s="283">
        <f>+O20*$AH$12</f>
        <v>0</v>
      </c>
      <c r="AI20" s="283">
        <f>+P20*$AI$12</f>
        <v>0</v>
      </c>
      <c r="AJ20" s="283">
        <f>+Q20*$AJ$12</f>
        <v>0</v>
      </c>
      <c r="AK20" s="283">
        <f>+R20*$AK$12</f>
        <v>0</v>
      </c>
      <c r="AL20" s="283">
        <f>+S20*$AL$12</f>
        <v>0</v>
      </c>
      <c r="AM20" s="283">
        <f>+T20*$AM$12</f>
        <v>0</v>
      </c>
      <c r="AN20" s="283">
        <f>+U20*$AN$12-2027.76</f>
        <v>1398.46</v>
      </c>
      <c r="AO20" s="283">
        <f>+V20*$AO$12</f>
        <v>0</v>
      </c>
      <c r="AP20" s="283">
        <f>+W20*$AP$12</f>
        <v>0</v>
      </c>
      <c r="AQ20" s="283">
        <f>+X20*$AQ$12</f>
        <v>0</v>
      </c>
      <c r="AR20" s="283">
        <f>+Y20*$AR$12</f>
        <v>0</v>
      </c>
      <c r="AS20" s="283">
        <f>+Z20*$AS$12</f>
        <v>0</v>
      </c>
      <c r="AT20" s="283">
        <f>+AA20*$AT$12</f>
        <v>0</v>
      </c>
      <c r="AU20" s="283">
        <f>+AB20*$AU$12</f>
        <v>0</v>
      </c>
      <c r="AV20" s="283">
        <f>+AC20*$AV$12</f>
        <v>0</v>
      </c>
      <c r="AW20" s="320">
        <f>SUM(AF20:AV20)</f>
        <v>1398.46</v>
      </c>
    </row>
    <row r="21" spans="1:49" x14ac:dyDescent="0.2">
      <c r="A21" s="18" t="s">
        <v>702</v>
      </c>
      <c r="B21" s="7">
        <v>139121</v>
      </c>
      <c r="C21" s="7">
        <v>0</v>
      </c>
      <c r="D21" s="2">
        <f>(B21+C21)*0.124</f>
        <v>17251</v>
      </c>
      <c r="E21" s="2">
        <f>(B21+C21)*0.049</f>
        <v>6816.93</v>
      </c>
      <c r="F21" s="2">
        <f>(B21+C21)*0.0524</f>
        <v>7289.94</v>
      </c>
      <c r="G21" s="2">
        <f t="shared" si="3"/>
        <v>12270.48</v>
      </c>
      <c r="H21" s="2">
        <f>(B21+C21)*0.0098-0.01</f>
        <v>1363.38</v>
      </c>
      <c r="I21" s="2">
        <f t="shared" si="5"/>
        <v>402.65</v>
      </c>
      <c r="J21" s="376">
        <f>SUM(D21:I21)</f>
        <v>45394.38</v>
      </c>
      <c r="K21" s="1"/>
      <c r="L21" s="7"/>
      <c r="M21" s="7"/>
      <c r="N21" s="7"/>
      <c r="O21" s="7"/>
      <c r="P21" s="7"/>
      <c r="Q21" s="7"/>
      <c r="R21" s="7"/>
      <c r="S21" s="7"/>
      <c r="T21" s="7">
        <v>41435</v>
      </c>
      <c r="U21" s="7"/>
      <c r="V21" s="7"/>
      <c r="W21" s="7"/>
      <c r="X21" s="7"/>
      <c r="Y21" s="7"/>
      <c r="Z21" s="7"/>
      <c r="AA21" s="7"/>
      <c r="AB21" s="7">
        <v>97686</v>
      </c>
      <c r="AC21" s="7"/>
      <c r="AD21" s="7">
        <f t="shared" si="7"/>
        <v>139121</v>
      </c>
      <c r="AF21" s="283">
        <f t="shared" si="8"/>
        <v>0</v>
      </c>
      <c r="AG21" s="283">
        <f t="shared" si="9"/>
        <v>0</v>
      </c>
      <c r="AH21" s="283">
        <f t="shared" si="10"/>
        <v>0</v>
      </c>
      <c r="AI21" s="283">
        <f t="shared" si="11"/>
        <v>0</v>
      </c>
      <c r="AJ21" s="283">
        <f t="shared" si="12"/>
        <v>0</v>
      </c>
      <c r="AK21" s="283">
        <f t="shared" si="13"/>
        <v>0</v>
      </c>
      <c r="AL21" s="283">
        <f t="shared" si="14"/>
        <v>0</v>
      </c>
      <c r="AM21" s="283">
        <f t="shared" si="15"/>
        <v>3654.57</v>
      </c>
      <c r="AN21" s="283">
        <f>+U21*$AN$12</f>
        <v>0</v>
      </c>
      <c r="AO21" s="283">
        <f t="shared" si="17"/>
        <v>0</v>
      </c>
      <c r="AP21" s="283">
        <f t="shared" si="18"/>
        <v>0</v>
      </c>
      <c r="AQ21" s="283">
        <f t="shared" si="19"/>
        <v>0</v>
      </c>
      <c r="AR21" s="283">
        <f t="shared" si="20"/>
        <v>0</v>
      </c>
      <c r="AS21" s="283">
        <f t="shared" si="21"/>
        <v>0</v>
      </c>
      <c r="AT21" s="283">
        <f t="shared" si="22"/>
        <v>0</v>
      </c>
      <c r="AU21" s="283">
        <f t="shared" si="23"/>
        <v>8615.91</v>
      </c>
      <c r="AV21" s="283">
        <f t="shared" si="24"/>
        <v>0</v>
      </c>
      <c r="AW21" s="320">
        <f t="shared" si="25"/>
        <v>12270.48</v>
      </c>
    </row>
    <row r="22" spans="1:49" x14ac:dyDescent="0.2">
      <c r="A22" s="1" t="s">
        <v>40</v>
      </c>
      <c r="B22" s="7">
        <v>5350</v>
      </c>
      <c r="C22" s="7">
        <v>0</v>
      </c>
      <c r="D22" s="2">
        <f>(B22+C22)*0.124</f>
        <v>663.4</v>
      </c>
      <c r="E22" s="2">
        <f t="shared" si="1"/>
        <v>262.14999999999998</v>
      </c>
      <c r="F22" s="2">
        <f t="shared" si="2"/>
        <v>280.33999999999997</v>
      </c>
      <c r="G22" s="2">
        <f t="shared" si="3"/>
        <v>471.87</v>
      </c>
      <c r="H22" s="2">
        <f t="shared" si="4"/>
        <v>52.43</v>
      </c>
      <c r="I22" s="2">
        <f t="shared" si="5"/>
        <v>0</v>
      </c>
      <c r="J22" s="376">
        <f t="shared" si="6"/>
        <v>1730.19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>
        <v>5350</v>
      </c>
      <c r="V22" s="7"/>
      <c r="W22" s="7"/>
      <c r="X22" s="7"/>
      <c r="Y22" s="7"/>
      <c r="Z22" s="7"/>
      <c r="AA22" s="7"/>
      <c r="AB22" s="7"/>
      <c r="AC22" s="7"/>
      <c r="AD22" s="7">
        <f t="shared" si="7"/>
        <v>5350</v>
      </c>
      <c r="AE22" s="7"/>
      <c r="AF22" s="283">
        <f t="shared" si="8"/>
        <v>0</v>
      </c>
      <c r="AG22" s="283">
        <f t="shared" si="9"/>
        <v>0</v>
      </c>
      <c r="AH22" s="283">
        <f t="shared" si="10"/>
        <v>0</v>
      </c>
      <c r="AI22" s="283">
        <f t="shared" si="11"/>
        <v>0</v>
      </c>
      <c r="AJ22" s="283">
        <f t="shared" si="12"/>
        <v>0</v>
      </c>
      <c r="AK22" s="283">
        <f t="shared" si="13"/>
        <v>0</v>
      </c>
      <c r="AL22" s="283">
        <f t="shared" si="14"/>
        <v>0</v>
      </c>
      <c r="AM22" s="283">
        <f t="shared" si="15"/>
        <v>0</v>
      </c>
      <c r="AN22" s="283">
        <f t="shared" si="16"/>
        <v>471.87</v>
      </c>
      <c r="AO22" s="283">
        <f t="shared" si="17"/>
        <v>0</v>
      </c>
      <c r="AP22" s="283">
        <f t="shared" si="18"/>
        <v>0</v>
      </c>
      <c r="AQ22" s="283">
        <f t="shared" si="19"/>
        <v>0</v>
      </c>
      <c r="AR22" s="283">
        <f t="shared" si="20"/>
        <v>0</v>
      </c>
      <c r="AS22" s="283">
        <f t="shared" si="21"/>
        <v>0</v>
      </c>
      <c r="AT22" s="283">
        <f t="shared" si="22"/>
        <v>0</v>
      </c>
      <c r="AU22" s="283">
        <f t="shared" si="23"/>
        <v>0</v>
      </c>
      <c r="AV22" s="283">
        <f t="shared" si="24"/>
        <v>0</v>
      </c>
      <c r="AW22" s="320">
        <f t="shared" si="25"/>
        <v>471.87</v>
      </c>
    </row>
    <row r="23" spans="1:49" x14ac:dyDescent="0.2">
      <c r="A23" s="1" t="s">
        <v>432</v>
      </c>
      <c r="B23" s="7">
        <v>1762194</v>
      </c>
      <c r="C23" s="7">
        <v>0</v>
      </c>
      <c r="D23" s="2">
        <f>(B23+C23)*0.124-0.02</f>
        <v>218512.04</v>
      </c>
      <c r="E23" s="2">
        <f t="shared" si="1"/>
        <v>86347.51</v>
      </c>
      <c r="F23" s="2">
        <f t="shared" si="2"/>
        <v>92338.97</v>
      </c>
      <c r="G23" s="2">
        <f t="shared" si="3"/>
        <v>155425.51</v>
      </c>
      <c r="H23" s="2">
        <f t="shared" si="4"/>
        <v>17269.5</v>
      </c>
      <c r="I23" s="2">
        <f t="shared" si="5"/>
        <v>2046.96</v>
      </c>
      <c r="J23" s="376">
        <f t="shared" si="6"/>
        <v>571940.49</v>
      </c>
      <c r="K23" s="1"/>
      <c r="L23" s="7"/>
      <c r="M23" s="7"/>
      <c r="N23" s="7"/>
      <c r="O23" s="7">
        <v>1265587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496607</v>
      </c>
      <c r="AC23" s="7"/>
      <c r="AD23" s="7">
        <f t="shared" si="7"/>
        <v>1762194</v>
      </c>
      <c r="AE23" s="1"/>
      <c r="AF23" s="283">
        <f t="shared" si="8"/>
        <v>0</v>
      </c>
      <c r="AG23" s="283">
        <f t="shared" si="9"/>
        <v>0</v>
      </c>
      <c r="AH23" s="283">
        <f t="shared" si="10"/>
        <v>111624.77</v>
      </c>
      <c r="AI23" s="283">
        <f t="shared" si="11"/>
        <v>0</v>
      </c>
      <c r="AJ23" s="283">
        <f t="shared" si="12"/>
        <v>0</v>
      </c>
      <c r="AK23" s="283">
        <f t="shared" si="13"/>
        <v>0</v>
      </c>
      <c r="AL23" s="283">
        <f t="shared" si="14"/>
        <v>0</v>
      </c>
      <c r="AM23" s="283">
        <f t="shared" si="15"/>
        <v>0</v>
      </c>
      <c r="AN23" s="283">
        <f t="shared" si="16"/>
        <v>0</v>
      </c>
      <c r="AO23" s="283">
        <f t="shared" si="17"/>
        <v>0</v>
      </c>
      <c r="AP23" s="283">
        <f t="shared" si="18"/>
        <v>0</v>
      </c>
      <c r="AQ23" s="283">
        <f t="shared" si="19"/>
        <v>0</v>
      </c>
      <c r="AR23" s="283">
        <f t="shared" si="20"/>
        <v>0</v>
      </c>
      <c r="AS23" s="283">
        <f t="shared" si="21"/>
        <v>0</v>
      </c>
      <c r="AT23" s="283">
        <f t="shared" si="22"/>
        <v>0</v>
      </c>
      <c r="AU23" s="283">
        <f t="shared" si="23"/>
        <v>43800.74</v>
      </c>
      <c r="AV23" s="283">
        <f t="shared" si="24"/>
        <v>0</v>
      </c>
      <c r="AW23" s="320">
        <f t="shared" si="25"/>
        <v>155425.51</v>
      </c>
    </row>
    <row r="24" spans="1:49" x14ac:dyDescent="0.2">
      <c r="A24" s="1" t="s">
        <v>708</v>
      </c>
      <c r="B24" s="7">
        <v>38559</v>
      </c>
      <c r="C24" s="7">
        <v>0</v>
      </c>
      <c r="D24" s="2">
        <f>(B24+C24)*0.124</f>
        <v>4781.32</v>
      </c>
      <c r="E24" s="2">
        <f t="shared" si="1"/>
        <v>1889.39</v>
      </c>
      <c r="F24" s="2">
        <f t="shared" si="2"/>
        <v>2020.49</v>
      </c>
      <c r="G24" s="2">
        <f>+AW24</f>
        <v>3400.9</v>
      </c>
      <c r="H24" s="2">
        <f>(B24+C24)*0.0098</f>
        <v>377.88</v>
      </c>
      <c r="I24" s="2">
        <f>(AB24)*0.0041219</f>
        <v>0</v>
      </c>
      <c r="J24" s="376">
        <f>SUM(D24:I24)</f>
        <v>12469.98</v>
      </c>
      <c r="K24" s="1"/>
      <c r="L24" s="7"/>
      <c r="M24" s="7">
        <v>38559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>SUM(L24:AC24)</f>
        <v>38559</v>
      </c>
      <c r="AE24" s="7"/>
      <c r="AF24" s="283">
        <f>+M24*$AF$12</f>
        <v>3400.9</v>
      </c>
      <c r="AG24" s="283">
        <f>+N24*$AG$12</f>
        <v>0</v>
      </c>
      <c r="AH24" s="283">
        <f>+O24*$AH$12</f>
        <v>0</v>
      </c>
      <c r="AI24" s="283">
        <f>+P24*$AI$12</f>
        <v>0</v>
      </c>
      <c r="AJ24" s="283">
        <f>+Q24*$AJ$12</f>
        <v>0</v>
      </c>
      <c r="AK24" s="283">
        <f>+R24*$AK$12</f>
        <v>0</v>
      </c>
      <c r="AL24" s="283">
        <f>+S24*$AL$12</f>
        <v>0</v>
      </c>
      <c r="AM24" s="283">
        <f>+T24*$AM$12</f>
        <v>0</v>
      </c>
      <c r="AN24" s="283">
        <f>+U24*$AN$12</f>
        <v>0</v>
      </c>
      <c r="AO24" s="283">
        <f>+V24*$AO$12</f>
        <v>0</v>
      </c>
      <c r="AP24" s="283">
        <f>+W24*$AP$12</f>
        <v>0</v>
      </c>
      <c r="AQ24" s="283">
        <f>+X24*$AQ$12</f>
        <v>0</v>
      </c>
      <c r="AR24" s="283">
        <f>+Y24*$AR$12</f>
        <v>0</v>
      </c>
      <c r="AS24" s="283">
        <f>+Z24*$AS$12</f>
        <v>0</v>
      </c>
      <c r="AT24" s="283">
        <f>+AA24*$AT$12</f>
        <v>0</v>
      </c>
      <c r="AU24" s="283">
        <f>+AB24*$AU$12</f>
        <v>0</v>
      </c>
      <c r="AV24" s="283">
        <f>+AC24*$AV$12</f>
        <v>0</v>
      </c>
      <c r="AW24" s="320">
        <f>SUM(AF24:AV24)</f>
        <v>3400.9</v>
      </c>
    </row>
    <row r="25" spans="1:49" x14ac:dyDescent="0.2">
      <c r="A25" s="1" t="s">
        <v>447</v>
      </c>
      <c r="B25" s="7">
        <v>295060</v>
      </c>
      <c r="C25" s="7">
        <v>0</v>
      </c>
      <c r="D25" s="2">
        <f>(B25+C25)*0.124</f>
        <v>36587.440000000002</v>
      </c>
      <c r="E25" s="2">
        <f t="shared" ref="E25:E30" si="26">(B25+C25)*0.049</f>
        <v>14457.94</v>
      </c>
      <c r="F25" s="2">
        <f t="shared" ref="F25:F30" si="27">(B25+C25)*0.0524</f>
        <v>15461.14</v>
      </c>
      <c r="G25" s="2">
        <f t="shared" si="3"/>
        <v>23900.880000000001</v>
      </c>
      <c r="H25" s="2">
        <f t="shared" si="4"/>
        <v>2891.59</v>
      </c>
      <c r="I25" s="2">
        <f t="shared" si="5"/>
        <v>0</v>
      </c>
      <c r="J25" s="376">
        <f t="shared" si="6"/>
        <v>93298.99</v>
      </c>
      <c r="K25" s="1"/>
      <c r="L25" s="7"/>
      <c r="M25" s="7"/>
      <c r="N25" s="7">
        <v>251725</v>
      </c>
      <c r="O25" s="7"/>
      <c r="P25" s="7">
        <v>43335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f t="shared" si="7"/>
        <v>295060</v>
      </c>
      <c r="AE25" s="7"/>
      <c r="AF25" s="283">
        <f t="shared" si="8"/>
        <v>0</v>
      </c>
      <c r="AG25" s="283">
        <f t="shared" si="9"/>
        <v>22202.15</v>
      </c>
      <c r="AH25" s="283">
        <f t="shared" si="10"/>
        <v>0</v>
      </c>
      <c r="AI25" s="283">
        <f t="shared" si="11"/>
        <v>1698.73</v>
      </c>
      <c r="AJ25" s="283">
        <f t="shared" si="12"/>
        <v>0</v>
      </c>
      <c r="AK25" s="283">
        <f t="shared" si="13"/>
        <v>0</v>
      </c>
      <c r="AL25" s="283">
        <f t="shared" si="14"/>
        <v>0</v>
      </c>
      <c r="AM25" s="283">
        <f t="shared" si="15"/>
        <v>0</v>
      </c>
      <c r="AN25" s="283">
        <f t="shared" si="16"/>
        <v>0</v>
      </c>
      <c r="AO25" s="283">
        <f t="shared" si="17"/>
        <v>0</v>
      </c>
      <c r="AP25" s="283">
        <f t="shared" si="18"/>
        <v>0</v>
      </c>
      <c r="AQ25" s="283">
        <f t="shared" si="19"/>
        <v>0</v>
      </c>
      <c r="AR25" s="283">
        <f t="shared" si="20"/>
        <v>0</v>
      </c>
      <c r="AS25" s="283">
        <f t="shared" si="21"/>
        <v>0</v>
      </c>
      <c r="AT25" s="283">
        <f t="shared" si="22"/>
        <v>0</v>
      </c>
      <c r="AU25" s="283">
        <f t="shared" si="23"/>
        <v>0</v>
      </c>
      <c r="AV25" s="283">
        <f t="shared" si="24"/>
        <v>0</v>
      </c>
      <c r="AW25" s="320">
        <f t="shared" si="25"/>
        <v>23900.880000000001</v>
      </c>
    </row>
    <row r="26" spans="1:49" x14ac:dyDescent="0.2">
      <c r="A26" s="1" t="s">
        <v>448</v>
      </c>
      <c r="B26" s="7">
        <v>7565841</v>
      </c>
      <c r="C26" s="7">
        <v>0</v>
      </c>
      <c r="D26" s="2">
        <f>(B26+C26)*0.124-0.13</f>
        <v>938164.15</v>
      </c>
      <c r="E26" s="2">
        <f>(B26+C26)*0.049</f>
        <v>370726.21</v>
      </c>
      <c r="F26" s="2">
        <f>(B26+C26)*0.0524</f>
        <v>396450.07</v>
      </c>
      <c r="G26" s="2">
        <f t="shared" si="3"/>
        <v>618487.47</v>
      </c>
      <c r="H26" s="2">
        <f>(B26+C26)*0.0098+0.01</f>
        <v>74145.25</v>
      </c>
      <c r="I26" s="2">
        <f t="shared" si="5"/>
        <v>21396.47</v>
      </c>
      <c r="J26" s="376">
        <f t="shared" si="6"/>
        <v>2419369.62</v>
      </c>
      <c r="K26" s="1"/>
      <c r="L26" s="7"/>
      <c r="M26" s="7">
        <v>483236</v>
      </c>
      <c r="N26" s="7">
        <v>112766</v>
      </c>
      <c r="O26" s="7">
        <v>4473</v>
      </c>
      <c r="P26" s="7">
        <v>614379</v>
      </c>
      <c r="Q26" s="7">
        <v>302437</v>
      </c>
      <c r="R26" s="7"/>
      <c r="S26" s="7">
        <v>38053</v>
      </c>
      <c r="T26" s="7">
        <v>192273</v>
      </c>
      <c r="U26" s="7">
        <v>133734</v>
      </c>
      <c r="V26" s="7"/>
      <c r="W26" s="7">
        <v>269412</v>
      </c>
      <c r="X26" s="7">
        <v>36884</v>
      </c>
      <c r="Y26" s="7">
        <v>41452</v>
      </c>
      <c r="Z26" s="7">
        <v>79543</v>
      </c>
      <c r="AA26" s="7"/>
      <c r="AB26" s="7">
        <v>5190925</v>
      </c>
      <c r="AC26" s="7">
        <v>66274</v>
      </c>
      <c r="AD26" s="7">
        <f>SUM(L26:AC26)</f>
        <v>7565841</v>
      </c>
      <c r="AE26" s="7"/>
      <c r="AF26" s="283">
        <f t="shared" si="8"/>
        <v>42621.42</v>
      </c>
      <c r="AG26" s="283">
        <f t="shared" si="9"/>
        <v>9945.9599999999991</v>
      </c>
      <c r="AH26" s="283">
        <f t="shared" si="10"/>
        <v>394.52</v>
      </c>
      <c r="AI26" s="283">
        <f t="shared" si="11"/>
        <v>24083.66</v>
      </c>
      <c r="AJ26" s="283">
        <f t="shared" si="12"/>
        <v>11855.53</v>
      </c>
      <c r="AK26" s="283">
        <f t="shared" si="13"/>
        <v>0</v>
      </c>
      <c r="AL26" s="283">
        <f t="shared" si="14"/>
        <v>1491.68</v>
      </c>
      <c r="AM26" s="283">
        <f t="shared" si="15"/>
        <v>16958.48</v>
      </c>
      <c r="AN26" s="283">
        <f t="shared" si="16"/>
        <v>11795.34</v>
      </c>
      <c r="AO26" s="283">
        <f t="shared" si="17"/>
        <v>0</v>
      </c>
      <c r="AP26" s="283">
        <f t="shared" si="18"/>
        <v>23762.14</v>
      </c>
      <c r="AQ26" s="283">
        <f t="shared" si="19"/>
        <v>3253.17</v>
      </c>
      <c r="AR26" s="283">
        <f t="shared" si="20"/>
        <v>1624.92</v>
      </c>
      <c r="AS26" s="283">
        <f t="shared" si="21"/>
        <v>7015.69</v>
      </c>
      <c r="AT26" s="283">
        <f t="shared" si="22"/>
        <v>0</v>
      </c>
      <c r="AU26" s="283">
        <f t="shared" si="23"/>
        <v>457839.59</v>
      </c>
      <c r="AV26" s="283">
        <f t="shared" si="24"/>
        <v>5845.37</v>
      </c>
      <c r="AW26" s="320">
        <f t="shared" si="25"/>
        <v>618487.47</v>
      </c>
    </row>
    <row r="27" spans="1:49" x14ac:dyDescent="0.2">
      <c r="A27" s="1" t="s">
        <v>364</v>
      </c>
      <c r="B27" s="7">
        <v>135011</v>
      </c>
      <c r="C27" s="7">
        <v>0</v>
      </c>
      <c r="D27" s="2">
        <f>(B27+C27)*0.124</f>
        <v>16741.36</v>
      </c>
      <c r="E27" s="2">
        <f t="shared" si="26"/>
        <v>6615.54</v>
      </c>
      <c r="F27" s="2">
        <f t="shared" si="27"/>
        <v>7074.58</v>
      </c>
      <c r="G27" s="2">
        <f t="shared" si="3"/>
        <v>11907.97</v>
      </c>
      <c r="H27" s="2">
        <f t="shared" si="4"/>
        <v>1323.11</v>
      </c>
      <c r="I27" s="2">
        <f t="shared" si="5"/>
        <v>0</v>
      </c>
      <c r="J27" s="376">
        <f t="shared" si="6"/>
        <v>43662.559999999998</v>
      </c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>
        <v>135011</v>
      </c>
      <c r="X27" s="7"/>
      <c r="Y27" s="7"/>
      <c r="Z27" s="7"/>
      <c r="AA27" s="7"/>
      <c r="AB27" s="7"/>
      <c r="AC27" s="7"/>
      <c r="AD27" s="7">
        <f t="shared" si="7"/>
        <v>135011</v>
      </c>
      <c r="AE27" s="7"/>
      <c r="AF27" s="283">
        <f t="shared" si="8"/>
        <v>0</v>
      </c>
      <c r="AG27" s="283">
        <f t="shared" si="9"/>
        <v>0</v>
      </c>
      <c r="AH27" s="283">
        <f t="shared" si="10"/>
        <v>0</v>
      </c>
      <c r="AI27" s="283">
        <f t="shared" si="11"/>
        <v>0</v>
      </c>
      <c r="AJ27" s="283">
        <f t="shared" si="12"/>
        <v>0</v>
      </c>
      <c r="AK27" s="283">
        <f t="shared" si="13"/>
        <v>0</v>
      </c>
      <c r="AL27" s="283">
        <f t="shared" si="14"/>
        <v>0</v>
      </c>
      <c r="AM27" s="283">
        <f t="shared" si="15"/>
        <v>0</v>
      </c>
      <c r="AN27" s="283">
        <f t="shared" si="16"/>
        <v>0</v>
      </c>
      <c r="AO27" s="283">
        <f t="shared" si="17"/>
        <v>0</v>
      </c>
      <c r="AP27" s="283">
        <f t="shared" si="18"/>
        <v>11907.97</v>
      </c>
      <c r="AQ27" s="283">
        <f t="shared" si="19"/>
        <v>0</v>
      </c>
      <c r="AR27" s="283">
        <f t="shared" si="20"/>
        <v>0</v>
      </c>
      <c r="AS27" s="283">
        <f t="shared" si="21"/>
        <v>0</v>
      </c>
      <c r="AT27" s="283">
        <f t="shared" si="22"/>
        <v>0</v>
      </c>
      <c r="AU27" s="283">
        <f t="shared" si="23"/>
        <v>0</v>
      </c>
      <c r="AV27" s="283">
        <f t="shared" si="24"/>
        <v>0</v>
      </c>
      <c r="AW27" s="320">
        <f t="shared" si="25"/>
        <v>11907.97</v>
      </c>
    </row>
    <row r="28" spans="1:49" x14ac:dyDescent="0.2">
      <c r="A28" s="1" t="s">
        <v>449</v>
      </c>
      <c r="B28" s="7">
        <v>0</v>
      </c>
      <c r="C28" s="7">
        <v>13694140</v>
      </c>
      <c r="D28" s="2">
        <f>(B28+C28)*0.124-0.05</f>
        <v>1698073.31</v>
      </c>
      <c r="E28" s="2">
        <f t="shared" si="26"/>
        <v>671012.86</v>
      </c>
      <c r="F28" s="2">
        <f t="shared" si="27"/>
        <v>717572.94</v>
      </c>
      <c r="G28" s="2">
        <f t="shared" si="3"/>
        <v>1172200.0900000001</v>
      </c>
      <c r="H28" s="2">
        <f>(B28+C28)*0.0098+0.01</f>
        <v>134202.57999999999</v>
      </c>
      <c r="I28" s="2">
        <f t="shared" si="5"/>
        <v>10378.59</v>
      </c>
      <c r="J28" s="376">
        <f t="shared" si="6"/>
        <v>4403440.37</v>
      </c>
      <c r="K28" s="1"/>
      <c r="L28" s="7"/>
      <c r="M28" s="7">
        <v>1138260</v>
      </c>
      <c r="N28" s="7"/>
      <c r="O28" s="7">
        <v>9310964</v>
      </c>
      <c r="P28" s="7">
        <v>727001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>
        <v>2517915</v>
      </c>
      <c r="AC28" s="7"/>
      <c r="AD28" s="7">
        <f t="shared" si="7"/>
        <v>13694140</v>
      </c>
      <c r="AE28" s="7"/>
      <c r="AF28" s="283">
        <f t="shared" si="8"/>
        <v>100394.53</v>
      </c>
      <c r="AG28" s="283">
        <f t="shared" si="9"/>
        <v>0</v>
      </c>
      <c r="AH28" s="283">
        <f t="shared" si="10"/>
        <v>821227.02</v>
      </c>
      <c r="AI28" s="283">
        <f t="shared" si="11"/>
        <v>28498.44</v>
      </c>
      <c r="AJ28" s="283">
        <f t="shared" si="12"/>
        <v>0</v>
      </c>
      <c r="AK28" s="283">
        <f t="shared" si="13"/>
        <v>0</v>
      </c>
      <c r="AL28" s="283">
        <f t="shared" si="14"/>
        <v>0</v>
      </c>
      <c r="AM28" s="283">
        <f t="shared" si="15"/>
        <v>0</v>
      </c>
      <c r="AN28" s="283">
        <f t="shared" si="16"/>
        <v>0</v>
      </c>
      <c r="AO28" s="283">
        <f t="shared" si="17"/>
        <v>0</v>
      </c>
      <c r="AP28" s="283">
        <f t="shared" si="18"/>
        <v>0</v>
      </c>
      <c r="AQ28" s="283">
        <f t="shared" si="19"/>
        <v>0</v>
      </c>
      <c r="AR28" s="283">
        <f t="shared" si="20"/>
        <v>0</v>
      </c>
      <c r="AS28" s="283">
        <f t="shared" si="21"/>
        <v>0</v>
      </c>
      <c r="AT28" s="283">
        <f t="shared" si="22"/>
        <v>0</v>
      </c>
      <c r="AU28" s="283">
        <f t="shared" si="23"/>
        <v>222080.1</v>
      </c>
      <c r="AV28" s="283">
        <f t="shared" si="24"/>
        <v>0</v>
      </c>
      <c r="AW28" s="320">
        <f t="shared" si="25"/>
        <v>1172200.0900000001</v>
      </c>
    </row>
    <row r="29" spans="1:49" x14ac:dyDescent="0.2">
      <c r="A29" s="1" t="s">
        <v>349</v>
      </c>
      <c r="B29" s="7">
        <v>243685</v>
      </c>
      <c r="C29" s="7">
        <v>0</v>
      </c>
      <c r="D29" s="2">
        <f>(B29+C29)*0.124+0.01</f>
        <v>30216.95</v>
      </c>
      <c r="E29" s="2">
        <f t="shared" si="26"/>
        <v>11940.57</v>
      </c>
      <c r="F29" s="2">
        <f t="shared" si="27"/>
        <v>12769.09</v>
      </c>
      <c r="G29" s="2">
        <f t="shared" si="3"/>
        <v>21493.01</v>
      </c>
      <c r="H29" s="2">
        <f t="shared" si="4"/>
        <v>2388.11</v>
      </c>
      <c r="I29" s="2">
        <f t="shared" si="5"/>
        <v>0</v>
      </c>
      <c r="J29" s="376">
        <f t="shared" si="6"/>
        <v>78807.73</v>
      </c>
      <c r="K29" s="1"/>
      <c r="L29" s="7"/>
      <c r="M29" s="7"/>
      <c r="N29" s="7"/>
      <c r="O29" s="7">
        <v>235648</v>
      </c>
      <c r="P29" s="7"/>
      <c r="Q29" s="7"/>
      <c r="R29" s="7"/>
      <c r="S29" s="7"/>
      <c r="T29" s="7"/>
      <c r="U29" s="7"/>
      <c r="V29" s="7"/>
      <c r="W29" s="7">
        <v>8037</v>
      </c>
      <c r="X29" s="7"/>
      <c r="Y29" s="7"/>
      <c r="Z29" s="7"/>
      <c r="AA29" s="7"/>
      <c r="AB29" s="7"/>
      <c r="AC29" s="7"/>
      <c r="AD29" s="7">
        <f t="shared" si="7"/>
        <v>243685</v>
      </c>
      <c r="AE29" s="7"/>
      <c r="AF29" s="283">
        <f t="shared" si="8"/>
        <v>0</v>
      </c>
      <c r="AG29" s="283">
        <f t="shared" si="9"/>
        <v>0</v>
      </c>
      <c r="AH29" s="283">
        <f t="shared" si="10"/>
        <v>20784.150000000001</v>
      </c>
      <c r="AI29" s="283">
        <f t="shared" si="11"/>
        <v>0</v>
      </c>
      <c r="AJ29" s="283">
        <f t="shared" si="12"/>
        <v>0</v>
      </c>
      <c r="AK29" s="283">
        <f t="shared" si="13"/>
        <v>0</v>
      </c>
      <c r="AL29" s="283">
        <f t="shared" si="14"/>
        <v>0</v>
      </c>
      <c r="AM29" s="283">
        <f t="shared" si="15"/>
        <v>0</v>
      </c>
      <c r="AN29" s="283">
        <f t="shared" si="16"/>
        <v>0</v>
      </c>
      <c r="AO29" s="283">
        <f t="shared" si="17"/>
        <v>0</v>
      </c>
      <c r="AP29" s="283">
        <f t="shared" si="18"/>
        <v>708.86</v>
      </c>
      <c r="AQ29" s="283">
        <f t="shared" si="19"/>
        <v>0</v>
      </c>
      <c r="AR29" s="283">
        <f t="shared" si="20"/>
        <v>0</v>
      </c>
      <c r="AS29" s="283">
        <f t="shared" si="21"/>
        <v>0</v>
      </c>
      <c r="AT29" s="283">
        <f t="shared" si="22"/>
        <v>0</v>
      </c>
      <c r="AU29" s="283">
        <f t="shared" si="23"/>
        <v>0</v>
      </c>
      <c r="AV29" s="283">
        <f t="shared" si="24"/>
        <v>0</v>
      </c>
      <c r="AW29" s="320">
        <f t="shared" si="25"/>
        <v>21493.01</v>
      </c>
    </row>
    <row r="30" spans="1:49" s="20" customFormat="1" x14ac:dyDescent="0.2">
      <c r="A30" s="18" t="s">
        <v>492</v>
      </c>
      <c r="B30" s="246">
        <v>59920</v>
      </c>
      <c r="C30" s="246">
        <v>0</v>
      </c>
      <c r="D30" s="2">
        <f>(B30+C30)*0.124</f>
        <v>7430.08</v>
      </c>
      <c r="E30" s="78">
        <f t="shared" si="26"/>
        <v>2936.08</v>
      </c>
      <c r="F30" s="78">
        <f t="shared" si="27"/>
        <v>3139.81</v>
      </c>
      <c r="G30" s="2">
        <f t="shared" si="3"/>
        <v>2348.86</v>
      </c>
      <c r="H30" s="2">
        <f t="shared" si="4"/>
        <v>587.22</v>
      </c>
      <c r="I30" s="2">
        <f t="shared" si="5"/>
        <v>0</v>
      </c>
      <c r="J30" s="376">
        <f t="shared" si="6"/>
        <v>16442.05</v>
      </c>
      <c r="K30" s="18"/>
      <c r="L30" s="246"/>
      <c r="M30" s="246"/>
      <c r="N30" s="246"/>
      <c r="O30" s="246"/>
      <c r="P30" s="246"/>
      <c r="Q30" s="246">
        <v>59920</v>
      </c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>
        <f>SUM(L30:AC30)</f>
        <v>59920</v>
      </c>
      <c r="AE30" s="246"/>
      <c r="AF30" s="283">
        <f t="shared" si="8"/>
        <v>0</v>
      </c>
      <c r="AG30" s="283">
        <f t="shared" si="9"/>
        <v>0</v>
      </c>
      <c r="AH30" s="283">
        <f t="shared" si="10"/>
        <v>0</v>
      </c>
      <c r="AI30" s="283">
        <f t="shared" si="11"/>
        <v>0</v>
      </c>
      <c r="AJ30" s="283">
        <f t="shared" si="12"/>
        <v>2348.86</v>
      </c>
      <c r="AK30" s="283">
        <f t="shared" si="13"/>
        <v>0</v>
      </c>
      <c r="AL30" s="283">
        <f t="shared" si="14"/>
        <v>0</v>
      </c>
      <c r="AM30" s="283">
        <f t="shared" si="15"/>
        <v>0</v>
      </c>
      <c r="AN30" s="283">
        <f t="shared" si="16"/>
        <v>0</v>
      </c>
      <c r="AO30" s="283">
        <f t="shared" si="17"/>
        <v>0</v>
      </c>
      <c r="AP30" s="283">
        <f t="shared" si="18"/>
        <v>0</v>
      </c>
      <c r="AQ30" s="283">
        <f t="shared" si="19"/>
        <v>0</v>
      </c>
      <c r="AR30" s="283">
        <f t="shared" si="20"/>
        <v>0</v>
      </c>
      <c r="AS30" s="283">
        <f t="shared" si="21"/>
        <v>0</v>
      </c>
      <c r="AT30" s="283">
        <f t="shared" si="22"/>
        <v>0</v>
      </c>
      <c r="AU30" s="283">
        <f t="shared" si="23"/>
        <v>0</v>
      </c>
      <c r="AV30" s="283">
        <f t="shared" si="24"/>
        <v>0</v>
      </c>
      <c r="AW30" s="320">
        <f t="shared" si="25"/>
        <v>2348.86</v>
      </c>
    </row>
    <row r="31" spans="1:49" s="20" customFormat="1" x14ac:dyDescent="0.2">
      <c r="A31" s="1" t="s">
        <v>295</v>
      </c>
      <c r="B31" s="246">
        <v>95369</v>
      </c>
      <c r="C31" s="246">
        <v>15696</v>
      </c>
      <c r="D31" s="2">
        <f>(B31+C31)*0.124-0.02</f>
        <v>13772.04</v>
      </c>
      <c r="E31" s="78">
        <f t="shared" ref="E31:E36" si="28">(B31+C31)*0.049</f>
        <v>5442.19</v>
      </c>
      <c r="F31" s="78">
        <f t="shared" ref="F31:F36" si="29">(B31+C31)*0.0524</f>
        <v>5819.81</v>
      </c>
      <c r="G31" s="2">
        <f t="shared" si="3"/>
        <v>9795.93</v>
      </c>
      <c r="H31" s="2">
        <f t="shared" si="4"/>
        <v>1088.44</v>
      </c>
      <c r="I31" s="2">
        <f t="shared" si="5"/>
        <v>0</v>
      </c>
      <c r="J31" s="376">
        <f t="shared" si="6"/>
        <v>35918.410000000003</v>
      </c>
      <c r="K31" s="18"/>
      <c r="L31" s="246"/>
      <c r="M31" s="246"/>
      <c r="N31" s="246"/>
      <c r="O31" s="246">
        <v>111065</v>
      </c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>
        <f t="shared" ref="AD31:AD36" si="30">SUM(L31:AC31)</f>
        <v>111065</v>
      </c>
      <c r="AE31" s="246"/>
      <c r="AF31" s="283">
        <f t="shared" si="8"/>
        <v>0</v>
      </c>
      <c r="AG31" s="283">
        <f t="shared" si="9"/>
        <v>0</v>
      </c>
      <c r="AH31" s="283">
        <f t="shared" si="10"/>
        <v>9795.93</v>
      </c>
      <c r="AI31" s="283">
        <f t="shared" si="11"/>
        <v>0</v>
      </c>
      <c r="AJ31" s="283">
        <f t="shared" si="12"/>
        <v>0</v>
      </c>
      <c r="AK31" s="283">
        <f t="shared" si="13"/>
        <v>0</v>
      </c>
      <c r="AL31" s="283">
        <f t="shared" si="14"/>
        <v>0</v>
      </c>
      <c r="AM31" s="283">
        <f t="shared" si="15"/>
        <v>0</v>
      </c>
      <c r="AN31" s="283">
        <f t="shared" si="16"/>
        <v>0</v>
      </c>
      <c r="AO31" s="283">
        <f t="shared" si="17"/>
        <v>0</v>
      </c>
      <c r="AP31" s="283">
        <f t="shared" si="18"/>
        <v>0</v>
      </c>
      <c r="AQ31" s="283">
        <f t="shared" si="19"/>
        <v>0</v>
      </c>
      <c r="AR31" s="283">
        <f t="shared" si="20"/>
        <v>0</v>
      </c>
      <c r="AS31" s="283">
        <f t="shared" si="21"/>
        <v>0</v>
      </c>
      <c r="AT31" s="283">
        <f t="shared" si="22"/>
        <v>0</v>
      </c>
      <c r="AU31" s="283">
        <f t="shared" si="23"/>
        <v>0</v>
      </c>
      <c r="AV31" s="283">
        <f t="shared" si="24"/>
        <v>0</v>
      </c>
      <c r="AW31" s="320">
        <f t="shared" si="25"/>
        <v>9795.93</v>
      </c>
    </row>
    <row r="32" spans="1:49" x14ac:dyDescent="0.2">
      <c r="A32" s="18" t="s">
        <v>633</v>
      </c>
      <c r="B32" s="7">
        <v>488</v>
      </c>
      <c r="C32" s="7">
        <v>0</v>
      </c>
      <c r="D32" s="2">
        <f>(B32+C32)*0.124+0.01</f>
        <v>60.52</v>
      </c>
      <c r="E32" s="2">
        <f>(B32+C32)*0.049</f>
        <v>23.91</v>
      </c>
      <c r="F32" s="2">
        <f>(B32+C32)*0.0524</f>
        <v>25.57</v>
      </c>
      <c r="G32" s="2">
        <f t="shared" si="3"/>
        <v>19.13</v>
      </c>
      <c r="H32" s="2">
        <f t="shared" si="4"/>
        <v>4.78</v>
      </c>
      <c r="I32" s="2">
        <f t="shared" si="5"/>
        <v>0</v>
      </c>
      <c r="J32" s="376">
        <f t="shared" si="6"/>
        <v>133.91</v>
      </c>
      <c r="K32" s="1"/>
      <c r="L32" s="7"/>
      <c r="M32" s="7"/>
      <c r="N32" s="7"/>
      <c r="O32" s="7"/>
      <c r="P32" s="7"/>
      <c r="Q32" s="7">
        <v>488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>
        <f t="shared" si="30"/>
        <v>488</v>
      </c>
      <c r="AF32" s="283">
        <f t="shared" si="8"/>
        <v>0</v>
      </c>
      <c r="AG32" s="283">
        <f t="shared" si="9"/>
        <v>0</v>
      </c>
      <c r="AH32" s="283">
        <f t="shared" si="10"/>
        <v>0</v>
      </c>
      <c r="AI32" s="283">
        <f t="shared" si="11"/>
        <v>0</v>
      </c>
      <c r="AJ32" s="283">
        <f t="shared" si="12"/>
        <v>19.13</v>
      </c>
      <c r="AK32" s="283">
        <f t="shared" si="13"/>
        <v>0</v>
      </c>
      <c r="AL32" s="283">
        <f t="shared" si="14"/>
        <v>0</v>
      </c>
      <c r="AM32" s="283">
        <f t="shared" si="15"/>
        <v>0</v>
      </c>
      <c r="AN32" s="283">
        <f t="shared" si="16"/>
        <v>0</v>
      </c>
      <c r="AO32" s="283">
        <f t="shared" si="17"/>
        <v>0</v>
      </c>
      <c r="AP32" s="283">
        <f t="shared" si="18"/>
        <v>0</v>
      </c>
      <c r="AQ32" s="283">
        <f t="shared" si="19"/>
        <v>0</v>
      </c>
      <c r="AR32" s="283">
        <f t="shared" si="20"/>
        <v>0</v>
      </c>
      <c r="AS32" s="283">
        <f t="shared" si="21"/>
        <v>0</v>
      </c>
      <c r="AT32" s="283">
        <f t="shared" si="22"/>
        <v>0</v>
      </c>
      <c r="AU32" s="283">
        <f t="shared" si="23"/>
        <v>0</v>
      </c>
      <c r="AV32" s="283">
        <f t="shared" si="24"/>
        <v>0</v>
      </c>
      <c r="AW32" s="320">
        <f t="shared" si="25"/>
        <v>19.13</v>
      </c>
    </row>
    <row r="33" spans="1:49" x14ac:dyDescent="0.2">
      <c r="A33" s="1" t="s">
        <v>41</v>
      </c>
      <c r="B33" s="7">
        <v>459895</v>
      </c>
      <c r="C33" s="7">
        <v>0</v>
      </c>
      <c r="D33" s="2">
        <f>(B33+C33)*0.124-0.02</f>
        <v>57026.96</v>
      </c>
      <c r="E33" s="2">
        <f t="shared" si="28"/>
        <v>22534.86</v>
      </c>
      <c r="F33" s="2">
        <f t="shared" si="29"/>
        <v>24098.5</v>
      </c>
      <c r="G33" s="2">
        <f t="shared" si="3"/>
        <v>35448.9</v>
      </c>
      <c r="H33" s="2">
        <f>(B33+C33)*0.0098+0.01</f>
        <v>4506.9799999999996</v>
      </c>
      <c r="I33" s="2">
        <f t="shared" si="5"/>
        <v>133.41999999999999</v>
      </c>
      <c r="J33" s="376">
        <f t="shared" si="6"/>
        <v>143749.62</v>
      </c>
      <c r="K33" s="1"/>
      <c r="L33" s="7"/>
      <c r="M33" s="7">
        <v>167348</v>
      </c>
      <c r="N33" s="7"/>
      <c r="O33" s="7"/>
      <c r="P33" s="7">
        <v>81360</v>
      </c>
      <c r="Q33" s="7"/>
      <c r="R33" s="7"/>
      <c r="S33" s="7"/>
      <c r="T33" s="7">
        <v>9003</v>
      </c>
      <c r="U33" s="7">
        <v>11102</v>
      </c>
      <c r="V33" s="7"/>
      <c r="W33" s="7">
        <v>135710</v>
      </c>
      <c r="X33" s="7"/>
      <c r="Y33" s="7"/>
      <c r="Z33" s="7"/>
      <c r="AA33" s="7">
        <v>23004</v>
      </c>
      <c r="AB33" s="7">
        <v>32368</v>
      </c>
      <c r="AC33" s="7"/>
      <c r="AD33" s="7">
        <f t="shared" si="30"/>
        <v>459895</v>
      </c>
      <c r="AE33" s="7"/>
      <c r="AF33" s="283">
        <f t="shared" si="8"/>
        <v>14760.09</v>
      </c>
      <c r="AG33" s="283">
        <f t="shared" si="9"/>
        <v>0</v>
      </c>
      <c r="AH33" s="283">
        <f t="shared" si="10"/>
        <v>0</v>
      </c>
      <c r="AI33" s="283">
        <f t="shared" si="11"/>
        <v>3189.31</v>
      </c>
      <c r="AJ33" s="283">
        <f t="shared" si="12"/>
        <v>0</v>
      </c>
      <c r="AK33" s="283">
        <f t="shared" si="13"/>
        <v>0</v>
      </c>
      <c r="AL33" s="283">
        <f t="shared" si="14"/>
        <v>0</v>
      </c>
      <c r="AM33" s="283">
        <f t="shared" si="15"/>
        <v>794.06</v>
      </c>
      <c r="AN33" s="283">
        <f t="shared" si="16"/>
        <v>979.2</v>
      </c>
      <c r="AO33" s="283">
        <f t="shared" si="17"/>
        <v>0</v>
      </c>
      <c r="AP33" s="283">
        <f t="shared" si="18"/>
        <v>11969.62</v>
      </c>
      <c r="AQ33" s="283">
        <f t="shared" si="19"/>
        <v>0</v>
      </c>
      <c r="AR33" s="283">
        <f t="shared" si="20"/>
        <v>0</v>
      </c>
      <c r="AS33" s="283">
        <f t="shared" si="21"/>
        <v>0</v>
      </c>
      <c r="AT33" s="283">
        <f t="shared" si="22"/>
        <v>901.76</v>
      </c>
      <c r="AU33" s="283">
        <f t="shared" si="23"/>
        <v>2854.86</v>
      </c>
      <c r="AV33" s="283">
        <f t="shared" si="24"/>
        <v>0</v>
      </c>
      <c r="AW33" s="320">
        <f t="shared" si="25"/>
        <v>35448.9</v>
      </c>
    </row>
    <row r="34" spans="1:49" x14ac:dyDescent="0.2">
      <c r="A34" s="1" t="s">
        <v>450</v>
      </c>
      <c r="B34" s="7">
        <v>436023</v>
      </c>
      <c r="C34" s="7">
        <v>0</v>
      </c>
      <c r="D34" s="2">
        <f>(B34+C34)*0.124</f>
        <v>54066.85</v>
      </c>
      <c r="E34" s="2">
        <f>(B34+C34)*0.049</f>
        <v>21365.13</v>
      </c>
      <c r="F34" s="2">
        <f>(B34+C34)*0.0524</f>
        <v>22847.61</v>
      </c>
      <c r="G34" s="2">
        <f t="shared" si="3"/>
        <v>29887.86</v>
      </c>
      <c r="H34" s="2">
        <f>(B34+C34)*0.0098-0.01</f>
        <v>4273.0200000000004</v>
      </c>
      <c r="I34" s="2">
        <f t="shared" si="5"/>
        <v>0</v>
      </c>
      <c r="J34" s="376">
        <f t="shared" si="6"/>
        <v>132440.47</v>
      </c>
      <c r="K34" s="1"/>
      <c r="L34" s="7"/>
      <c r="M34" s="7"/>
      <c r="N34" s="7"/>
      <c r="O34" s="7"/>
      <c r="P34" s="7"/>
      <c r="Q34" s="7">
        <v>174885</v>
      </c>
      <c r="R34" s="7"/>
      <c r="S34" s="7"/>
      <c r="T34" s="7">
        <v>261138</v>
      </c>
      <c r="U34" s="7"/>
      <c r="V34" s="7"/>
      <c r="W34" s="7"/>
      <c r="X34" s="7"/>
      <c r="Y34" s="7"/>
      <c r="Z34" s="7"/>
      <c r="AA34" s="7"/>
      <c r="AB34" s="7"/>
      <c r="AC34" s="7"/>
      <c r="AD34" s="7">
        <f>SUM(L34:AC34)</f>
        <v>436023</v>
      </c>
      <c r="AE34" s="7"/>
      <c r="AF34" s="283">
        <f t="shared" si="8"/>
        <v>0</v>
      </c>
      <c r="AG34" s="283">
        <f t="shared" si="9"/>
        <v>0</v>
      </c>
      <c r="AH34" s="283">
        <f t="shared" si="10"/>
        <v>0</v>
      </c>
      <c r="AI34" s="283">
        <f t="shared" si="11"/>
        <v>0</v>
      </c>
      <c r="AJ34" s="283">
        <f t="shared" si="12"/>
        <v>6855.49</v>
      </c>
      <c r="AK34" s="283">
        <f t="shared" si="13"/>
        <v>0</v>
      </c>
      <c r="AL34" s="283">
        <f t="shared" si="14"/>
        <v>0</v>
      </c>
      <c r="AM34" s="283">
        <f t="shared" si="15"/>
        <v>23032.37</v>
      </c>
      <c r="AN34" s="283">
        <f t="shared" si="16"/>
        <v>0</v>
      </c>
      <c r="AO34" s="283">
        <f t="shared" si="17"/>
        <v>0</v>
      </c>
      <c r="AP34" s="283">
        <f t="shared" si="18"/>
        <v>0</v>
      </c>
      <c r="AQ34" s="283">
        <f t="shared" si="19"/>
        <v>0</v>
      </c>
      <c r="AR34" s="283">
        <f t="shared" si="20"/>
        <v>0</v>
      </c>
      <c r="AS34" s="283">
        <f t="shared" si="21"/>
        <v>0</v>
      </c>
      <c r="AT34" s="283">
        <f t="shared" si="22"/>
        <v>0</v>
      </c>
      <c r="AU34" s="283">
        <f t="shared" si="23"/>
        <v>0</v>
      </c>
      <c r="AV34" s="283">
        <f t="shared" si="24"/>
        <v>0</v>
      </c>
      <c r="AW34" s="320">
        <f t="shared" si="25"/>
        <v>29887.86</v>
      </c>
    </row>
    <row r="35" spans="1:49" x14ac:dyDescent="0.2">
      <c r="A35" s="1" t="s">
        <v>42</v>
      </c>
      <c r="B35" s="7">
        <v>14589253</v>
      </c>
      <c r="C35" s="7">
        <v>0</v>
      </c>
      <c r="D35" s="2">
        <f>(B35+C35)*0.124+0.01</f>
        <v>1809067.38</v>
      </c>
      <c r="E35" s="2">
        <f>(B35+C35)*0.049</f>
        <v>714873.4</v>
      </c>
      <c r="F35" s="2">
        <f>(B35+C35)*0.0524</f>
        <v>764476.86</v>
      </c>
      <c r="G35" s="2">
        <f t="shared" si="3"/>
        <v>1273772.51</v>
      </c>
      <c r="H35" s="2">
        <f t="shared" si="4"/>
        <v>142974.68</v>
      </c>
      <c r="I35" s="2">
        <f t="shared" si="5"/>
        <v>35.700000000000003</v>
      </c>
      <c r="J35" s="376">
        <f t="shared" si="6"/>
        <v>4705200.53</v>
      </c>
      <c r="K35" s="1"/>
      <c r="L35" s="7"/>
      <c r="M35" s="7"/>
      <c r="N35" s="7"/>
      <c r="O35" s="7">
        <v>14315293</v>
      </c>
      <c r="P35" s="7"/>
      <c r="Q35" s="7"/>
      <c r="R35" s="7"/>
      <c r="S35" s="7"/>
      <c r="T35" s="7"/>
      <c r="U35" s="7"/>
      <c r="V35" s="7"/>
      <c r="W35" s="7"/>
      <c r="X35" s="7"/>
      <c r="Y35" s="7">
        <v>265298</v>
      </c>
      <c r="Z35" s="7"/>
      <c r="AA35" s="7"/>
      <c r="AB35" s="7">
        <v>8662</v>
      </c>
      <c r="AC35" s="7"/>
      <c r="AD35" s="7">
        <f>SUM(L35:AC35)</f>
        <v>14589253</v>
      </c>
      <c r="AE35" s="7"/>
      <c r="AF35" s="283">
        <f t="shared" si="8"/>
        <v>0</v>
      </c>
      <c r="AG35" s="283">
        <f t="shared" si="9"/>
        <v>0</v>
      </c>
      <c r="AH35" s="283">
        <f t="shared" si="10"/>
        <v>1262608.8400000001</v>
      </c>
      <c r="AI35" s="283">
        <f t="shared" si="11"/>
        <v>0</v>
      </c>
      <c r="AJ35" s="283">
        <f t="shared" si="12"/>
        <v>0</v>
      </c>
      <c r="AK35" s="283">
        <f t="shared" si="13"/>
        <v>0</v>
      </c>
      <c r="AL35" s="283">
        <f t="shared" si="14"/>
        <v>0</v>
      </c>
      <c r="AM35" s="283">
        <f t="shared" si="15"/>
        <v>0</v>
      </c>
      <c r="AN35" s="283">
        <f t="shared" si="16"/>
        <v>0</v>
      </c>
      <c r="AO35" s="283">
        <f t="shared" si="17"/>
        <v>0</v>
      </c>
      <c r="AP35" s="283">
        <f t="shared" si="18"/>
        <v>0</v>
      </c>
      <c r="AQ35" s="283">
        <f t="shared" si="19"/>
        <v>0</v>
      </c>
      <c r="AR35" s="283">
        <f t="shared" si="20"/>
        <v>10399.68</v>
      </c>
      <c r="AS35" s="283">
        <f t="shared" si="21"/>
        <v>0</v>
      </c>
      <c r="AT35" s="283">
        <f t="shared" si="22"/>
        <v>0</v>
      </c>
      <c r="AU35" s="283">
        <f t="shared" si="23"/>
        <v>763.99</v>
      </c>
      <c r="AV35" s="283">
        <f t="shared" si="24"/>
        <v>0</v>
      </c>
      <c r="AW35" s="320">
        <f t="shared" si="25"/>
        <v>1273772.51</v>
      </c>
    </row>
    <row r="36" spans="1:49" x14ac:dyDescent="0.2">
      <c r="A36" s="1" t="s">
        <v>43</v>
      </c>
      <c r="B36" s="7">
        <v>35772</v>
      </c>
      <c r="C36" s="7">
        <v>0</v>
      </c>
      <c r="D36" s="2">
        <f>(B36+C36)*0.124+0.01</f>
        <v>4435.74</v>
      </c>
      <c r="E36" s="2">
        <f t="shared" si="28"/>
        <v>1752.83</v>
      </c>
      <c r="F36" s="2">
        <f t="shared" si="29"/>
        <v>1874.45</v>
      </c>
      <c r="G36" s="2">
        <f t="shared" si="3"/>
        <v>2998.58</v>
      </c>
      <c r="H36" s="2">
        <f>(B36+C36)*0.0098-0.01</f>
        <v>350.56</v>
      </c>
      <c r="I36" s="2">
        <f t="shared" si="5"/>
        <v>0</v>
      </c>
      <c r="J36" s="376">
        <f t="shared" si="6"/>
        <v>11412.16</v>
      </c>
      <c r="K36" s="1"/>
      <c r="L36" s="7"/>
      <c r="M36" s="7"/>
      <c r="N36" s="7"/>
      <c r="O36" s="7"/>
      <c r="P36" s="7"/>
      <c r="Q36" s="7"/>
      <c r="R36" s="7"/>
      <c r="S36" s="7">
        <v>950</v>
      </c>
      <c r="T36" s="7"/>
      <c r="U36" s="7"/>
      <c r="V36" s="7"/>
      <c r="W36" s="7"/>
      <c r="X36" s="7"/>
      <c r="Y36" s="7">
        <v>2244</v>
      </c>
      <c r="Z36" s="7"/>
      <c r="AA36" s="7"/>
      <c r="AB36" s="7"/>
      <c r="AC36" s="7">
        <v>32578</v>
      </c>
      <c r="AD36" s="7">
        <f t="shared" si="30"/>
        <v>35772</v>
      </c>
      <c r="AE36" s="7"/>
      <c r="AF36" s="283">
        <f t="shared" si="8"/>
        <v>0</v>
      </c>
      <c r="AG36" s="283">
        <f t="shared" si="9"/>
        <v>0</v>
      </c>
      <c r="AH36" s="283">
        <f t="shared" si="10"/>
        <v>0</v>
      </c>
      <c r="AI36" s="283">
        <f t="shared" si="11"/>
        <v>0</v>
      </c>
      <c r="AJ36" s="283">
        <f t="shared" si="12"/>
        <v>0</v>
      </c>
      <c r="AK36" s="283">
        <f t="shared" si="13"/>
        <v>0</v>
      </c>
      <c r="AL36" s="283">
        <f t="shared" si="14"/>
        <v>37.24</v>
      </c>
      <c r="AM36" s="283">
        <f t="shared" si="15"/>
        <v>0</v>
      </c>
      <c r="AN36" s="283">
        <f t="shared" si="16"/>
        <v>0</v>
      </c>
      <c r="AO36" s="283">
        <f t="shared" si="17"/>
        <v>0</v>
      </c>
      <c r="AP36" s="283">
        <f t="shared" si="18"/>
        <v>0</v>
      </c>
      <c r="AQ36" s="283">
        <f t="shared" si="19"/>
        <v>0</v>
      </c>
      <c r="AR36" s="283">
        <f t="shared" si="20"/>
        <v>87.96</v>
      </c>
      <c r="AS36" s="283">
        <f t="shared" si="21"/>
        <v>0</v>
      </c>
      <c r="AT36" s="283">
        <f t="shared" si="22"/>
        <v>0</v>
      </c>
      <c r="AU36" s="283">
        <f t="shared" si="23"/>
        <v>0</v>
      </c>
      <c r="AV36" s="283">
        <f t="shared" si="24"/>
        <v>2873.38</v>
      </c>
      <c r="AW36" s="320">
        <f t="shared" si="25"/>
        <v>2998.58</v>
      </c>
    </row>
    <row r="37" spans="1:49" x14ac:dyDescent="0.2">
      <c r="A37" s="18" t="s">
        <v>44</v>
      </c>
      <c r="B37" s="7">
        <v>881860</v>
      </c>
      <c r="C37" s="7">
        <v>380665</v>
      </c>
      <c r="D37" s="2">
        <f>(B37+C37)*0.124-0.03</f>
        <v>156553.07</v>
      </c>
      <c r="E37" s="2">
        <f>(B37+C37)*0.049</f>
        <v>61863.73</v>
      </c>
      <c r="F37" s="2">
        <f>(B37+C37)*0.0524</f>
        <v>66156.31</v>
      </c>
      <c r="G37" s="2">
        <f t="shared" si="3"/>
        <v>111354.71</v>
      </c>
      <c r="H37" s="2">
        <f t="shared" si="4"/>
        <v>12372.75</v>
      </c>
      <c r="I37" s="2">
        <f t="shared" si="5"/>
        <v>0</v>
      </c>
      <c r="J37" s="376">
        <f t="shared" si="6"/>
        <v>408300.57</v>
      </c>
      <c r="K37" s="1"/>
      <c r="L37" s="7"/>
      <c r="M37" s="7"/>
      <c r="N37" s="7"/>
      <c r="O37" s="7">
        <v>1262525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>
        <f>SUM(L37:AC37)</f>
        <v>1262525</v>
      </c>
      <c r="AE37" s="7"/>
      <c r="AF37" s="283">
        <f t="shared" si="8"/>
        <v>0</v>
      </c>
      <c r="AG37" s="283">
        <f t="shared" si="9"/>
        <v>0</v>
      </c>
      <c r="AH37" s="283">
        <f t="shared" si="10"/>
        <v>111354.71</v>
      </c>
      <c r="AI37" s="283">
        <f t="shared" si="11"/>
        <v>0</v>
      </c>
      <c r="AJ37" s="283">
        <f t="shared" si="12"/>
        <v>0</v>
      </c>
      <c r="AK37" s="283">
        <f t="shared" si="13"/>
        <v>0</v>
      </c>
      <c r="AL37" s="283">
        <f t="shared" si="14"/>
        <v>0</v>
      </c>
      <c r="AM37" s="283">
        <f t="shared" si="15"/>
        <v>0</v>
      </c>
      <c r="AN37" s="283">
        <f t="shared" si="16"/>
        <v>0</v>
      </c>
      <c r="AO37" s="283">
        <f t="shared" si="17"/>
        <v>0</v>
      </c>
      <c r="AP37" s="283">
        <f t="shared" si="18"/>
        <v>0</v>
      </c>
      <c r="AQ37" s="283">
        <f t="shared" si="19"/>
        <v>0</v>
      </c>
      <c r="AR37" s="283">
        <f t="shared" si="20"/>
        <v>0</v>
      </c>
      <c r="AS37" s="283">
        <f t="shared" si="21"/>
        <v>0</v>
      </c>
      <c r="AT37" s="283">
        <f t="shared" si="22"/>
        <v>0</v>
      </c>
      <c r="AU37" s="283">
        <f t="shared" si="23"/>
        <v>0</v>
      </c>
      <c r="AV37" s="283">
        <f t="shared" si="24"/>
        <v>0</v>
      </c>
      <c r="AW37" s="320">
        <f t="shared" si="25"/>
        <v>111354.71</v>
      </c>
    </row>
    <row r="38" spans="1:49" x14ac:dyDescent="0.2">
      <c r="A38" s="18" t="s">
        <v>608</v>
      </c>
      <c r="B38" s="7">
        <v>1058</v>
      </c>
      <c r="C38" s="7">
        <v>0</v>
      </c>
      <c r="D38" s="2">
        <f>(B38+C38)*0.124+0.01</f>
        <v>131.19999999999999</v>
      </c>
      <c r="E38" s="2">
        <f>(B38+C38)*0.049</f>
        <v>51.84</v>
      </c>
      <c r="F38" s="2">
        <f>(B38+C38)*0.0524</f>
        <v>55.44</v>
      </c>
      <c r="G38" s="2">
        <f t="shared" si="3"/>
        <v>81.16</v>
      </c>
      <c r="H38" s="2">
        <f t="shared" si="4"/>
        <v>10.37</v>
      </c>
      <c r="I38" s="2">
        <f t="shared" si="5"/>
        <v>1.1100000000000001</v>
      </c>
      <c r="J38" s="376">
        <f t="shared" si="6"/>
        <v>331.12</v>
      </c>
      <c r="K38" s="1"/>
      <c r="L38" s="7"/>
      <c r="M38" s="7"/>
      <c r="N38" s="7"/>
      <c r="O38" s="7">
        <v>540</v>
      </c>
      <c r="P38" s="7"/>
      <c r="Q38" s="7"/>
      <c r="R38" s="7"/>
      <c r="S38" s="7"/>
      <c r="T38" s="7"/>
      <c r="U38" s="7"/>
      <c r="V38" s="7"/>
      <c r="W38" s="7"/>
      <c r="X38" s="7"/>
      <c r="Y38" s="7">
        <v>248</v>
      </c>
      <c r="Z38" s="7"/>
      <c r="AA38" s="7"/>
      <c r="AB38" s="7">
        <v>270</v>
      </c>
      <c r="AC38" s="7"/>
      <c r="AD38" s="7">
        <f>SUM(L38:AC38)</f>
        <v>1058</v>
      </c>
      <c r="AF38" s="283">
        <f t="shared" si="8"/>
        <v>0</v>
      </c>
      <c r="AG38" s="283">
        <f t="shared" si="9"/>
        <v>0</v>
      </c>
      <c r="AH38" s="283">
        <f t="shared" si="10"/>
        <v>47.63</v>
      </c>
      <c r="AI38" s="283">
        <f t="shared" si="11"/>
        <v>0</v>
      </c>
      <c r="AJ38" s="283">
        <f t="shared" si="12"/>
        <v>0</v>
      </c>
      <c r="AK38" s="283">
        <f t="shared" si="13"/>
        <v>0</v>
      </c>
      <c r="AL38" s="283">
        <f t="shared" si="14"/>
        <v>0</v>
      </c>
      <c r="AM38" s="283">
        <f t="shared" si="15"/>
        <v>0</v>
      </c>
      <c r="AN38" s="283">
        <f t="shared" si="16"/>
        <v>0</v>
      </c>
      <c r="AO38" s="283">
        <f t="shared" si="17"/>
        <v>0</v>
      </c>
      <c r="AP38" s="283">
        <f t="shared" si="18"/>
        <v>0</v>
      </c>
      <c r="AQ38" s="283">
        <f t="shared" si="19"/>
        <v>0</v>
      </c>
      <c r="AR38" s="283">
        <f t="shared" si="20"/>
        <v>9.7200000000000006</v>
      </c>
      <c r="AS38" s="283">
        <f t="shared" si="21"/>
        <v>0</v>
      </c>
      <c r="AT38" s="283">
        <f t="shared" si="22"/>
        <v>0</v>
      </c>
      <c r="AU38" s="283">
        <f t="shared" si="23"/>
        <v>23.81</v>
      </c>
      <c r="AV38" s="283">
        <f t="shared" si="24"/>
        <v>0</v>
      </c>
      <c r="AW38" s="320">
        <f t="shared" si="25"/>
        <v>81.16</v>
      </c>
    </row>
    <row r="39" spans="1:49" x14ac:dyDescent="0.2">
      <c r="A39" s="18" t="s">
        <v>602</v>
      </c>
      <c r="B39" s="7">
        <v>271079</v>
      </c>
      <c r="C39" s="7">
        <v>11201</v>
      </c>
      <c r="D39" s="2">
        <f>(B39+C39)*0.124-0.01</f>
        <v>35002.71</v>
      </c>
      <c r="E39" s="2">
        <f>(B39+C39)*0.049</f>
        <v>13831.72</v>
      </c>
      <c r="F39" s="2">
        <f>(B39+C39)*0.0524</f>
        <v>14791.47</v>
      </c>
      <c r="G39" s="2">
        <f t="shared" si="3"/>
        <v>24897.1</v>
      </c>
      <c r="H39" s="2">
        <f>(B39+C39)*0.0098+0.01</f>
        <v>2766.35</v>
      </c>
      <c r="I39" s="2">
        <f t="shared" si="5"/>
        <v>1073.6400000000001</v>
      </c>
      <c r="J39" s="376">
        <f t="shared" si="6"/>
        <v>92362.99</v>
      </c>
      <c r="K39" s="1"/>
      <c r="L39" s="7"/>
      <c r="M39" s="7"/>
      <c r="N39" s="7"/>
      <c r="O39" s="7">
        <v>21807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>
        <v>260473</v>
      </c>
      <c r="AC39" s="7"/>
      <c r="AD39" s="7">
        <f>SUM(L39:AC39)</f>
        <v>282280</v>
      </c>
      <c r="AE39" s="7"/>
      <c r="AF39" s="283">
        <f t="shared" si="8"/>
        <v>0</v>
      </c>
      <c r="AG39" s="283">
        <f t="shared" si="9"/>
        <v>0</v>
      </c>
      <c r="AH39" s="283">
        <f t="shared" si="10"/>
        <v>1923.38</v>
      </c>
      <c r="AI39" s="283">
        <f t="shared" si="11"/>
        <v>0</v>
      </c>
      <c r="AJ39" s="283">
        <f t="shared" si="12"/>
        <v>0</v>
      </c>
      <c r="AK39" s="283">
        <f t="shared" si="13"/>
        <v>0</v>
      </c>
      <c r="AL39" s="283">
        <f t="shared" si="14"/>
        <v>0</v>
      </c>
      <c r="AM39" s="283">
        <f t="shared" si="15"/>
        <v>0</v>
      </c>
      <c r="AN39" s="283">
        <f t="shared" si="16"/>
        <v>0</v>
      </c>
      <c r="AO39" s="283">
        <f t="shared" si="17"/>
        <v>0</v>
      </c>
      <c r="AP39" s="283">
        <f t="shared" si="18"/>
        <v>0</v>
      </c>
      <c r="AQ39" s="283">
        <f t="shared" si="19"/>
        <v>0</v>
      </c>
      <c r="AR39" s="283">
        <f t="shared" si="20"/>
        <v>0</v>
      </c>
      <c r="AS39" s="283">
        <f t="shared" si="21"/>
        <v>0</v>
      </c>
      <c r="AT39" s="283">
        <f t="shared" si="22"/>
        <v>0</v>
      </c>
      <c r="AU39" s="283">
        <f t="shared" si="23"/>
        <v>22973.72</v>
      </c>
      <c r="AV39" s="283">
        <f t="shared" si="24"/>
        <v>0</v>
      </c>
      <c r="AW39" s="320">
        <f t="shared" si="25"/>
        <v>24897.1</v>
      </c>
    </row>
    <row r="40" spans="1:49" x14ac:dyDescent="0.2">
      <c r="A40" s="1" t="s">
        <v>45</v>
      </c>
      <c r="B40" s="7">
        <v>130706</v>
      </c>
      <c r="C40" s="7">
        <v>0</v>
      </c>
      <c r="D40" s="2">
        <f>(B40+C40)*0.124+0.01</f>
        <v>16207.55</v>
      </c>
      <c r="E40" s="2">
        <f t="shared" ref="E40:E46" si="31">(B40+C40)*0.049</f>
        <v>6404.59</v>
      </c>
      <c r="F40" s="2">
        <f t="shared" ref="F40:F46" si="32">(B40+C40)*0.0524</f>
        <v>6848.99</v>
      </c>
      <c r="G40" s="2">
        <f t="shared" si="3"/>
        <v>5123.68</v>
      </c>
      <c r="H40" s="2">
        <f t="shared" si="4"/>
        <v>1280.92</v>
      </c>
      <c r="I40" s="2">
        <f t="shared" si="5"/>
        <v>0</v>
      </c>
      <c r="J40" s="376">
        <f t="shared" si="6"/>
        <v>35865.730000000003</v>
      </c>
      <c r="K40" s="1"/>
      <c r="L40" s="7"/>
      <c r="M40" s="7"/>
      <c r="N40" s="7"/>
      <c r="O40" s="7"/>
      <c r="P40" s="7"/>
      <c r="Q40" s="7">
        <v>130706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>
        <f t="shared" ref="AD40:AD47" si="33">SUM(L40:AC40)</f>
        <v>130706</v>
      </c>
      <c r="AE40" s="1"/>
      <c r="AF40" s="283">
        <f t="shared" si="8"/>
        <v>0</v>
      </c>
      <c r="AG40" s="283">
        <f t="shared" si="9"/>
        <v>0</v>
      </c>
      <c r="AH40" s="283">
        <f t="shared" si="10"/>
        <v>0</v>
      </c>
      <c r="AI40" s="283">
        <f t="shared" si="11"/>
        <v>0</v>
      </c>
      <c r="AJ40" s="283">
        <f t="shared" si="12"/>
        <v>5123.68</v>
      </c>
      <c r="AK40" s="283">
        <f t="shared" si="13"/>
        <v>0</v>
      </c>
      <c r="AL40" s="283">
        <f t="shared" si="14"/>
        <v>0</v>
      </c>
      <c r="AM40" s="283">
        <f t="shared" si="15"/>
        <v>0</v>
      </c>
      <c r="AN40" s="283">
        <f t="shared" si="16"/>
        <v>0</v>
      </c>
      <c r="AO40" s="283">
        <f t="shared" si="17"/>
        <v>0</v>
      </c>
      <c r="AP40" s="283">
        <f t="shared" si="18"/>
        <v>0</v>
      </c>
      <c r="AQ40" s="283">
        <f t="shared" si="19"/>
        <v>0</v>
      </c>
      <c r="AR40" s="283">
        <f t="shared" si="20"/>
        <v>0</v>
      </c>
      <c r="AS40" s="283">
        <f t="shared" si="21"/>
        <v>0</v>
      </c>
      <c r="AT40" s="283">
        <f t="shared" si="22"/>
        <v>0</v>
      </c>
      <c r="AU40" s="283">
        <f t="shared" si="23"/>
        <v>0</v>
      </c>
      <c r="AV40" s="283">
        <f t="shared" si="24"/>
        <v>0</v>
      </c>
      <c r="AW40" s="320">
        <f t="shared" si="25"/>
        <v>5123.68</v>
      </c>
    </row>
    <row r="41" spans="1:49" x14ac:dyDescent="0.2">
      <c r="A41" s="1" t="s">
        <v>451</v>
      </c>
      <c r="B41" s="7">
        <v>7426</v>
      </c>
      <c r="C41" s="7">
        <v>0</v>
      </c>
      <c r="D41" s="2">
        <f>(B41+C41)*0.124+0.02</f>
        <v>920.84</v>
      </c>
      <c r="E41" s="2">
        <f t="shared" si="31"/>
        <v>363.87</v>
      </c>
      <c r="F41" s="2">
        <f t="shared" si="32"/>
        <v>389.12</v>
      </c>
      <c r="G41" s="2">
        <f t="shared" si="3"/>
        <v>654.97</v>
      </c>
      <c r="H41" s="2">
        <f t="shared" si="4"/>
        <v>72.77</v>
      </c>
      <c r="I41" s="2">
        <f t="shared" si="5"/>
        <v>0</v>
      </c>
      <c r="J41" s="376">
        <f t="shared" si="6"/>
        <v>2401.5700000000002</v>
      </c>
      <c r="K41" s="1"/>
      <c r="L41" s="7"/>
      <c r="M41" s="7"/>
      <c r="N41" s="7"/>
      <c r="O41" s="7">
        <v>7426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f t="shared" si="33"/>
        <v>7426</v>
      </c>
      <c r="AE41" s="1"/>
      <c r="AF41" s="283">
        <f t="shared" si="8"/>
        <v>0</v>
      </c>
      <c r="AG41" s="283">
        <f t="shared" si="9"/>
        <v>0</v>
      </c>
      <c r="AH41" s="283">
        <f t="shared" si="10"/>
        <v>654.97</v>
      </c>
      <c r="AI41" s="283">
        <f t="shared" si="11"/>
        <v>0</v>
      </c>
      <c r="AJ41" s="283">
        <f t="shared" si="12"/>
        <v>0</v>
      </c>
      <c r="AK41" s="283">
        <f t="shared" si="13"/>
        <v>0</v>
      </c>
      <c r="AL41" s="283">
        <f t="shared" si="14"/>
        <v>0</v>
      </c>
      <c r="AM41" s="283">
        <f t="shared" si="15"/>
        <v>0</v>
      </c>
      <c r="AN41" s="283">
        <f t="shared" si="16"/>
        <v>0</v>
      </c>
      <c r="AO41" s="283">
        <f t="shared" si="17"/>
        <v>0</v>
      </c>
      <c r="AP41" s="283">
        <f t="shared" si="18"/>
        <v>0</v>
      </c>
      <c r="AQ41" s="283">
        <f t="shared" si="19"/>
        <v>0</v>
      </c>
      <c r="AR41" s="283">
        <f t="shared" si="20"/>
        <v>0</v>
      </c>
      <c r="AS41" s="283">
        <f t="shared" si="21"/>
        <v>0</v>
      </c>
      <c r="AT41" s="283">
        <f t="shared" si="22"/>
        <v>0</v>
      </c>
      <c r="AU41" s="283">
        <f t="shared" si="23"/>
        <v>0</v>
      </c>
      <c r="AV41" s="283">
        <f t="shared" si="24"/>
        <v>0</v>
      </c>
      <c r="AW41" s="320">
        <f t="shared" si="25"/>
        <v>654.97</v>
      </c>
    </row>
    <row r="42" spans="1:49" x14ac:dyDescent="0.2">
      <c r="A42" s="1" t="s">
        <v>433</v>
      </c>
      <c r="B42" s="7">
        <v>1956142</v>
      </c>
      <c r="C42" s="7">
        <v>473414</v>
      </c>
      <c r="D42" s="2">
        <f>(B42+C42)*0.124+0.02</f>
        <v>301264.96000000002</v>
      </c>
      <c r="E42" s="2">
        <f t="shared" si="31"/>
        <v>119048.24</v>
      </c>
      <c r="F42" s="2">
        <f t="shared" si="32"/>
        <v>127308.73</v>
      </c>
      <c r="G42" s="2">
        <f t="shared" si="3"/>
        <v>207012.2</v>
      </c>
      <c r="H42" s="2">
        <f t="shared" si="4"/>
        <v>23809.65</v>
      </c>
      <c r="I42" s="2">
        <f t="shared" si="5"/>
        <v>0</v>
      </c>
      <c r="J42" s="376">
        <f t="shared" si="6"/>
        <v>778443.78</v>
      </c>
      <c r="K42" s="1"/>
      <c r="L42" s="7"/>
      <c r="M42" s="7"/>
      <c r="N42" s="7"/>
      <c r="O42" s="7">
        <v>2281094</v>
      </c>
      <c r="P42" s="7"/>
      <c r="Q42" s="7"/>
      <c r="R42" s="7"/>
      <c r="S42" s="7"/>
      <c r="T42" s="7"/>
      <c r="U42" s="7"/>
      <c r="V42" s="7"/>
      <c r="W42" s="7"/>
      <c r="X42" s="7"/>
      <c r="Y42" s="7">
        <v>148462</v>
      </c>
      <c r="Z42" s="7"/>
      <c r="AA42" s="7"/>
      <c r="AB42" s="7"/>
      <c r="AC42" s="7"/>
      <c r="AD42" s="7">
        <f t="shared" si="33"/>
        <v>2429556</v>
      </c>
      <c r="AE42" s="1"/>
      <c r="AF42" s="283">
        <f t="shared" si="8"/>
        <v>0</v>
      </c>
      <c r="AG42" s="283">
        <f t="shared" si="9"/>
        <v>0</v>
      </c>
      <c r="AH42" s="283">
        <f t="shared" si="10"/>
        <v>201192.49</v>
      </c>
      <c r="AI42" s="283">
        <f t="shared" si="11"/>
        <v>0</v>
      </c>
      <c r="AJ42" s="283">
        <f t="shared" si="12"/>
        <v>0</v>
      </c>
      <c r="AK42" s="283">
        <f t="shared" si="13"/>
        <v>0</v>
      </c>
      <c r="AL42" s="283">
        <f t="shared" si="14"/>
        <v>0</v>
      </c>
      <c r="AM42" s="283">
        <f t="shared" si="15"/>
        <v>0</v>
      </c>
      <c r="AN42" s="283">
        <f t="shared" si="16"/>
        <v>0</v>
      </c>
      <c r="AO42" s="283">
        <f t="shared" si="17"/>
        <v>0</v>
      </c>
      <c r="AP42" s="283">
        <f t="shared" si="18"/>
        <v>0</v>
      </c>
      <c r="AQ42" s="283">
        <f t="shared" si="19"/>
        <v>0</v>
      </c>
      <c r="AR42" s="283">
        <f t="shared" si="20"/>
        <v>5819.71</v>
      </c>
      <c r="AS42" s="283">
        <f t="shared" si="21"/>
        <v>0</v>
      </c>
      <c r="AT42" s="283">
        <f t="shared" si="22"/>
        <v>0</v>
      </c>
      <c r="AU42" s="283">
        <f t="shared" si="23"/>
        <v>0</v>
      </c>
      <c r="AV42" s="283">
        <f t="shared" si="24"/>
        <v>0</v>
      </c>
      <c r="AW42" s="320">
        <f t="shared" si="25"/>
        <v>207012.2</v>
      </c>
    </row>
    <row r="43" spans="1:49" x14ac:dyDescent="0.2">
      <c r="A43" s="1" t="s">
        <v>452</v>
      </c>
      <c r="B43" s="7">
        <v>123841</v>
      </c>
      <c r="C43" s="7">
        <v>0</v>
      </c>
      <c r="D43" s="2">
        <f>(B43+C43)*0.124</f>
        <v>15356.28</v>
      </c>
      <c r="E43" s="2">
        <f t="shared" si="31"/>
        <v>6068.21</v>
      </c>
      <c r="F43" s="2">
        <f t="shared" si="32"/>
        <v>6489.27</v>
      </c>
      <c r="G43" s="2">
        <f t="shared" si="3"/>
        <v>8783.0400000000009</v>
      </c>
      <c r="H43" s="2">
        <f>(B43+C43)*0.0098+0.01</f>
        <v>1213.6500000000001</v>
      </c>
      <c r="I43" s="2">
        <f t="shared" si="5"/>
        <v>0</v>
      </c>
      <c r="J43" s="376">
        <f t="shared" si="6"/>
        <v>37910.449999999997</v>
      </c>
      <c r="K43" s="1"/>
      <c r="L43" s="7"/>
      <c r="M43" s="7"/>
      <c r="N43" s="7"/>
      <c r="O43" s="7">
        <v>80173</v>
      </c>
      <c r="P43" s="7"/>
      <c r="Q43" s="7">
        <v>41672</v>
      </c>
      <c r="R43" s="7"/>
      <c r="S43" s="7"/>
      <c r="T43" s="7"/>
      <c r="U43" s="7"/>
      <c r="V43" s="7">
        <v>1996</v>
      </c>
      <c r="W43" s="7"/>
      <c r="X43" s="7"/>
      <c r="Y43" s="7"/>
      <c r="Z43" s="7"/>
      <c r="AA43" s="7"/>
      <c r="AB43" s="7"/>
      <c r="AC43" s="7"/>
      <c r="AD43" s="7">
        <f t="shared" si="33"/>
        <v>123841</v>
      </c>
      <c r="AE43" s="7"/>
      <c r="AF43" s="283">
        <f t="shared" si="8"/>
        <v>0</v>
      </c>
      <c r="AG43" s="283">
        <f t="shared" si="9"/>
        <v>0</v>
      </c>
      <c r="AH43" s="283">
        <f t="shared" si="10"/>
        <v>7071.26</v>
      </c>
      <c r="AI43" s="283">
        <f t="shared" si="11"/>
        <v>0</v>
      </c>
      <c r="AJ43" s="283">
        <f t="shared" si="12"/>
        <v>1633.54</v>
      </c>
      <c r="AK43" s="283">
        <f t="shared" si="13"/>
        <v>0</v>
      </c>
      <c r="AL43" s="283">
        <f t="shared" si="14"/>
        <v>0</v>
      </c>
      <c r="AM43" s="283">
        <f t="shared" si="15"/>
        <v>0</v>
      </c>
      <c r="AN43" s="283">
        <f t="shared" si="16"/>
        <v>0</v>
      </c>
      <c r="AO43" s="283">
        <f t="shared" si="17"/>
        <v>78.239999999999995</v>
      </c>
      <c r="AP43" s="283">
        <f t="shared" si="18"/>
        <v>0</v>
      </c>
      <c r="AQ43" s="283">
        <f t="shared" si="19"/>
        <v>0</v>
      </c>
      <c r="AR43" s="283">
        <f t="shared" si="20"/>
        <v>0</v>
      </c>
      <c r="AS43" s="283">
        <f t="shared" si="21"/>
        <v>0</v>
      </c>
      <c r="AT43" s="283">
        <f t="shared" si="22"/>
        <v>0</v>
      </c>
      <c r="AU43" s="283">
        <f t="shared" si="23"/>
        <v>0</v>
      </c>
      <c r="AV43" s="283">
        <f t="shared" si="24"/>
        <v>0</v>
      </c>
      <c r="AW43" s="320">
        <f t="shared" si="25"/>
        <v>8783.0400000000009</v>
      </c>
    </row>
    <row r="44" spans="1:49" x14ac:dyDescent="0.2">
      <c r="A44" s="1" t="s">
        <v>710</v>
      </c>
      <c r="B44" s="7">
        <v>2070</v>
      </c>
      <c r="C44" s="7">
        <v>0</v>
      </c>
      <c r="D44" s="2">
        <f>(B44+C44)*0.124-21.01</f>
        <v>235.67</v>
      </c>
      <c r="E44" s="2">
        <f>(B44+C44)*0.049-8.28</f>
        <v>93.15</v>
      </c>
      <c r="F44" s="2">
        <f>(B44+C44)*0.0524-8.8</f>
        <v>99.67</v>
      </c>
      <c r="G44" s="2">
        <f>+AW44</f>
        <v>74.52</v>
      </c>
      <c r="H44" s="2">
        <f>(B44+C44)*0.0098-1.66</f>
        <v>18.63</v>
      </c>
      <c r="I44" s="2">
        <f>(AB44)*0.0041219</f>
        <v>0</v>
      </c>
      <c r="J44" s="376">
        <f>SUM(D44:I44)</f>
        <v>521.64</v>
      </c>
      <c r="K44" s="1"/>
      <c r="L44" s="7"/>
      <c r="M44" s="7"/>
      <c r="N44" s="7"/>
      <c r="O44" s="7"/>
      <c r="P44" s="7"/>
      <c r="Q44" s="7">
        <v>2070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f>SUM(L44:AC44)</f>
        <v>2070</v>
      </c>
      <c r="AE44" s="7"/>
      <c r="AF44" s="283">
        <f>+M44*$AF$12</f>
        <v>0</v>
      </c>
      <c r="AG44" s="283">
        <f>+N44*$AG$12</f>
        <v>0</v>
      </c>
      <c r="AH44" s="283">
        <f>+O44*$AH$12</f>
        <v>0</v>
      </c>
      <c r="AI44" s="283">
        <f>+P44*$AI$12</f>
        <v>0</v>
      </c>
      <c r="AJ44" s="283">
        <f>+Q44*$AJ$12-6.62</f>
        <v>74.52</v>
      </c>
      <c r="AK44" s="283">
        <f>+R44*$AK$12</f>
        <v>0</v>
      </c>
      <c r="AL44" s="283">
        <f>+S44*$AL$12</f>
        <v>0</v>
      </c>
      <c r="AM44" s="283">
        <f>+T44*$AM$12</f>
        <v>0</v>
      </c>
      <c r="AN44" s="283">
        <f>+U44*$AN$12</f>
        <v>0</v>
      </c>
      <c r="AO44" s="283">
        <f>+V44*$AO$12</f>
        <v>0</v>
      </c>
      <c r="AP44" s="283">
        <f>+W44*$AP$12</f>
        <v>0</v>
      </c>
      <c r="AQ44" s="283">
        <f>+X44*$AQ$12</f>
        <v>0</v>
      </c>
      <c r="AR44" s="283">
        <f>+Y44*$AR$12</f>
        <v>0</v>
      </c>
      <c r="AS44" s="283">
        <f>+Z44*$AS$12</f>
        <v>0</v>
      </c>
      <c r="AT44" s="283">
        <f>+AA44*$AT$12</f>
        <v>0</v>
      </c>
      <c r="AU44" s="283">
        <f>+AB44*$AU$12</f>
        <v>0</v>
      </c>
      <c r="AV44" s="283">
        <f>+AC44*$AV$12</f>
        <v>0</v>
      </c>
      <c r="AW44" s="320">
        <f>SUM(AF44:AV44)</f>
        <v>74.52</v>
      </c>
    </row>
    <row r="45" spans="1:49" x14ac:dyDescent="0.2">
      <c r="A45" s="1" t="s">
        <v>457</v>
      </c>
      <c r="B45" s="7">
        <v>5536</v>
      </c>
      <c r="C45" s="7">
        <v>0</v>
      </c>
      <c r="D45" s="2">
        <f>(B45+C45)*0.124+0.02</f>
        <v>686.48</v>
      </c>
      <c r="E45" s="2">
        <f t="shared" si="31"/>
        <v>271.26</v>
      </c>
      <c r="F45" s="2">
        <f t="shared" si="32"/>
        <v>290.08999999999997</v>
      </c>
      <c r="G45" s="2">
        <f t="shared" si="3"/>
        <v>488.27</v>
      </c>
      <c r="H45" s="2">
        <f t="shared" si="4"/>
        <v>54.25</v>
      </c>
      <c r="I45" s="2">
        <f t="shared" si="5"/>
        <v>9.66</v>
      </c>
      <c r="J45" s="376">
        <f t="shared" si="6"/>
        <v>1800.01</v>
      </c>
      <c r="K45" s="1"/>
      <c r="L45" s="7"/>
      <c r="M45" s="7"/>
      <c r="N45" s="7"/>
      <c r="O45" s="7"/>
      <c r="P45" s="7"/>
      <c r="Q45" s="7"/>
      <c r="R45" s="7"/>
      <c r="S45" s="7"/>
      <c r="T45" s="7">
        <v>3192</v>
      </c>
      <c r="U45" s="7"/>
      <c r="V45" s="7"/>
      <c r="W45" s="7"/>
      <c r="X45" s="7"/>
      <c r="Y45" s="7"/>
      <c r="Z45" s="7"/>
      <c r="AA45" s="7"/>
      <c r="AB45" s="7">
        <v>2344</v>
      </c>
      <c r="AC45" s="7"/>
      <c r="AD45" s="7">
        <f t="shared" si="33"/>
        <v>5536</v>
      </c>
      <c r="AE45" s="7"/>
      <c r="AF45" s="283">
        <f t="shared" si="8"/>
        <v>0</v>
      </c>
      <c r="AG45" s="283">
        <f t="shared" si="9"/>
        <v>0</v>
      </c>
      <c r="AH45" s="283">
        <f t="shared" si="10"/>
        <v>0</v>
      </c>
      <c r="AI45" s="283">
        <f t="shared" si="11"/>
        <v>0</v>
      </c>
      <c r="AJ45" s="283">
        <f t="shared" si="12"/>
        <v>0</v>
      </c>
      <c r="AK45" s="283">
        <f t="shared" si="13"/>
        <v>0</v>
      </c>
      <c r="AL45" s="283">
        <f t="shared" si="14"/>
        <v>0</v>
      </c>
      <c r="AM45" s="283">
        <f t="shared" si="15"/>
        <v>281.52999999999997</v>
      </c>
      <c r="AN45" s="283">
        <f t="shared" si="16"/>
        <v>0</v>
      </c>
      <c r="AO45" s="283">
        <f t="shared" si="17"/>
        <v>0</v>
      </c>
      <c r="AP45" s="283">
        <f t="shared" si="18"/>
        <v>0</v>
      </c>
      <c r="AQ45" s="283">
        <f t="shared" si="19"/>
        <v>0</v>
      </c>
      <c r="AR45" s="283">
        <f t="shared" si="20"/>
        <v>0</v>
      </c>
      <c r="AS45" s="283">
        <f t="shared" si="21"/>
        <v>0</v>
      </c>
      <c r="AT45" s="283">
        <f t="shared" si="22"/>
        <v>0</v>
      </c>
      <c r="AU45" s="283">
        <f t="shared" si="23"/>
        <v>206.74</v>
      </c>
      <c r="AV45" s="283">
        <f t="shared" si="24"/>
        <v>0</v>
      </c>
      <c r="AW45" s="320">
        <f t="shared" si="25"/>
        <v>488.27</v>
      </c>
    </row>
    <row r="46" spans="1:49" s="20" customFormat="1" x14ac:dyDescent="0.2">
      <c r="A46" s="18" t="s">
        <v>498</v>
      </c>
      <c r="B46" s="246">
        <v>3073556</v>
      </c>
      <c r="C46" s="246">
        <v>809174</v>
      </c>
      <c r="D46" s="2">
        <f>(B46+C46)*0.124-0.01</f>
        <v>481458.51</v>
      </c>
      <c r="E46" s="78">
        <f t="shared" si="31"/>
        <v>190253.77</v>
      </c>
      <c r="F46" s="78">
        <f t="shared" si="32"/>
        <v>203455.05</v>
      </c>
      <c r="G46" s="2">
        <f t="shared" si="3"/>
        <v>342456.79</v>
      </c>
      <c r="H46" s="2">
        <f>(B46+C46)*0.0098+0.01</f>
        <v>38050.76</v>
      </c>
      <c r="I46" s="2">
        <f t="shared" si="5"/>
        <v>625.29</v>
      </c>
      <c r="J46" s="376">
        <f t="shared" si="6"/>
        <v>1256300.17</v>
      </c>
      <c r="K46" s="18"/>
      <c r="L46" s="246"/>
      <c r="M46" s="246"/>
      <c r="N46" s="246">
        <v>64807</v>
      </c>
      <c r="O46" s="246">
        <v>3666224</v>
      </c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>
        <v>151699</v>
      </c>
      <c r="AC46" s="246"/>
      <c r="AD46" s="246">
        <f t="shared" si="33"/>
        <v>3882730</v>
      </c>
      <c r="AE46" s="18"/>
      <c r="AF46" s="283">
        <f t="shared" si="8"/>
        <v>0</v>
      </c>
      <c r="AG46" s="283">
        <f t="shared" si="9"/>
        <v>5715.98</v>
      </c>
      <c r="AH46" s="283">
        <f t="shared" si="10"/>
        <v>323360.96000000002</v>
      </c>
      <c r="AI46" s="283">
        <f t="shared" si="11"/>
        <v>0</v>
      </c>
      <c r="AJ46" s="283">
        <f t="shared" si="12"/>
        <v>0</v>
      </c>
      <c r="AK46" s="283">
        <f t="shared" si="13"/>
        <v>0</v>
      </c>
      <c r="AL46" s="283">
        <f t="shared" si="14"/>
        <v>0</v>
      </c>
      <c r="AM46" s="283">
        <f t="shared" si="15"/>
        <v>0</v>
      </c>
      <c r="AN46" s="283">
        <f t="shared" si="16"/>
        <v>0</v>
      </c>
      <c r="AO46" s="283">
        <f t="shared" si="17"/>
        <v>0</v>
      </c>
      <c r="AP46" s="283">
        <f t="shared" si="18"/>
        <v>0</v>
      </c>
      <c r="AQ46" s="283">
        <f t="shared" si="19"/>
        <v>0</v>
      </c>
      <c r="AR46" s="283">
        <f t="shared" si="20"/>
        <v>0</v>
      </c>
      <c r="AS46" s="283">
        <f t="shared" si="21"/>
        <v>0</v>
      </c>
      <c r="AT46" s="283">
        <f t="shared" si="22"/>
        <v>0</v>
      </c>
      <c r="AU46" s="283">
        <f t="shared" si="23"/>
        <v>13379.85</v>
      </c>
      <c r="AV46" s="283">
        <f t="shared" si="24"/>
        <v>0</v>
      </c>
      <c r="AW46" s="320">
        <f t="shared" si="25"/>
        <v>342456.79</v>
      </c>
    </row>
    <row r="47" spans="1:49" x14ac:dyDescent="0.2">
      <c r="A47" s="18" t="s">
        <v>137</v>
      </c>
      <c r="B47" s="7">
        <v>156685</v>
      </c>
      <c r="C47" s="7">
        <v>0</v>
      </c>
      <c r="D47" s="2">
        <f>(B47+C47)*0.124</f>
        <v>19428.939999999999</v>
      </c>
      <c r="E47" s="2">
        <f>(B47+C47)*0.049</f>
        <v>7677.57</v>
      </c>
      <c r="F47" s="2">
        <f>(B47+C47)*0.0524</f>
        <v>8210.2900000000009</v>
      </c>
      <c r="G47" s="2">
        <f t="shared" si="3"/>
        <v>6142.05</v>
      </c>
      <c r="H47" s="2">
        <f t="shared" si="4"/>
        <v>1535.51</v>
      </c>
      <c r="I47" s="2">
        <f t="shared" si="5"/>
        <v>0</v>
      </c>
      <c r="J47" s="376">
        <f t="shared" si="6"/>
        <v>42994.36</v>
      </c>
      <c r="K47" s="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>
        <v>156685</v>
      </c>
      <c r="Z47" s="7"/>
      <c r="AA47" s="7"/>
      <c r="AB47" s="7"/>
      <c r="AC47" s="7"/>
      <c r="AD47" s="7">
        <f t="shared" si="33"/>
        <v>156685</v>
      </c>
      <c r="AF47" s="283">
        <f t="shared" si="8"/>
        <v>0</v>
      </c>
      <c r="AG47" s="283">
        <f t="shared" si="9"/>
        <v>0</v>
      </c>
      <c r="AH47" s="283">
        <f t="shared" si="10"/>
        <v>0</v>
      </c>
      <c r="AI47" s="283">
        <f t="shared" si="11"/>
        <v>0</v>
      </c>
      <c r="AJ47" s="283">
        <f t="shared" si="12"/>
        <v>0</v>
      </c>
      <c r="AK47" s="283">
        <f t="shared" si="13"/>
        <v>0</v>
      </c>
      <c r="AL47" s="283">
        <f t="shared" si="14"/>
        <v>0</v>
      </c>
      <c r="AM47" s="283">
        <f t="shared" si="15"/>
        <v>0</v>
      </c>
      <c r="AN47" s="283">
        <f t="shared" si="16"/>
        <v>0</v>
      </c>
      <c r="AO47" s="283">
        <f t="shared" si="17"/>
        <v>0</v>
      </c>
      <c r="AP47" s="283">
        <f t="shared" si="18"/>
        <v>0</v>
      </c>
      <c r="AQ47" s="283">
        <f t="shared" si="19"/>
        <v>0</v>
      </c>
      <c r="AR47" s="283">
        <f t="shared" si="20"/>
        <v>6142.05</v>
      </c>
      <c r="AS47" s="283">
        <f t="shared" si="21"/>
        <v>0</v>
      </c>
      <c r="AT47" s="283">
        <f t="shared" si="22"/>
        <v>0</v>
      </c>
      <c r="AU47" s="283">
        <f t="shared" si="23"/>
        <v>0</v>
      </c>
      <c r="AV47" s="283">
        <f t="shared" si="24"/>
        <v>0</v>
      </c>
      <c r="AW47" s="320">
        <f t="shared" si="25"/>
        <v>6142.05</v>
      </c>
    </row>
    <row r="48" spans="1:49" x14ac:dyDescent="0.2">
      <c r="A48" s="1" t="s">
        <v>434</v>
      </c>
      <c r="B48" s="7">
        <v>1831377</v>
      </c>
      <c r="C48" s="7">
        <v>457811</v>
      </c>
      <c r="D48" s="2">
        <f>(B48+C48)*0.124</f>
        <v>283859.31</v>
      </c>
      <c r="E48" s="2">
        <f>(B48+C48)*0.049</f>
        <v>112170.21</v>
      </c>
      <c r="F48" s="2">
        <f>(B48+C48)*0.0524</f>
        <v>119953.45</v>
      </c>
      <c r="G48" s="2">
        <f t="shared" si="3"/>
        <v>197261.6</v>
      </c>
      <c r="H48" s="2">
        <f>(B48+C48)*0.0098+2.03</f>
        <v>22436.07</v>
      </c>
      <c r="I48" s="2">
        <f t="shared" si="5"/>
        <v>0</v>
      </c>
      <c r="J48" s="376">
        <f t="shared" si="6"/>
        <v>735680.64</v>
      </c>
      <c r="K48" s="1"/>
      <c r="L48" s="7"/>
      <c r="M48" s="7"/>
      <c r="N48" s="7"/>
      <c r="O48" s="7">
        <v>2194231</v>
      </c>
      <c r="P48" s="7"/>
      <c r="Q48" s="7"/>
      <c r="R48" s="7"/>
      <c r="S48" s="7"/>
      <c r="T48" s="7"/>
      <c r="U48" s="7"/>
      <c r="V48" s="7"/>
      <c r="W48" s="7"/>
      <c r="X48" s="7"/>
      <c r="Y48" s="7">
        <v>95164</v>
      </c>
      <c r="Z48" s="7"/>
      <c r="AA48" s="7"/>
      <c r="AB48" s="7"/>
      <c r="AC48" s="7"/>
      <c r="AD48" s="7">
        <f t="shared" ref="AD48:AD60" si="34">SUM(L48:AC48)</f>
        <v>2289395</v>
      </c>
      <c r="AE48" s="1"/>
      <c r="AF48" s="283">
        <f t="shared" si="8"/>
        <v>0</v>
      </c>
      <c r="AG48" s="283">
        <f t="shared" si="9"/>
        <v>0</v>
      </c>
      <c r="AH48" s="283">
        <f t="shared" si="10"/>
        <v>193531.17</v>
      </c>
      <c r="AI48" s="283">
        <f t="shared" si="11"/>
        <v>0</v>
      </c>
      <c r="AJ48" s="283">
        <f t="shared" si="12"/>
        <v>0</v>
      </c>
      <c r="AK48" s="283">
        <f t="shared" si="13"/>
        <v>0</v>
      </c>
      <c r="AL48" s="283">
        <f t="shared" si="14"/>
        <v>0</v>
      </c>
      <c r="AM48" s="283">
        <f t="shared" si="15"/>
        <v>0</v>
      </c>
      <c r="AN48" s="283">
        <f t="shared" si="16"/>
        <v>0</v>
      </c>
      <c r="AO48" s="283">
        <f t="shared" si="17"/>
        <v>0</v>
      </c>
      <c r="AP48" s="283">
        <f t="shared" si="18"/>
        <v>0</v>
      </c>
      <c r="AQ48" s="283">
        <f t="shared" si="19"/>
        <v>0</v>
      </c>
      <c r="AR48" s="283">
        <f t="shared" si="20"/>
        <v>3730.43</v>
      </c>
      <c r="AS48" s="283">
        <f t="shared" si="21"/>
        <v>0</v>
      </c>
      <c r="AT48" s="283">
        <f t="shared" si="22"/>
        <v>0</v>
      </c>
      <c r="AU48" s="283">
        <f t="shared" si="23"/>
        <v>0</v>
      </c>
      <c r="AV48" s="283">
        <f t="shared" si="24"/>
        <v>0</v>
      </c>
      <c r="AW48" s="320">
        <f t="shared" si="25"/>
        <v>197261.6</v>
      </c>
    </row>
    <row r="49" spans="1:49" s="20" customFormat="1" x14ac:dyDescent="0.2">
      <c r="A49" s="18" t="s">
        <v>501</v>
      </c>
      <c r="B49" s="246">
        <v>156651</v>
      </c>
      <c r="C49" s="246">
        <v>0</v>
      </c>
      <c r="D49" s="2">
        <f>(B49+C49)*0.124</f>
        <v>19424.72</v>
      </c>
      <c r="E49" s="78">
        <f t="shared" ref="E49:E54" si="35">(B49+C49)*0.049</f>
        <v>7675.9</v>
      </c>
      <c r="F49" s="78">
        <f t="shared" ref="F49:F54" si="36">(B49+C49)*0.0524</f>
        <v>8208.51</v>
      </c>
      <c r="G49" s="2">
        <f t="shared" si="3"/>
        <v>6140.72</v>
      </c>
      <c r="H49" s="2">
        <f t="shared" si="4"/>
        <v>1535.18</v>
      </c>
      <c r="I49" s="2">
        <f t="shared" si="5"/>
        <v>0</v>
      </c>
      <c r="J49" s="376">
        <f t="shared" si="6"/>
        <v>42985.03</v>
      </c>
      <c r="K49" s="18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>
        <v>156651</v>
      </c>
      <c r="Z49" s="246"/>
      <c r="AA49" s="246"/>
      <c r="AB49" s="246"/>
      <c r="AC49" s="246"/>
      <c r="AD49" s="246">
        <f>SUM(L49:AC49)</f>
        <v>156651</v>
      </c>
      <c r="AE49" s="18"/>
      <c r="AF49" s="283">
        <f t="shared" si="8"/>
        <v>0</v>
      </c>
      <c r="AG49" s="283">
        <f t="shared" si="9"/>
        <v>0</v>
      </c>
      <c r="AH49" s="283">
        <f t="shared" si="10"/>
        <v>0</v>
      </c>
      <c r="AI49" s="283">
        <f t="shared" si="11"/>
        <v>0</v>
      </c>
      <c r="AJ49" s="283">
        <f t="shared" si="12"/>
        <v>0</v>
      </c>
      <c r="AK49" s="283">
        <f t="shared" si="13"/>
        <v>0</v>
      </c>
      <c r="AL49" s="283">
        <f t="shared" si="14"/>
        <v>0</v>
      </c>
      <c r="AM49" s="283">
        <f t="shared" si="15"/>
        <v>0</v>
      </c>
      <c r="AN49" s="283">
        <f t="shared" si="16"/>
        <v>0</v>
      </c>
      <c r="AO49" s="283">
        <f t="shared" si="17"/>
        <v>0</v>
      </c>
      <c r="AP49" s="283">
        <f t="shared" si="18"/>
        <v>0</v>
      </c>
      <c r="AQ49" s="283">
        <f t="shared" si="19"/>
        <v>0</v>
      </c>
      <c r="AR49" s="283">
        <f t="shared" si="20"/>
        <v>6140.72</v>
      </c>
      <c r="AS49" s="283">
        <f t="shared" si="21"/>
        <v>0</v>
      </c>
      <c r="AT49" s="283">
        <f t="shared" si="22"/>
        <v>0</v>
      </c>
      <c r="AU49" s="283">
        <f t="shared" si="23"/>
        <v>0</v>
      </c>
      <c r="AV49" s="283">
        <f t="shared" si="24"/>
        <v>0</v>
      </c>
      <c r="AW49" s="320">
        <f t="shared" si="25"/>
        <v>6140.72</v>
      </c>
    </row>
    <row r="50" spans="1:49" s="20" customFormat="1" x14ac:dyDescent="0.2">
      <c r="A50" s="18" t="s">
        <v>603</v>
      </c>
      <c r="B50" s="246">
        <v>501772</v>
      </c>
      <c r="C50" s="246">
        <v>0</v>
      </c>
      <c r="D50" s="2">
        <f>(B50+C50)*0.124+0.01</f>
        <v>62219.74</v>
      </c>
      <c r="E50" s="78">
        <f>(B50+C50)*0.049</f>
        <v>24586.83</v>
      </c>
      <c r="F50" s="78">
        <f>(B50+C50)*0.0524</f>
        <v>26292.85</v>
      </c>
      <c r="G50" s="2">
        <f t="shared" si="3"/>
        <v>37899.120000000003</v>
      </c>
      <c r="H50" s="2">
        <f>(B50+C50)*0.0098-0.01</f>
        <v>4917.3599999999997</v>
      </c>
      <c r="I50" s="2">
        <f t="shared" si="5"/>
        <v>37.22</v>
      </c>
      <c r="J50" s="376">
        <f t="shared" si="6"/>
        <v>155953.12</v>
      </c>
      <c r="K50" s="18"/>
      <c r="L50" s="246"/>
      <c r="M50" s="246"/>
      <c r="N50" s="246"/>
      <c r="O50" s="246">
        <v>363003</v>
      </c>
      <c r="P50" s="246">
        <v>18057</v>
      </c>
      <c r="Q50" s="246">
        <v>111681</v>
      </c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>
        <v>9031</v>
      </c>
      <c r="AC50" s="246"/>
      <c r="AD50" s="246">
        <f>SUM(L50:AC50)</f>
        <v>501772</v>
      </c>
      <c r="AE50" s="18"/>
      <c r="AF50" s="283">
        <f t="shared" si="8"/>
        <v>0</v>
      </c>
      <c r="AG50" s="283">
        <f t="shared" si="9"/>
        <v>0</v>
      </c>
      <c r="AH50" s="283">
        <f t="shared" si="10"/>
        <v>32016.86</v>
      </c>
      <c r="AI50" s="283">
        <f t="shared" si="11"/>
        <v>707.83</v>
      </c>
      <c r="AJ50" s="283">
        <f t="shared" si="12"/>
        <v>4377.8999999999996</v>
      </c>
      <c r="AK50" s="283">
        <f t="shared" si="13"/>
        <v>0</v>
      </c>
      <c r="AL50" s="283">
        <f t="shared" si="14"/>
        <v>0</v>
      </c>
      <c r="AM50" s="283">
        <f t="shared" si="15"/>
        <v>0</v>
      </c>
      <c r="AN50" s="283">
        <f t="shared" si="16"/>
        <v>0</v>
      </c>
      <c r="AO50" s="283">
        <f t="shared" si="17"/>
        <v>0</v>
      </c>
      <c r="AP50" s="283">
        <f t="shared" si="18"/>
        <v>0</v>
      </c>
      <c r="AQ50" s="283">
        <f t="shared" si="19"/>
        <v>0</v>
      </c>
      <c r="AR50" s="283">
        <f t="shared" si="20"/>
        <v>0</v>
      </c>
      <c r="AS50" s="283">
        <f t="shared" si="21"/>
        <v>0</v>
      </c>
      <c r="AT50" s="283">
        <f t="shared" si="22"/>
        <v>0</v>
      </c>
      <c r="AU50" s="283">
        <f t="shared" si="23"/>
        <v>796.53</v>
      </c>
      <c r="AV50" s="283">
        <f t="shared" si="24"/>
        <v>0</v>
      </c>
      <c r="AW50" s="320">
        <f t="shared" si="25"/>
        <v>37899.120000000003</v>
      </c>
    </row>
    <row r="51" spans="1:49" ht="15" customHeight="1" x14ac:dyDescent="0.2">
      <c r="A51" s="7" t="s">
        <v>348</v>
      </c>
      <c r="B51" s="7">
        <v>174461</v>
      </c>
      <c r="C51" s="7">
        <v>0</v>
      </c>
      <c r="D51" s="2">
        <f>(B51+C51)*0.124</f>
        <v>21633.16</v>
      </c>
      <c r="E51" s="2">
        <f t="shared" si="35"/>
        <v>8548.59</v>
      </c>
      <c r="F51" s="2">
        <f t="shared" si="36"/>
        <v>9141.76</v>
      </c>
      <c r="G51" s="2">
        <f t="shared" si="3"/>
        <v>10364.91</v>
      </c>
      <c r="H51" s="2">
        <f t="shared" si="4"/>
        <v>1709.72</v>
      </c>
      <c r="I51" s="2">
        <f t="shared" si="5"/>
        <v>0</v>
      </c>
      <c r="J51" s="376">
        <f t="shared" si="6"/>
        <v>51398.14</v>
      </c>
      <c r="K51" s="1"/>
      <c r="L51" s="7"/>
      <c r="M51" s="7"/>
      <c r="N51" s="7"/>
      <c r="O51" s="7"/>
      <c r="P51" s="7"/>
      <c r="Q51" s="7"/>
      <c r="R51" s="7">
        <v>14946</v>
      </c>
      <c r="S51" s="7"/>
      <c r="T51" s="7"/>
      <c r="U51" s="7"/>
      <c r="V51" s="7"/>
      <c r="W51" s="7"/>
      <c r="X51" s="7"/>
      <c r="Y51" s="7">
        <v>87555</v>
      </c>
      <c r="Z51" s="7"/>
      <c r="AA51" s="7"/>
      <c r="AB51" s="7"/>
      <c r="AC51" s="7">
        <v>71960</v>
      </c>
      <c r="AD51" s="7">
        <f t="shared" si="34"/>
        <v>174461</v>
      </c>
      <c r="AE51" s="7"/>
      <c r="AF51" s="283">
        <f t="shared" si="8"/>
        <v>0</v>
      </c>
      <c r="AG51" s="283">
        <f t="shared" si="9"/>
        <v>0</v>
      </c>
      <c r="AH51" s="283">
        <f t="shared" si="10"/>
        <v>0</v>
      </c>
      <c r="AI51" s="283">
        <f t="shared" si="11"/>
        <v>0</v>
      </c>
      <c r="AJ51" s="283">
        <f t="shared" si="12"/>
        <v>0</v>
      </c>
      <c r="AK51" s="283">
        <f t="shared" si="13"/>
        <v>585.88</v>
      </c>
      <c r="AL51" s="283">
        <f t="shared" si="14"/>
        <v>0</v>
      </c>
      <c r="AM51" s="283">
        <f t="shared" si="15"/>
        <v>0</v>
      </c>
      <c r="AN51" s="283">
        <f t="shared" si="16"/>
        <v>0</v>
      </c>
      <c r="AO51" s="283">
        <f t="shared" si="17"/>
        <v>0</v>
      </c>
      <c r="AP51" s="283">
        <f t="shared" si="18"/>
        <v>0</v>
      </c>
      <c r="AQ51" s="283">
        <f t="shared" si="19"/>
        <v>0</v>
      </c>
      <c r="AR51" s="283">
        <f t="shared" si="20"/>
        <v>3432.16</v>
      </c>
      <c r="AS51" s="283">
        <f t="shared" si="21"/>
        <v>0</v>
      </c>
      <c r="AT51" s="283">
        <f t="shared" si="22"/>
        <v>0</v>
      </c>
      <c r="AU51" s="283">
        <f t="shared" si="23"/>
        <v>0</v>
      </c>
      <c r="AV51" s="283">
        <f t="shared" si="24"/>
        <v>6346.87</v>
      </c>
      <c r="AW51" s="320">
        <f t="shared" si="25"/>
        <v>10364.91</v>
      </c>
    </row>
    <row r="52" spans="1:49" s="20" customFormat="1" x14ac:dyDescent="0.2">
      <c r="A52" s="246" t="s">
        <v>459</v>
      </c>
      <c r="B52" s="246">
        <v>804074</v>
      </c>
      <c r="C52" s="246">
        <v>893</v>
      </c>
      <c r="D52" s="2">
        <f>(B52+C52)*0.124</f>
        <v>99815.91</v>
      </c>
      <c r="E52" s="78">
        <f t="shared" si="35"/>
        <v>39443.379999999997</v>
      </c>
      <c r="F52" s="78">
        <f t="shared" si="36"/>
        <v>42180.27</v>
      </c>
      <c r="G52" s="2">
        <f t="shared" si="3"/>
        <v>70998.09</v>
      </c>
      <c r="H52" s="2">
        <f t="shared" si="4"/>
        <v>7888.68</v>
      </c>
      <c r="I52" s="2">
        <f t="shared" si="5"/>
        <v>0</v>
      </c>
      <c r="J52" s="376">
        <f t="shared" si="6"/>
        <v>260326.33</v>
      </c>
      <c r="K52" s="18"/>
      <c r="L52" s="246"/>
      <c r="M52" s="246"/>
      <c r="N52" s="246"/>
      <c r="O52" s="246">
        <v>804967</v>
      </c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>
        <f>SUM(L52:AC52)</f>
        <v>804967</v>
      </c>
      <c r="AE52" s="246"/>
      <c r="AF52" s="283">
        <f t="shared" si="8"/>
        <v>0</v>
      </c>
      <c r="AG52" s="283">
        <f t="shared" si="9"/>
        <v>0</v>
      </c>
      <c r="AH52" s="283">
        <f t="shared" si="10"/>
        <v>70998.09</v>
      </c>
      <c r="AI52" s="283">
        <f t="shared" si="11"/>
        <v>0</v>
      </c>
      <c r="AJ52" s="283">
        <f t="shared" si="12"/>
        <v>0</v>
      </c>
      <c r="AK52" s="283">
        <f t="shared" si="13"/>
        <v>0</v>
      </c>
      <c r="AL52" s="283">
        <f t="shared" si="14"/>
        <v>0</v>
      </c>
      <c r="AM52" s="283">
        <f t="shared" si="15"/>
        <v>0</v>
      </c>
      <c r="AN52" s="283">
        <f t="shared" si="16"/>
        <v>0</v>
      </c>
      <c r="AO52" s="283">
        <f t="shared" si="17"/>
        <v>0</v>
      </c>
      <c r="AP52" s="283">
        <f t="shared" si="18"/>
        <v>0</v>
      </c>
      <c r="AQ52" s="283">
        <f t="shared" si="19"/>
        <v>0</v>
      </c>
      <c r="AR52" s="283">
        <f t="shared" si="20"/>
        <v>0</v>
      </c>
      <c r="AS52" s="283">
        <f t="shared" si="21"/>
        <v>0</v>
      </c>
      <c r="AT52" s="283">
        <f t="shared" si="22"/>
        <v>0</v>
      </c>
      <c r="AU52" s="283">
        <f t="shared" si="23"/>
        <v>0</v>
      </c>
      <c r="AV52" s="283">
        <f t="shared" si="24"/>
        <v>0</v>
      </c>
      <c r="AW52" s="320">
        <f t="shared" si="25"/>
        <v>70998.09</v>
      </c>
    </row>
    <row r="53" spans="1:49" x14ac:dyDescent="0.2">
      <c r="A53" s="7" t="s">
        <v>435</v>
      </c>
      <c r="B53" s="7">
        <v>16500</v>
      </c>
      <c r="C53" s="7">
        <v>0</v>
      </c>
      <c r="D53" s="2">
        <f>(B53+C53)*0.124</f>
        <v>2046</v>
      </c>
      <c r="E53" s="2">
        <f t="shared" si="35"/>
        <v>808.5</v>
      </c>
      <c r="F53" s="2">
        <f t="shared" si="36"/>
        <v>864.6</v>
      </c>
      <c r="G53" s="2">
        <f t="shared" si="3"/>
        <v>1455.3</v>
      </c>
      <c r="H53" s="2">
        <f t="shared" si="4"/>
        <v>161.69999999999999</v>
      </c>
      <c r="I53" s="2">
        <f t="shared" si="5"/>
        <v>0</v>
      </c>
      <c r="J53" s="376">
        <f t="shared" si="6"/>
        <v>5336.1</v>
      </c>
      <c r="K53" s="1"/>
      <c r="L53" s="7"/>
      <c r="M53" s="7"/>
      <c r="N53" s="7"/>
      <c r="O53" s="7"/>
      <c r="P53" s="7"/>
      <c r="Q53" s="7"/>
      <c r="R53" s="7"/>
      <c r="S53" s="7"/>
      <c r="T53" s="7">
        <v>16500</v>
      </c>
      <c r="U53" s="7"/>
      <c r="V53" s="7"/>
      <c r="W53" s="7"/>
      <c r="X53" s="7"/>
      <c r="Y53" s="7"/>
      <c r="Z53" s="7"/>
      <c r="AA53" s="7"/>
      <c r="AB53" s="7"/>
      <c r="AC53" s="7"/>
      <c r="AD53" s="7">
        <f t="shared" si="34"/>
        <v>16500</v>
      </c>
      <c r="AE53" s="7"/>
      <c r="AF53" s="283">
        <f t="shared" si="8"/>
        <v>0</v>
      </c>
      <c r="AG53" s="283">
        <f t="shared" si="9"/>
        <v>0</v>
      </c>
      <c r="AH53" s="283">
        <f t="shared" si="10"/>
        <v>0</v>
      </c>
      <c r="AI53" s="283">
        <f t="shared" si="11"/>
        <v>0</v>
      </c>
      <c r="AJ53" s="283">
        <f t="shared" si="12"/>
        <v>0</v>
      </c>
      <c r="AK53" s="283">
        <f t="shared" si="13"/>
        <v>0</v>
      </c>
      <c r="AL53" s="283">
        <f t="shared" si="14"/>
        <v>0</v>
      </c>
      <c r="AM53" s="283">
        <f t="shared" si="15"/>
        <v>1455.3</v>
      </c>
      <c r="AN53" s="283">
        <f t="shared" si="16"/>
        <v>0</v>
      </c>
      <c r="AO53" s="283">
        <f t="shared" si="17"/>
        <v>0</v>
      </c>
      <c r="AP53" s="283">
        <f t="shared" si="18"/>
        <v>0</v>
      </c>
      <c r="AQ53" s="283">
        <f t="shared" si="19"/>
        <v>0</v>
      </c>
      <c r="AR53" s="283">
        <f t="shared" si="20"/>
        <v>0</v>
      </c>
      <c r="AS53" s="283">
        <f t="shared" si="21"/>
        <v>0</v>
      </c>
      <c r="AT53" s="283">
        <f t="shared" si="22"/>
        <v>0</v>
      </c>
      <c r="AU53" s="283">
        <f t="shared" si="23"/>
        <v>0</v>
      </c>
      <c r="AV53" s="283">
        <f t="shared" si="24"/>
        <v>0</v>
      </c>
      <c r="AW53" s="320">
        <f t="shared" si="25"/>
        <v>1455.3</v>
      </c>
    </row>
    <row r="54" spans="1:49" x14ac:dyDescent="0.2">
      <c r="A54" s="1" t="s">
        <v>46</v>
      </c>
      <c r="B54" s="7">
        <v>67998</v>
      </c>
      <c r="C54" s="7">
        <v>0</v>
      </c>
      <c r="D54" s="2">
        <f>(B54+C54)*0.124</f>
        <v>8431.75</v>
      </c>
      <c r="E54" s="2">
        <f t="shared" si="35"/>
        <v>3331.9</v>
      </c>
      <c r="F54" s="2">
        <f t="shared" si="36"/>
        <v>3563.1</v>
      </c>
      <c r="G54" s="2">
        <f t="shared" si="3"/>
        <v>3200.7</v>
      </c>
      <c r="H54" s="2">
        <f t="shared" si="4"/>
        <v>666.38</v>
      </c>
      <c r="I54" s="2">
        <f t="shared" si="5"/>
        <v>0</v>
      </c>
      <c r="J54" s="376">
        <f t="shared" si="6"/>
        <v>19193.830000000002</v>
      </c>
      <c r="K54" s="1"/>
      <c r="L54" s="7"/>
      <c r="M54" s="7"/>
      <c r="N54" s="7"/>
      <c r="O54" s="7"/>
      <c r="P54" s="7"/>
      <c r="Q54" s="7">
        <v>57076</v>
      </c>
      <c r="R54" s="7"/>
      <c r="S54" s="7"/>
      <c r="T54" s="7">
        <v>10922</v>
      </c>
      <c r="U54" s="7"/>
      <c r="V54" s="7"/>
      <c r="W54" s="7"/>
      <c r="X54" s="7"/>
      <c r="Y54" s="7"/>
      <c r="Z54" s="7"/>
      <c r="AA54" s="7"/>
      <c r="AB54" s="7"/>
      <c r="AC54" s="7"/>
      <c r="AD54" s="7">
        <f>SUM(L54:AC54)</f>
        <v>67998</v>
      </c>
      <c r="AE54" s="1"/>
      <c r="AF54" s="283">
        <f t="shared" si="8"/>
        <v>0</v>
      </c>
      <c r="AG54" s="283">
        <f t="shared" si="9"/>
        <v>0</v>
      </c>
      <c r="AH54" s="283">
        <f t="shared" si="10"/>
        <v>0</v>
      </c>
      <c r="AI54" s="283">
        <f t="shared" si="11"/>
        <v>0</v>
      </c>
      <c r="AJ54" s="283">
        <f t="shared" si="12"/>
        <v>2237.38</v>
      </c>
      <c r="AK54" s="283">
        <f t="shared" si="13"/>
        <v>0</v>
      </c>
      <c r="AL54" s="283">
        <f t="shared" si="14"/>
        <v>0</v>
      </c>
      <c r="AM54" s="283">
        <f t="shared" si="15"/>
        <v>963.32</v>
      </c>
      <c r="AN54" s="283">
        <f t="shared" si="16"/>
        <v>0</v>
      </c>
      <c r="AO54" s="283">
        <f t="shared" si="17"/>
        <v>0</v>
      </c>
      <c r="AP54" s="283">
        <f t="shared" si="18"/>
        <v>0</v>
      </c>
      <c r="AQ54" s="283">
        <f t="shared" si="19"/>
        <v>0</v>
      </c>
      <c r="AR54" s="283">
        <f t="shared" si="20"/>
        <v>0</v>
      </c>
      <c r="AS54" s="283">
        <f t="shared" si="21"/>
        <v>0</v>
      </c>
      <c r="AT54" s="283">
        <f t="shared" si="22"/>
        <v>0</v>
      </c>
      <c r="AU54" s="283">
        <f t="shared" si="23"/>
        <v>0</v>
      </c>
      <c r="AV54" s="283">
        <f t="shared" si="24"/>
        <v>0</v>
      </c>
      <c r="AW54" s="320">
        <f t="shared" si="25"/>
        <v>3200.7</v>
      </c>
    </row>
    <row r="55" spans="1:49" s="20" customFormat="1" x14ac:dyDescent="0.2">
      <c r="A55" s="18" t="s">
        <v>47</v>
      </c>
      <c r="B55" s="246">
        <v>1144760</v>
      </c>
      <c r="C55" s="246">
        <v>0</v>
      </c>
      <c r="D55" s="2">
        <f>(B55+C55)*0.124-0.01</f>
        <v>141950.23000000001</v>
      </c>
      <c r="E55" s="78">
        <f>(B55+C55)*0.049</f>
        <v>56093.24</v>
      </c>
      <c r="F55" s="78">
        <f>(B55+C55)*0.0524</f>
        <v>59985.42</v>
      </c>
      <c r="G55" s="2">
        <f t="shared" si="3"/>
        <v>95453.92</v>
      </c>
      <c r="H55" s="2">
        <f t="shared" si="4"/>
        <v>11218.65</v>
      </c>
      <c r="I55" s="2">
        <f t="shared" si="5"/>
        <v>0</v>
      </c>
      <c r="J55" s="376">
        <f t="shared" si="6"/>
        <v>364701.46</v>
      </c>
      <c r="K55" s="18"/>
      <c r="L55" s="246"/>
      <c r="M55" s="246"/>
      <c r="N55" s="246"/>
      <c r="O55" s="246">
        <v>876946</v>
      </c>
      <c r="P55" s="246"/>
      <c r="Q55" s="246">
        <v>85456</v>
      </c>
      <c r="R55" s="246"/>
      <c r="S55" s="246">
        <v>14561</v>
      </c>
      <c r="T55" s="246">
        <v>25410</v>
      </c>
      <c r="U55" s="246">
        <v>51740</v>
      </c>
      <c r="V55" s="246">
        <v>10025</v>
      </c>
      <c r="W55" s="246"/>
      <c r="X55" s="246"/>
      <c r="Y55" s="246">
        <v>2487</v>
      </c>
      <c r="Z55" s="246">
        <v>55990</v>
      </c>
      <c r="AA55" s="246"/>
      <c r="AB55" s="246"/>
      <c r="AC55" s="246">
        <v>22145</v>
      </c>
      <c r="AD55" s="246">
        <f t="shared" si="34"/>
        <v>1144760</v>
      </c>
      <c r="AE55" s="18"/>
      <c r="AF55" s="283">
        <f t="shared" si="8"/>
        <v>0</v>
      </c>
      <c r="AG55" s="283">
        <f t="shared" si="9"/>
        <v>0</v>
      </c>
      <c r="AH55" s="283">
        <f t="shared" si="10"/>
        <v>77346.64</v>
      </c>
      <c r="AI55" s="283">
        <f t="shared" si="11"/>
        <v>0</v>
      </c>
      <c r="AJ55" s="283">
        <f t="shared" si="12"/>
        <v>3349.88</v>
      </c>
      <c r="AK55" s="283">
        <f t="shared" si="13"/>
        <v>0</v>
      </c>
      <c r="AL55" s="283">
        <f t="shared" si="14"/>
        <v>570.79</v>
      </c>
      <c r="AM55" s="283">
        <f t="shared" si="15"/>
        <v>2241.16</v>
      </c>
      <c r="AN55" s="283">
        <f t="shared" si="16"/>
        <v>4563.47</v>
      </c>
      <c r="AO55" s="283">
        <f t="shared" si="17"/>
        <v>392.98</v>
      </c>
      <c r="AP55" s="283">
        <f t="shared" si="18"/>
        <v>0</v>
      </c>
      <c r="AQ55" s="283">
        <f t="shared" si="19"/>
        <v>0</v>
      </c>
      <c r="AR55" s="283">
        <f t="shared" si="20"/>
        <v>97.49</v>
      </c>
      <c r="AS55" s="283">
        <f t="shared" si="21"/>
        <v>4938.32</v>
      </c>
      <c r="AT55" s="283">
        <f t="shared" si="22"/>
        <v>0</v>
      </c>
      <c r="AU55" s="283">
        <f t="shared" si="23"/>
        <v>0</v>
      </c>
      <c r="AV55" s="283">
        <f t="shared" si="24"/>
        <v>1953.19</v>
      </c>
      <c r="AW55" s="320">
        <f t="shared" si="25"/>
        <v>95453.92</v>
      </c>
    </row>
    <row r="56" spans="1:49" x14ac:dyDescent="0.2">
      <c r="A56" s="1" t="s">
        <v>48</v>
      </c>
      <c r="B56" s="7">
        <v>759479</v>
      </c>
      <c r="C56" s="7">
        <v>8446</v>
      </c>
      <c r="D56" s="2">
        <f>(B56+C56)*0.124+0.01</f>
        <v>95222.71</v>
      </c>
      <c r="E56" s="2">
        <f>(B56+C56)*0.049</f>
        <v>37628.33</v>
      </c>
      <c r="F56" s="2">
        <f>(B56+C56)*0.0524</f>
        <v>40239.269999999997</v>
      </c>
      <c r="G56" s="2">
        <f t="shared" si="3"/>
        <v>62030.66</v>
      </c>
      <c r="H56" s="2">
        <f>(B56+C56)*0.0098-0.01</f>
        <v>7525.66</v>
      </c>
      <c r="I56" s="2">
        <f t="shared" si="5"/>
        <v>0</v>
      </c>
      <c r="J56" s="376">
        <f t="shared" si="6"/>
        <v>242646.63</v>
      </c>
      <c r="K56" s="1"/>
      <c r="L56" s="7"/>
      <c r="M56" s="7"/>
      <c r="N56" s="7"/>
      <c r="O56" s="7">
        <v>651592</v>
      </c>
      <c r="P56" s="7"/>
      <c r="Q56" s="7"/>
      <c r="R56" s="7"/>
      <c r="S56" s="7"/>
      <c r="T56" s="7"/>
      <c r="U56" s="7"/>
      <c r="V56" s="7"/>
      <c r="W56" s="7"/>
      <c r="X56" s="7"/>
      <c r="Y56" s="7">
        <v>116333</v>
      </c>
      <c r="Z56" s="7"/>
      <c r="AA56" s="7"/>
      <c r="AB56" s="7"/>
      <c r="AC56" s="7"/>
      <c r="AD56" s="7">
        <f>SUM(L56:AC56)</f>
        <v>767925</v>
      </c>
      <c r="AE56" s="1"/>
      <c r="AF56" s="283">
        <f t="shared" si="8"/>
        <v>0</v>
      </c>
      <c r="AG56" s="283">
        <f t="shared" si="9"/>
        <v>0</v>
      </c>
      <c r="AH56" s="283">
        <f t="shared" si="10"/>
        <v>57470.41</v>
      </c>
      <c r="AI56" s="283">
        <f t="shared" si="11"/>
        <v>0</v>
      </c>
      <c r="AJ56" s="283">
        <f t="shared" si="12"/>
        <v>0</v>
      </c>
      <c r="AK56" s="283">
        <f t="shared" si="13"/>
        <v>0</v>
      </c>
      <c r="AL56" s="283">
        <f t="shared" si="14"/>
        <v>0</v>
      </c>
      <c r="AM56" s="283">
        <f t="shared" si="15"/>
        <v>0</v>
      </c>
      <c r="AN56" s="283">
        <f t="shared" si="16"/>
        <v>0</v>
      </c>
      <c r="AO56" s="283">
        <f t="shared" si="17"/>
        <v>0</v>
      </c>
      <c r="AP56" s="283">
        <f t="shared" si="18"/>
        <v>0</v>
      </c>
      <c r="AQ56" s="283">
        <f t="shared" si="19"/>
        <v>0</v>
      </c>
      <c r="AR56" s="283">
        <f t="shared" si="20"/>
        <v>4560.25</v>
      </c>
      <c r="AS56" s="283">
        <f t="shared" si="21"/>
        <v>0</v>
      </c>
      <c r="AT56" s="283">
        <f t="shared" si="22"/>
        <v>0</v>
      </c>
      <c r="AU56" s="283">
        <f t="shared" si="23"/>
        <v>0</v>
      </c>
      <c r="AV56" s="283">
        <f t="shared" si="24"/>
        <v>0</v>
      </c>
      <c r="AW56" s="320">
        <f t="shared" si="25"/>
        <v>62030.66</v>
      </c>
    </row>
    <row r="57" spans="1:49" x14ac:dyDescent="0.2">
      <c r="A57" s="1" t="s">
        <v>358</v>
      </c>
      <c r="B57" s="7">
        <v>419572</v>
      </c>
      <c r="C57" s="7">
        <v>0</v>
      </c>
      <c r="D57" s="2">
        <f>(B57+C57)*0.124+0.02</f>
        <v>52026.95</v>
      </c>
      <c r="E57" s="2">
        <f t="shared" ref="E57:E64" si="37">(B57+C57)*0.049</f>
        <v>20559.03</v>
      </c>
      <c r="F57" s="78">
        <f t="shared" ref="F57:F100" si="38">(B57+C57)*0.0524</f>
        <v>21985.57</v>
      </c>
      <c r="G57" s="2">
        <f t="shared" si="3"/>
        <v>34429.230000000003</v>
      </c>
      <c r="H57" s="2">
        <f>(B57+C57)*0.0098-0.01</f>
        <v>4111.8</v>
      </c>
      <c r="I57" s="2">
        <f t="shared" si="5"/>
        <v>0</v>
      </c>
      <c r="J57" s="376">
        <f t="shared" si="6"/>
        <v>133112.57999999999</v>
      </c>
      <c r="K57" s="1"/>
      <c r="L57" s="7"/>
      <c r="M57" s="7">
        <v>51299</v>
      </c>
      <c r="N57" s="7"/>
      <c r="O57" s="7">
        <v>315681</v>
      </c>
      <c r="P57" s="7"/>
      <c r="Q57" s="7"/>
      <c r="R57" s="7"/>
      <c r="S57" s="7"/>
      <c r="T57" s="7"/>
      <c r="U57" s="7"/>
      <c r="V57" s="7">
        <v>45633</v>
      </c>
      <c r="W57" s="7"/>
      <c r="X57" s="7"/>
      <c r="Y57" s="7">
        <v>6959</v>
      </c>
      <c r="Z57" s="7"/>
      <c r="AA57" s="7"/>
      <c r="AB57" s="7"/>
      <c r="AC57" s="7"/>
      <c r="AD57" s="7">
        <f t="shared" si="34"/>
        <v>419572</v>
      </c>
      <c r="AE57" s="1"/>
      <c r="AF57" s="283">
        <f t="shared" si="8"/>
        <v>4524.57</v>
      </c>
      <c r="AG57" s="283">
        <f t="shared" si="9"/>
        <v>0</v>
      </c>
      <c r="AH57" s="283">
        <f t="shared" si="10"/>
        <v>27843.06</v>
      </c>
      <c r="AI57" s="283">
        <f t="shared" si="11"/>
        <v>0</v>
      </c>
      <c r="AJ57" s="283">
        <f t="shared" si="12"/>
        <v>0</v>
      </c>
      <c r="AK57" s="283">
        <f t="shared" si="13"/>
        <v>0</v>
      </c>
      <c r="AL57" s="283">
        <f t="shared" si="14"/>
        <v>0</v>
      </c>
      <c r="AM57" s="283">
        <f t="shared" si="15"/>
        <v>0</v>
      </c>
      <c r="AN57" s="283">
        <f t="shared" si="16"/>
        <v>0</v>
      </c>
      <c r="AO57" s="283">
        <f t="shared" si="17"/>
        <v>1788.81</v>
      </c>
      <c r="AP57" s="283">
        <f t="shared" si="18"/>
        <v>0</v>
      </c>
      <c r="AQ57" s="283">
        <f t="shared" si="19"/>
        <v>0</v>
      </c>
      <c r="AR57" s="283">
        <f t="shared" si="20"/>
        <v>272.79000000000002</v>
      </c>
      <c r="AS57" s="283">
        <f t="shared" si="21"/>
        <v>0</v>
      </c>
      <c r="AT57" s="283">
        <f t="shared" si="22"/>
        <v>0</v>
      </c>
      <c r="AU57" s="283">
        <f t="shared" si="23"/>
        <v>0</v>
      </c>
      <c r="AV57" s="283">
        <f t="shared" si="24"/>
        <v>0</v>
      </c>
      <c r="AW57" s="320">
        <f t="shared" si="25"/>
        <v>34429.230000000003</v>
      </c>
    </row>
    <row r="58" spans="1:49" x14ac:dyDescent="0.2">
      <c r="A58" s="1" t="s">
        <v>49</v>
      </c>
      <c r="B58" s="7">
        <v>20412</v>
      </c>
      <c r="C58" s="7">
        <v>0</v>
      </c>
      <c r="D58" s="2">
        <f>(B58+C58)*0.124-0.01</f>
        <v>2531.08</v>
      </c>
      <c r="E58" s="2">
        <f t="shared" si="37"/>
        <v>1000.19</v>
      </c>
      <c r="F58" s="78">
        <f t="shared" si="38"/>
        <v>1069.5899999999999</v>
      </c>
      <c r="G58" s="2">
        <f t="shared" si="3"/>
        <v>1800.34</v>
      </c>
      <c r="H58" s="2">
        <f t="shared" si="4"/>
        <v>200.04</v>
      </c>
      <c r="I58" s="2">
        <f t="shared" si="5"/>
        <v>0</v>
      </c>
      <c r="J58" s="376">
        <f t="shared" si="6"/>
        <v>6601.24</v>
      </c>
      <c r="K58" s="1"/>
      <c r="L58" s="7"/>
      <c r="M58" s="7"/>
      <c r="N58" s="7"/>
      <c r="O58" s="7">
        <v>20412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f t="shared" si="34"/>
        <v>20412</v>
      </c>
      <c r="AE58" s="7"/>
      <c r="AF58" s="283">
        <f t="shared" si="8"/>
        <v>0</v>
      </c>
      <c r="AG58" s="283">
        <f t="shared" si="9"/>
        <v>0</v>
      </c>
      <c r="AH58" s="283">
        <f t="shared" si="10"/>
        <v>1800.34</v>
      </c>
      <c r="AI58" s="283">
        <f t="shared" si="11"/>
        <v>0</v>
      </c>
      <c r="AJ58" s="283">
        <f t="shared" si="12"/>
        <v>0</v>
      </c>
      <c r="AK58" s="283">
        <f t="shared" si="13"/>
        <v>0</v>
      </c>
      <c r="AL58" s="283">
        <f t="shared" si="14"/>
        <v>0</v>
      </c>
      <c r="AM58" s="283">
        <f t="shared" si="15"/>
        <v>0</v>
      </c>
      <c r="AN58" s="283">
        <f t="shared" si="16"/>
        <v>0</v>
      </c>
      <c r="AO58" s="283">
        <f t="shared" si="17"/>
        <v>0</v>
      </c>
      <c r="AP58" s="283">
        <f t="shared" si="18"/>
        <v>0</v>
      </c>
      <c r="AQ58" s="283">
        <f t="shared" si="19"/>
        <v>0</v>
      </c>
      <c r="AR58" s="283">
        <f t="shared" si="20"/>
        <v>0</v>
      </c>
      <c r="AS58" s="283">
        <f t="shared" si="21"/>
        <v>0</v>
      </c>
      <c r="AT58" s="283">
        <f t="shared" si="22"/>
        <v>0</v>
      </c>
      <c r="AU58" s="283">
        <f t="shared" si="23"/>
        <v>0</v>
      </c>
      <c r="AV58" s="283">
        <f t="shared" si="24"/>
        <v>0</v>
      </c>
      <c r="AW58" s="320">
        <f t="shared" si="25"/>
        <v>1800.34</v>
      </c>
    </row>
    <row r="59" spans="1:49" x14ac:dyDescent="0.2">
      <c r="A59" s="1" t="s">
        <v>350</v>
      </c>
      <c r="B59" s="7">
        <v>182860</v>
      </c>
      <c r="C59" s="7">
        <v>0</v>
      </c>
      <c r="D59" s="2">
        <f>(B59+C59)*0.124-0.01</f>
        <v>22674.63</v>
      </c>
      <c r="E59" s="2">
        <f t="shared" si="37"/>
        <v>8960.14</v>
      </c>
      <c r="F59" s="78">
        <f t="shared" si="38"/>
        <v>9581.86</v>
      </c>
      <c r="G59" s="2">
        <f t="shared" si="3"/>
        <v>14703.88</v>
      </c>
      <c r="H59" s="2">
        <f t="shared" si="4"/>
        <v>1792.03</v>
      </c>
      <c r="I59" s="2">
        <f t="shared" si="5"/>
        <v>212.17</v>
      </c>
      <c r="J59" s="376">
        <f t="shared" si="6"/>
        <v>57924.71</v>
      </c>
      <c r="K59" s="1"/>
      <c r="L59" s="7"/>
      <c r="M59" s="7">
        <v>37218</v>
      </c>
      <c r="N59" s="7">
        <v>18383</v>
      </c>
      <c r="O59" s="7">
        <v>0</v>
      </c>
      <c r="P59" s="7">
        <v>27165</v>
      </c>
      <c r="Q59" s="7"/>
      <c r="R59" s="7"/>
      <c r="S59" s="7"/>
      <c r="T59" s="7"/>
      <c r="U59" s="7"/>
      <c r="V59" s="7"/>
      <c r="W59" s="7">
        <v>981</v>
      </c>
      <c r="X59" s="7"/>
      <c r="Y59" s="7"/>
      <c r="Z59" s="7">
        <v>45735</v>
      </c>
      <c r="AA59" s="7">
        <v>1904</v>
      </c>
      <c r="AB59" s="7">
        <v>51474</v>
      </c>
      <c r="AC59" s="7"/>
      <c r="AD59" s="7">
        <f t="shared" si="34"/>
        <v>182860</v>
      </c>
      <c r="AE59" s="1"/>
      <c r="AF59" s="283">
        <f t="shared" si="8"/>
        <v>3282.63</v>
      </c>
      <c r="AG59" s="283">
        <f t="shared" si="9"/>
        <v>1621.38</v>
      </c>
      <c r="AH59" s="283">
        <f t="shared" si="10"/>
        <v>0</v>
      </c>
      <c r="AI59" s="283">
        <f t="shared" si="11"/>
        <v>1064.8699999999999</v>
      </c>
      <c r="AJ59" s="283">
        <f t="shared" si="12"/>
        <v>0</v>
      </c>
      <c r="AK59" s="283">
        <f t="shared" si="13"/>
        <v>0</v>
      </c>
      <c r="AL59" s="283">
        <f t="shared" si="14"/>
        <v>0</v>
      </c>
      <c r="AM59" s="283">
        <f t="shared" si="15"/>
        <v>0</v>
      </c>
      <c r="AN59" s="283">
        <f t="shared" si="16"/>
        <v>0</v>
      </c>
      <c r="AO59" s="283">
        <f t="shared" si="17"/>
        <v>0</v>
      </c>
      <c r="AP59" s="283">
        <f t="shared" si="18"/>
        <v>86.52</v>
      </c>
      <c r="AQ59" s="283">
        <f t="shared" si="19"/>
        <v>0</v>
      </c>
      <c r="AR59" s="283">
        <f t="shared" si="20"/>
        <v>0</v>
      </c>
      <c r="AS59" s="283">
        <f t="shared" si="21"/>
        <v>4033.83</v>
      </c>
      <c r="AT59" s="283">
        <f t="shared" si="22"/>
        <v>74.64</v>
      </c>
      <c r="AU59" s="283">
        <f t="shared" si="23"/>
        <v>4540.01</v>
      </c>
      <c r="AV59" s="283">
        <f t="shared" si="24"/>
        <v>0</v>
      </c>
      <c r="AW59" s="320">
        <f t="shared" si="25"/>
        <v>14703.88</v>
      </c>
    </row>
    <row r="60" spans="1:49" x14ac:dyDescent="0.2">
      <c r="A60" s="1" t="s">
        <v>50</v>
      </c>
      <c r="B60" s="7">
        <v>1611344</v>
      </c>
      <c r="C60" s="7">
        <v>0</v>
      </c>
      <c r="D60" s="2">
        <f>(B60+C60)*0.124-0.03</f>
        <v>199806.63</v>
      </c>
      <c r="E60" s="2">
        <f t="shared" si="37"/>
        <v>78955.86</v>
      </c>
      <c r="F60" s="78">
        <f t="shared" si="38"/>
        <v>84434.43</v>
      </c>
      <c r="G60" s="2">
        <f t="shared" si="3"/>
        <v>130672.82</v>
      </c>
      <c r="H60" s="2">
        <f>(B60+C60)*0.0098-0.01</f>
        <v>15791.16</v>
      </c>
      <c r="I60" s="2">
        <f t="shared" si="5"/>
        <v>4203.5200000000004</v>
      </c>
      <c r="J60" s="376">
        <f t="shared" si="6"/>
        <v>513864.42</v>
      </c>
      <c r="K60" s="1"/>
      <c r="L60" s="7"/>
      <c r="M60" s="7">
        <v>28905</v>
      </c>
      <c r="N60" s="7"/>
      <c r="O60" s="7">
        <v>215878</v>
      </c>
      <c r="P60" s="7"/>
      <c r="Q60" s="7">
        <v>233627</v>
      </c>
      <c r="R60" s="7"/>
      <c r="S60" s="7"/>
      <c r="T60" s="7">
        <v>12406</v>
      </c>
      <c r="U60" s="7"/>
      <c r="V60" s="7"/>
      <c r="W60" s="7">
        <v>100727</v>
      </c>
      <c r="X60" s="7"/>
      <c r="Y60" s="7"/>
      <c r="Z60" s="7"/>
      <c r="AA60" s="7"/>
      <c r="AB60" s="7">
        <v>1019801</v>
      </c>
      <c r="AC60" s="7"/>
      <c r="AD60" s="7">
        <f t="shared" si="34"/>
        <v>1611344</v>
      </c>
      <c r="AE60" s="1"/>
      <c r="AF60" s="283">
        <f t="shared" si="8"/>
        <v>2549.42</v>
      </c>
      <c r="AG60" s="283">
        <f t="shared" si="9"/>
        <v>0</v>
      </c>
      <c r="AH60" s="283">
        <f t="shared" si="10"/>
        <v>19040.439999999999</v>
      </c>
      <c r="AI60" s="283">
        <f t="shared" si="11"/>
        <v>0</v>
      </c>
      <c r="AJ60" s="283">
        <f t="shared" si="12"/>
        <v>9158.18</v>
      </c>
      <c r="AK60" s="283">
        <f t="shared" si="13"/>
        <v>0</v>
      </c>
      <c r="AL60" s="283">
        <f t="shared" si="14"/>
        <v>0</v>
      </c>
      <c r="AM60" s="283">
        <f t="shared" si="15"/>
        <v>1094.21</v>
      </c>
      <c r="AN60" s="283">
        <f t="shared" si="16"/>
        <v>0</v>
      </c>
      <c r="AO60" s="283">
        <f t="shared" si="17"/>
        <v>0</v>
      </c>
      <c r="AP60" s="283">
        <f t="shared" si="18"/>
        <v>8884.1200000000008</v>
      </c>
      <c r="AQ60" s="283">
        <f t="shared" si="19"/>
        <v>0</v>
      </c>
      <c r="AR60" s="283">
        <f t="shared" si="20"/>
        <v>0</v>
      </c>
      <c r="AS60" s="283">
        <f t="shared" si="21"/>
        <v>0</v>
      </c>
      <c r="AT60" s="283">
        <f t="shared" si="22"/>
        <v>0</v>
      </c>
      <c r="AU60" s="283">
        <f t="shared" si="23"/>
        <v>89946.45</v>
      </c>
      <c r="AV60" s="283">
        <f t="shared" si="24"/>
        <v>0</v>
      </c>
      <c r="AW60" s="320">
        <f t="shared" si="25"/>
        <v>130672.82</v>
      </c>
    </row>
    <row r="61" spans="1:49" x14ac:dyDescent="0.2">
      <c r="A61" s="1" t="s">
        <v>51</v>
      </c>
      <c r="B61" s="7">
        <v>347746</v>
      </c>
      <c r="C61" s="7">
        <v>19308</v>
      </c>
      <c r="D61" s="2">
        <f>(B61+C61)*0.124</f>
        <v>45514.7</v>
      </c>
      <c r="E61" s="2">
        <f t="shared" si="37"/>
        <v>17985.650000000001</v>
      </c>
      <c r="F61" s="78">
        <f t="shared" si="38"/>
        <v>19233.63</v>
      </c>
      <c r="G61" s="2">
        <f t="shared" si="3"/>
        <v>31107.8</v>
      </c>
      <c r="H61" s="2">
        <f t="shared" si="4"/>
        <v>3597.13</v>
      </c>
      <c r="I61" s="2">
        <f t="shared" si="5"/>
        <v>0</v>
      </c>
      <c r="J61" s="376">
        <f t="shared" si="6"/>
        <v>117438.91</v>
      </c>
      <c r="K61" s="1"/>
      <c r="L61" s="7"/>
      <c r="M61" s="7"/>
      <c r="N61" s="7"/>
      <c r="O61" s="7">
        <v>313554</v>
      </c>
      <c r="P61" s="7"/>
      <c r="Q61" s="7"/>
      <c r="R61" s="7"/>
      <c r="S61" s="7"/>
      <c r="T61" s="7"/>
      <c r="U61" s="7"/>
      <c r="V61" s="7">
        <v>25844</v>
      </c>
      <c r="W61" s="7"/>
      <c r="X61" s="7"/>
      <c r="Y61" s="7"/>
      <c r="Z61" s="7"/>
      <c r="AA61" s="7"/>
      <c r="AB61" s="7"/>
      <c r="AC61" s="7">
        <v>27656</v>
      </c>
      <c r="AD61" s="7">
        <f t="shared" ref="AD61:AD87" si="39">SUM(L61:AC61)</f>
        <v>367054</v>
      </c>
      <c r="AE61" s="7"/>
      <c r="AF61" s="283">
        <f t="shared" si="8"/>
        <v>0</v>
      </c>
      <c r="AG61" s="283">
        <f t="shared" si="9"/>
        <v>0</v>
      </c>
      <c r="AH61" s="283">
        <f t="shared" si="10"/>
        <v>27655.46</v>
      </c>
      <c r="AI61" s="283">
        <f t="shared" si="11"/>
        <v>0</v>
      </c>
      <c r="AJ61" s="283">
        <f t="shared" si="12"/>
        <v>0</v>
      </c>
      <c r="AK61" s="283">
        <f t="shared" si="13"/>
        <v>0</v>
      </c>
      <c r="AL61" s="283">
        <f t="shared" si="14"/>
        <v>0</v>
      </c>
      <c r="AM61" s="283">
        <f t="shared" si="15"/>
        <v>0</v>
      </c>
      <c r="AN61" s="283">
        <f t="shared" si="16"/>
        <v>0</v>
      </c>
      <c r="AO61" s="283">
        <f t="shared" si="17"/>
        <v>1013.08</v>
      </c>
      <c r="AP61" s="283">
        <f t="shared" si="18"/>
        <v>0</v>
      </c>
      <c r="AQ61" s="283">
        <f t="shared" si="19"/>
        <v>0</v>
      </c>
      <c r="AR61" s="283">
        <f t="shared" si="20"/>
        <v>0</v>
      </c>
      <c r="AS61" s="283">
        <f t="shared" si="21"/>
        <v>0</v>
      </c>
      <c r="AT61" s="283">
        <f t="shared" si="22"/>
        <v>0</v>
      </c>
      <c r="AU61" s="283">
        <f t="shared" si="23"/>
        <v>0</v>
      </c>
      <c r="AV61" s="283">
        <f t="shared" si="24"/>
        <v>2439.2600000000002</v>
      </c>
      <c r="AW61" s="320">
        <f t="shared" si="25"/>
        <v>31107.8</v>
      </c>
    </row>
    <row r="62" spans="1:49" x14ac:dyDescent="0.2">
      <c r="A62" s="1" t="s">
        <v>475</v>
      </c>
      <c r="B62" s="7">
        <v>8027</v>
      </c>
      <c r="C62" s="7">
        <v>0</v>
      </c>
      <c r="D62" s="2">
        <f>(B62+C62)*0.124+0.01</f>
        <v>995.36</v>
      </c>
      <c r="E62" s="2">
        <f t="shared" si="37"/>
        <v>393.32</v>
      </c>
      <c r="F62" s="78">
        <f t="shared" si="38"/>
        <v>420.61</v>
      </c>
      <c r="G62" s="2">
        <f t="shared" si="3"/>
        <v>707.98</v>
      </c>
      <c r="H62" s="2">
        <f t="shared" si="4"/>
        <v>78.66</v>
      </c>
      <c r="I62" s="2">
        <f t="shared" si="5"/>
        <v>0</v>
      </c>
      <c r="J62" s="376">
        <f t="shared" si="6"/>
        <v>2595.9299999999998</v>
      </c>
      <c r="K62" s="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8027</v>
      </c>
      <c r="AD62" s="7">
        <f>SUM(L62:AC62)</f>
        <v>8027</v>
      </c>
      <c r="AE62" s="7"/>
      <c r="AF62" s="283">
        <f t="shared" si="8"/>
        <v>0</v>
      </c>
      <c r="AG62" s="283">
        <f t="shared" si="9"/>
        <v>0</v>
      </c>
      <c r="AH62" s="283">
        <f t="shared" si="10"/>
        <v>0</v>
      </c>
      <c r="AI62" s="283">
        <f t="shared" si="11"/>
        <v>0</v>
      </c>
      <c r="AJ62" s="283">
        <f t="shared" si="12"/>
        <v>0</v>
      </c>
      <c r="AK62" s="283">
        <f t="shared" si="13"/>
        <v>0</v>
      </c>
      <c r="AL62" s="283">
        <f t="shared" si="14"/>
        <v>0</v>
      </c>
      <c r="AM62" s="283">
        <f t="shared" si="15"/>
        <v>0</v>
      </c>
      <c r="AN62" s="283">
        <f t="shared" si="16"/>
        <v>0</v>
      </c>
      <c r="AO62" s="283">
        <f t="shared" si="17"/>
        <v>0</v>
      </c>
      <c r="AP62" s="283">
        <f t="shared" si="18"/>
        <v>0</v>
      </c>
      <c r="AQ62" s="283">
        <f t="shared" si="19"/>
        <v>0</v>
      </c>
      <c r="AR62" s="283">
        <f t="shared" si="20"/>
        <v>0</v>
      </c>
      <c r="AS62" s="283">
        <f t="shared" si="21"/>
        <v>0</v>
      </c>
      <c r="AT62" s="283">
        <f t="shared" si="22"/>
        <v>0</v>
      </c>
      <c r="AU62" s="283">
        <f t="shared" si="23"/>
        <v>0</v>
      </c>
      <c r="AV62" s="283">
        <f t="shared" si="24"/>
        <v>707.98</v>
      </c>
      <c r="AW62" s="320">
        <f t="shared" si="25"/>
        <v>707.98</v>
      </c>
    </row>
    <row r="63" spans="1:49" x14ac:dyDescent="0.2">
      <c r="A63" s="1" t="s">
        <v>52</v>
      </c>
      <c r="B63" s="7">
        <v>145997</v>
      </c>
      <c r="C63" s="7">
        <v>0</v>
      </c>
      <c r="D63" s="2">
        <f>(B63+C63)*0.124+0.01</f>
        <v>18103.64</v>
      </c>
      <c r="E63" s="2">
        <f t="shared" si="37"/>
        <v>7153.85</v>
      </c>
      <c r="F63" s="78">
        <f t="shared" si="38"/>
        <v>7650.24</v>
      </c>
      <c r="G63" s="2">
        <f t="shared" si="3"/>
        <v>8563.51</v>
      </c>
      <c r="H63" s="2">
        <f t="shared" si="4"/>
        <v>1430.77</v>
      </c>
      <c r="I63" s="2">
        <f t="shared" si="5"/>
        <v>0</v>
      </c>
      <c r="J63" s="376">
        <f t="shared" si="6"/>
        <v>42902.01</v>
      </c>
      <c r="K63" s="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>
        <v>470</v>
      </c>
      <c r="X63" s="7">
        <v>57498</v>
      </c>
      <c r="Y63" s="7">
        <v>88029</v>
      </c>
      <c r="Z63" s="7"/>
      <c r="AA63" s="7"/>
      <c r="AB63" s="7"/>
      <c r="AC63" s="7"/>
      <c r="AD63" s="7">
        <f t="shared" si="39"/>
        <v>145997</v>
      </c>
      <c r="AE63" s="7"/>
      <c r="AF63" s="283">
        <f t="shared" si="8"/>
        <v>0</v>
      </c>
      <c r="AG63" s="283">
        <f t="shared" si="9"/>
        <v>0</v>
      </c>
      <c r="AH63" s="283">
        <f t="shared" si="10"/>
        <v>0</v>
      </c>
      <c r="AI63" s="283">
        <f t="shared" si="11"/>
        <v>0</v>
      </c>
      <c r="AJ63" s="283">
        <f t="shared" si="12"/>
        <v>0</v>
      </c>
      <c r="AK63" s="283">
        <f t="shared" si="13"/>
        <v>0</v>
      </c>
      <c r="AL63" s="283">
        <f t="shared" si="14"/>
        <v>0</v>
      </c>
      <c r="AM63" s="283">
        <f t="shared" si="15"/>
        <v>0</v>
      </c>
      <c r="AN63" s="283">
        <f t="shared" si="16"/>
        <v>0</v>
      </c>
      <c r="AO63" s="283">
        <f t="shared" si="17"/>
        <v>0</v>
      </c>
      <c r="AP63" s="283">
        <f t="shared" si="18"/>
        <v>41.45</v>
      </c>
      <c r="AQ63" s="283">
        <f t="shared" si="19"/>
        <v>5071.32</v>
      </c>
      <c r="AR63" s="283">
        <f t="shared" si="20"/>
        <v>3450.74</v>
      </c>
      <c r="AS63" s="283">
        <f t="shared" si="21"/>
        <v>0</v>
      </c>
      <c r="AT63" s="283">
        <f t="shared" si="22"/>
        <v>0</v>
      </c>
      <c r="AU63" s="283">
        <f t="shared" si="23"/>
        <v>0</v>
      </c>
      <c r="AV63" s="283">
        <f t="shared" si="24"/>
        <v>0</v>
      </c>
      <c r="AW63" s="320">
        <f t="shared" si="25"/>
        <v>8563.51</v>
      </c>
    </row>
    <row r="64" spans="1:49" x14ac:dyDescent="0.2">
      <c r="A64" s="1" t="s">
        <v>436</v>
      </c>
      <c r="B64" s="7">
        <v>63908</v>
      </c>
      <c r="C64" s="7">
        <v>4438</v>
      </c>
      <c r="D64" s="2">
        <f>(B64+C64)*0.124+0.01</f>
        <v>8474.91</v>
      </c>
      <c r="E64" s="2">
        <f t="shared" si="37"/>
        <v>3348.95</v>
      </c>
      <c r="F64" s="78">
        <f t="shared" si="38"/>
        <v>3581.33</v>
      </c>
      <c r="G64" s="2">
        <f t="shared" si="3"/>
        <v>6028.12</v>
      </c>
      <c r="H64" s="2">
        <f t="shared" si="4"/>
        <v>669.79</v>
      </c>
      <c r="I64" s="2">
        <f t="shared" si="5"/>
        <v>70.28</v>
      </c>
      <c r="J64" s="376">
        <f t="shared" si="6"/>
        <v>22173.38</v>
      </c>
      <c r="K64" s="1"/>
      <c r="L64" s="7"/>
      <c r="M64" s="7"/>
      <c r="N64" s="7"/>
      <c r="O64" s="7">
        <v>51295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>
        <v>17051</v>
      </c>
      <c r="AC64" s="7"/>
      <c r="AD64" s="7">
        <f t="shared" si="39"/>
        <v>68346</v>
      </c>
      <c r="AE64" s="7"/>
      <c r="AF64" s="283">
        <f t="shared" si="8"/>
        <v>0</v>
      </c>
      <c r="AG64" s="283">
        <f t="shared" si="9"/>
        <v>0</v>
      </c>
      <c r="AH64" s="283">
        <f t="shared" si="10"/>
        <v>4524.22</v>
      </c>
      <c r="AI64" s="283">
        <f t="shared" si="11"/>
        <v>0</v>
      </c>
      <c r="AJ64" s="283">
        <f t="shared" si="12"/>
        <v>0</v>
      </c>
      <c r="AK64" s="283">
        <f t="shared" si="13"/>
        <v>0</v>
      </c>
      <c r="AL64" s="283">
        <f t="shared" si="14"/>
        <v>0</v>
      </c>
      <c r="AM64" s="283">
        <f t="shared" si="15"/>
        <v>0</v>
      </c>
      <c r="AN64" s="283">
        <f t="shared" si="16"/>
        <v>0</v>
      </c>
      <c r="AO64" s="283">
        <f t="shared" si="17"/>
        <v>0</v>
      </c>
      <c r="AP64" s="283">
        <f t="shared" si="18"/>
        <v>0</v>
      </c>
      <c r="AQ64" s="283">
        <f t="shared" si="19"/>
        <v>0</v>
      </c>
      <c r="AR64" s="283">
        <f t="shared" si="20"/>
        <v>0</v>
      </c>
      <c r="AS64" s="283">
        <f t="shared" si="21"/>
        <v>0</v>
      </c>
      <c r="AT64" s="283">
        <f t="shared" si="22"/>
        <v>0</v>
      </c>
      <c r="AU64" s="283">
        <f t="shared" si="23"/>
        <v>1503.9</v>
      </c>
      <c r="AV64" s="283">
        <f t="shared" si="24"/>
        <v>0</v>
      </c>
      <c r="AW64" s="320">
        <f t="shared" si="25"/>
        <v>6028.12</v>
      </c>
    </row>
    <row r="65" spans="1:49" x14ac:dyDescent="0.2">
      <c r="A65" s="1" t="s">
        <v>694</v>
      </c>
      <c r="B65" s="7">
        <v>50028</v>
      </c>
      <c r="C65" s="7">
        <v>0</v>
      </c>
      <c r="D65" s="2">
        <f>(B65+C65)*0.124+0.01</f>
        <v>6203.48</v>
      </c>
      <c r="E65" s="2">
        <f>(B65+C65)*0.049</f>
        <v>2451.37</v>
      </c>
      <c r="F65" s="78">
        <f>(B65+C65)*0.0524</f>
        <v>2621.47</v>
      </c>
      <c r="G65" s="2">
        <f>+AW65</f>
        <v>4412.47</v>
      </c>
      <c r="H65" s="2">
        <f>(B65+C65)*0.0098</f>
        <v>490.27</v>
      </c>
      <c r="I65" s="2">
        <f>(AB65)*0.0041219</f>
        <v>0</v>
      </c>
      <c r="J65" s="376">
        <f>SUM(D65:I65)</f>
        <v>16179.06</v>
      </c>
      <c r="K65" s="1"/>
      <c r="L65" s="7"/>
      <c r="M65" s="7"/>
      <c r="N65" s="7">
        <v>298</v>
      </c>
      <c r="O65" s="7"/>
      <c r="P65" s="7"/>
      <c r="Q65" s="7"/>
      <c r="R65" s="7"/>
      <c r="S65" s="7"/>
      <c r="T65" s="7"/>
      <c r="U65" s="7"/>
      <c r="V65" s="7"/>
      <c r="W65" s="7">
        <v>49730</v>
      </c>
      <c r="X65" s="7"/>
      <c r="Y65" s="7"/>
      <c r="Z65" s="7"/>
      <c r="AA65" s="7"/>
      <c r="AB65" s="7"/>
      <c r="AC65" s="7"/>
      <c r="AD65" s="7">
        <f>SUM(L65:AC65)</f>
        <v>50028</v>
      </c>
      <c r="AE65" s="7"/>
      <c r="AF65" s="283">
        <f>+M65*$AF$12</f>
        <v>0</v>
      </c>
      <c r="AG65" s="283">
        <f>+N65*$AG$12</f>
        <v>26.28</v>
      </c>
      <c r="AH65" s="283">
        <f>+O65*$AH$12</f>
        <v>0</v>
      </c>
      <c r="AI65" s="283">
        <f>+P65*$AI$12</f>
        <v>0</v>
      </c>
      <c r="AJ65" s="283">
        <f>+Q65*$AJ$12</f>
        <v>0</v>
      </c>
      <c r="AK65" s="283">
        <f>+R65*$AK$12</f>
        <v>0</v>
      </c>
      <c r="AL65" s="283">
        <f>+S65*$AL$12</f>
        <v>0</v>
      </c>
      <c r="AM65" s="283">
        <f>+T65*$AM$12</f>
        <v>0</v>
      </c>
      <c r="AN65" s="283">
        <f>+U65*$AN$12</f>
        <v>0</v>
      </c>
      <c r="AO65" s="283">
        <f>+V65*$AO$12</f>
        <v>0</v>
      </c>
      <c r="AP65" s="283">
        <f>+W65*$AP$12</f>
        <v>4386.1899999999996</v>
      </c>
      <c r="AQ65" s="283">
        <f>+X65*$AQ$12</f>
        <v>0</v>
      </c>
      <c r="AR65" s="283">
        <f>+Y65*$AR$12</f>
        <v>0</v>
      </c>
      <c r="AS65" s="283">
        <f>+Z65*$AS$12</f>
        <v>0</v>
      </c>
      <c r="AT65" s="283">
        <f>+AA65*$AT$12</f>
        <v>0</v>
      </c>
      <c r="AU65" s="283">
        <f>+AB65*$AU$12</f>
        <v>0</v>
      </c>
      <c r="AV65" s="283">
        <f>+AC65*$AV$12</f>
        <v>0</v>
      </c>
      <c r="AW65" s="320">
        <f>SUM(AF65:AV65)</f>
        <v>4412.47</v>
      </c>
    </row>
    <row r="66" spans="1:49" x14ac:dyDescent="0.2">
      <c r="A66" s="1" t="s">
        <v>53</v>
      </c>
      <c r="B66" s="7">
        <v>617091</v>
      </c>
      <c r="C66" s="7">
        <v>0</v>
      </c>
      <c r="D66" s="2">
        <f>(B66+C66)*0.124-0.01</f>
        <v>76519.27</v>
      </c>
      <c r="E66" s="2">
        <f>(B66+C66)*0.049</f>
        <v>30237.46</v>
      </c>
      <c r="F66" s="78">
        <f t="shared" si="38"/>
        <v>32335.57</v>
      </c>
      <c r="G66" s="2">
        <f t="shared" si="3"/>
        <v>41429.440000000002</v>
      </c>
      <c r="H66" s="2">
        <f>(B66+C66)*0.0098+0.01</f>
        <v>6047.5</v>
      </c>
      <c r="I66" s="2">
        <f t="shared" si="5"/>
        <v>0</v>
      </c>
      <c r="J66" s="376">
        <f t="shared" si="6"/>
        <v>186569.24</v>
      </c>
      <c r="K66" s="1"/>
      <c r="L66" s="7"/>
      <c r="M66" s="7"/>
      <c r="N66" s="7"/>
      <c r="O66" s="7">
        <v>129556</v>
      </c>
      <c r="P66" s="7"/>
      <c r="Q66" s="7">
        <v>265265</v>
      </c>
      <c r="R66" s="7"/>
      <c r="S66" s="7"/>
      <c r="T66" s="7">
        <v>222270</v>
      </c>
      <c r="U66" s="7"/>
      <c r="V66" s="7"/>
      <c r="W66" s="7"/>
      <c r="X66" s="7"/>
      <c r="Y66" s="7"/>
      <c r="Z66" s="7"/>
      <c r="AA66" s="7"/>
      <c r="AB66" s="7"/>
      <c r="AC66" s="7"/>
      <c r="AD66" s="7">
        <f t="shared" si="39"/>
        <v>617091</v>
      </c>
      <c r="AE66" s="1"/>
      <c r="AF66" s="283">
        <f t="shared" si="8"/>
        <v>0</v>
      </c>
      <c r="AG66" s="283">
        <f t="shared" si="9"/>
        <v>0</v>
      </c>
      <c r="AH66" s="283">
        <f t="shared" si="10"/>
        <v>11426.84</v>
      </c>
      <c r="AI66" s="283">
        <f t="shared" si="11"/>
        <v>0</v>
      </c>
      <c r="AJ66" s="283">
        <f t="shared" si="12"/>
        <v>10398.39</v>
      </c>
      <c r="AK66" s="283">
        <f t="shared" si="13"/>
        <v>0</v>
      </c>
      <c r="AL66" s="283">
        <f t="shared" si="14"/>
        <v>0</v>
      </c>
      <c r="AM66" s="283">
        <f t="shared" si="15"/>
        <v>19604.21</v>
      </c>
      <c r="AN66" s="283">
        <f t="shared" si="16"/>
        <v>0</v>
      </c>
      <c r="AO66" s="283">
        <f t="shared" si="17"/>
        <v>0</v>
      </c>
      <c r="AP66" s="283">
        <f t="shared" si="18"/>
        <v>0</v>
      </c>
      <c r="AQ66" s="283">
        <f t="shared" si="19"/>
        <v>0</v>
      </c>
      <c r="AR66" s="283">
        <f t="shared" si="20"/>
        <v>0</v>
      </c>
      <c r="AS66" s="283">
        <f t="shared" si="21"/>
        <v>0</v>
      </c>
      <c r="AT66" s="283">
        <f t="shared" si="22"/>
        <v>0</v>
      </c>
      <c r="AU66" s="283">
        <f t="shared" si="23"/>
        <v>0</v>
      </c>
      <c r="AV66" s="283">
        <f t="shared" si="24"/>
        <v>0</v>
      </c>
      <c r="AW66" s="320">
        <f t="shared" si="25"/>
        <v>41429.440000000002</v>
      </c>
    </row>
    <row r="67" spans="1:49" x14ac:dyDescent="0.2">
      <c r="A67" s="18" t="s">
        <v>753</v>
      </c>
      <c r="B67" s="7"/>
      <c r="C67" s="7"/>
      <c r="D67" s="2">
        <v>5629.87</v>
      </c>
      <c r="E67" s="2">
        <f t="shared" ref="E67:E72" si="40">(B67+C67)*0.049</f>
        <v>0</v>
      </c>
      <c r="F67" s="2">
        <f t="shared" ref="F67:F72" si="41">(B67+C67)*0.0524</f>
        <v>0</v>
      </c>
      <c r="G67" s="2">
        <f t="shared" si="3"/>
        <v>0</v>
      </c>
      <c r="H67" s="2">
        <f t="shared" ref="H67:H72" si="42">(B67+C67)*0.0098</f>
        <v>0</v>
      </c>
      <c r="I67" s="2">
        <f t="shared" si="5"/>
        <v>0</v>
      </c>
      <c r="J67" s="376">
        <f t="shared" ref="J67:J75" si="43">SUM(D67:I67)</f>
        <v>5629.87</v>
      </c>
      <c r="K67" s="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f t="shared" si="39"/>
        <v>0</v>
      </c>
      <c r="AF67" s="283">
        <f t="shared" si="8"/>
        <v>0</v>
      </c>
      <c r="AG67" s="283">
        <f t="shared" si="9"/>
        <v>0</v>
      </c>
      <c r="AH67" s="283">
        <f t="shared" si="10"/>
        <v>0</v>
      </c>
      <c r="AI67" s="283">
        <f t="shared" si="11"/>
        <v>0</v>
      </c>
      <c r="AJ67" s="283">
        <f t="shared" si="12"/>
        <v>0</v>
      </c>
      <c r="AK67" s="283">
        <f t="shared" si="13"/>
        <v>0</v>
      </c>
      <c r="AL67" s="283">
        <f t="shared" si="14"/>
        <v>0</v>
      </c>
      <c r="AM67" s="283">
        <f t="shared" si="15"/>
        <v>0</v>
      </c>
      <c r="AN67" s="283">
        <f t="shared" si="16"/>
        <v>0</v>
      </c>
      <c r="AO67" s="283">
        <f t="shared" si="17"/>
        <v>0</v>
      </c>
      <c r="AP67" s="283">
        <f t="shared" si="18"/>
        <v>0</v>
      </c>
      <c r="AQ67" s="283">
        <f t="shared" si="19"/>
        <v>0</v>
      </c>
      <c r="AR67" s="283">
        <f t="shared" si="20"/>
        <v>0</v>
      </c>
      <c r="AS67" s="283">
        <f t="shared" si="21"/>
        <v>0</v>
      </c>
      <c r="AT67" s="283">
        <f t="shared" si="22"/>
        <v>0</v>
      </c>
      <c r="AU67" s="283">
        <f t="shared" si="23"/>
        <v>0</v>
      </c>
      <c r="AV67" s="283">
        <f t="shared" si="24"/>
        <v>0</v>
      </c>
      <c r="AW67" s="320">
        <f t="shared" si="25"/>
        <v>0</v>
      </c>
    </row>
    <row r="68" spans="1:49" x14ac:dyDescent="0.2">
      <c r="A68" s="18" t="s">
        <v>756</v>
      </c>
      <c r="B68" s="7"/>
      <c r="C68" s="7"/>
      <c r="D68" s="2">
        <f>(B68+C68)*0.124</f>
        <v>0</v>
      </c>
      <c r="E68" s="2">
        <f t="shared" si="40"/>
        <v>0</v>
      </c>
      <c r="F68" s="2">
        <f t="shared" si="41"/>
        <v>0</v>
      </c>
      <c r="G68" s="2">
        <f t="shared" si="3"/>
        <v>0</v>
      </c>
      <c r="H68" s="2">
        <f t="shared" si="42"/>
        <v>0</v>
      </c>
      <c r="I68" s="2">
        <f t="shared" si="5"/>
        <v>0</v>
      </c>
      <c r="J68" s="376">
        <f t="shared" si="43"/>
        <v>0</v>
      </c>
      <c r="K68" s="1"/>
      <c r="L68" s="7"/>
      <c r="M68" s="7"/>
      <c r="N68" s="7"/>
      <c r="O68" s="7">
        <v>-97636</v>
      </c>
      <c r="P68" s="7"/>
      <c r="Q68" s="7"/>
      <c r="R68" s="7"/>
      <c r="S68" s="7"/>
      <c r="T68" s="7">
        <v>97636</v>
      </c>
      <c r="U68" s="7"/>
      <c r="V68" s="7"/>
      <c r="W68" s="7"/>
      <c r="X68" s="7"/>
      <c r="Y68" s="7"/>
      <c r="Z68" s="7"/>
      <c r="AA68" s="7"/>
      <c r="AB68" s="7"/>
      <c r="AC68" s="7"/>
      <c r="AD68" s="7">
        <f t="shared" si="39"/>
        <v>0</v>
      </c>
      <c r="AF68" s="283">
        <f t="shared" si="8"/>
        <v>0</v>
      </c>
      <c r="AG68" s="283">
        <f t="shared" si="9"/>
        <v>0</v>
      </c>
      <c r="AH68" s="283">
        <f t="shared" si="10"/>
        <v>-8611.5</v>
      </c>
      <c r="AI68" s="283">
        <f t="shared" si="11"/>
        <v>0</v>
      </c>
      <c r="AJ68" s="283">
        <f t="shared" si="12"/>
        <v>0</v>
      </c>
      <c r="AK68" s="283">
        <f t="shared" si="13"/>
        <v>0</v>
      </c>
      <c r="AL68" s="283">
        <f t="shared" si="14"/>
        <v>0</v>
      </c>
      <c r="AM68" s="283">
        <f t="shared" si="15"/>
        <v>8611.5</v>
      </c>
      <c r="AN68" s="283">
        <f t="shared" si="16"/>
        <v>0</v>
      </c>
      <c r="AO68" s="283">
        <f t="shared" si="17"/>
        <v>0</v>
      </c>
      <c r="AP68" s="283">
        <f t="shared" si="18"/>
        <v>0</v>
      </c>
      <c r="AQ68" s="283">
        <f t="shared" si="19"/>
        <v>0</v>
      </c>
      <c r="AR68" s="283">
        <f t="shared" si="20"/>
        <v>0</v>
      </c>
      <c r="AS68" s="283">
        <f t="shared" si="21"/>
        <v>0</v>
      </c>
      <c r="AT68" s="283">
        <f t="shared" si="22"/>
        <v>0</v>
      </c>
      <c r="AU68" s="283">
        <f t="shared" si="23"/>
        <v>0</v>
      </c>
      <c r="AV68" s="283">
        <f t="shared" si="24"/>
        <v>0</v>
      </c>
      <c r="AW68" s="320">
        <f t="shared" si="25"/>
        <v>0</v>
      </c>
    </row>
    <row r="69" spans="1:49" x14ac:dyDescent="0.2">
      <c r="A69" s="18" t="s">
        <v>751</v>
      </c>
      <c r="B69" s="7"/>
      <c r="C69" s="7"/>
      <c r="D69" s="2">
        <v>6556.98</v>
      </c>
      <c r="E69" s="2">
        <f t="shared" si="40"/>
        <v>0</v>
      </c>
      <c r="F69" s="2">
        <f t="shared" si="41"/>
        <v>0</v>
      </c>
      <c r="G69" s="2">
        <f t="shared" si="3"/>
        <v>0</v>
      </c>
      <c r="H69" s="2">
        <f t="shared" si="42"/>
        <v>0</v>
      </c>
      <c r="I69" s="2">
        <f t="shared" si="5"/>
        <v>0</v>
      </c>
      <c r="J69" s="376">
        <f t="shared" si="43"/>
        <v>6556.98</v>
      </c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f t="shared" si="39"/>
        <v>0</v>
      </c>
      <c r="AF69" s="283">
        <f t="shared" si="8"/>
        <v>0</v>
      </c>
      <c r="AG69" s="283">
        <f t="shared" si="9"/>
        <v>0</v>
      </c>
      <c r="AH69" s="283">
        <f t="shared" si="10"/>
        <v>0</v>
      </c>
      <c r="AI69" s="283">
        <f t="shared" si="11"/>
        <v>0</v>
      </c>
      <c r="AJ69" s="283">
        <f t="shared" si="12"/>
        <v>0</v>
      </c>
      <c r="AK69" s="283">
        <f t="shared" si="13"/>
        <v>0</v>
      </c>
      <c r="AL69" s="283">
        <f t="shared" si="14"/>
        <v>0</v>
      </c>
      <c r="AM69" s="283">
        <f t="shared" si="15"/>
        <v>0</v>
      </c>
      <c r="AN69" s="283">
        <f t="shared" si="16"/>
        <v>0</v>
      </c>
      <c r="AO69" s="283">
        <f t="shared" si="17"/>
        <v>0</v>
      </c>
      <c r="AP69" s="283">
        <f t="shared" si="18"/>
        <v>0</v>
      </c>
      <c r="AQ69" s="283">
        <f t="shared" si="19"/>
        <v>0</v>
      </c>
      <c r="AR69" s="283">
        <f t="shared" si="20"/>
        <v>0</v>
      </c>
      <c r="AS69" s="283">
        <f t="shared" si="21"/>
        <v>0</v>
      </c>
      <c r="AT69" s="283">
        <f t="shared" si="22"/>
        <v>0</v>
      </c>
      <c r="AU69" s="283">
        <f t="shared" si="23"/>
        <v>0</v>
      </c>
      <c r="AV69" s="283">
        <f t="shared" si="24"/>
        <v>0</v>
      </c>
      <c r="AW69" s="320">
        <f t="shared" si="25"/>
        <v>0</v>
      </c>
    </row>
    <row r="70" spans="1:49" x14ac:dyDescent="0.2">
      <c r="A70" s="18" t="s">
        <v>757</v>
      </c>
      <c r="B70" s="7"/>
      <c r="C70" s="7"/>
      <c r="D70" s="2">
        <f>(B70+C70)*0.124</f>
        <v>0</v>
      </c>
      <c r="E70" s="2">
        <f t="shared" si="40"/>
        <v>0</v>
      </c>
      <c r="F70" s="2">
        <f t="shared" si="41"/>
        <v>0</v>
      </c>
      <c r="G70" s="2">
        <f t="shared" si="3"/>
        <v>0</v>
      </c>
      <c r="H70" s="2">
        <f t="shared" si="42"/>
        <v>0</v>
      </c>
      <c r="I70" s="2">
        <f t="shared" si="5"/>
        <v>0</v>
      </c>
      <c r="J70" s="376">
        <f t="shared" si="43"/>
        <v>0</v>
      </c>
      <c r="K70" s="1"/>
      <c r="L70" s="7"/>
      <c r="M70" s="7"/>
      <c r="N70" s="7"/>
      <c r="O70" s="7">
        <v>-58132</v>
      </c>
      <c r="P70" s="7"/>
      <c r="Q70" s="7"/>
      <c r="R70" s="7"/>
      <c r="S70" s="7"/>
      <c r="T70" s="7">
        <v>58132</v>
      </c>
      <c r="U70" s="7"/>
      <c r="V70" s="7"/>
      <c r="W70" s="7"/>
      <c r="X70" s="7"/>
      <c r="Y70" s="7"/>
      <c r="Z70" s="7"/>
      <c r="AA70" s="7"/>
      <c r="AB70" s="7"/>
      <c r="AC70" s="7"/>
      <c r="AD70" s="7">
        <f t="shared" si="39"/>
        <v>0</v>
      </c>
      <c r="AF70" s="283">
        <f t="shared" si="8"/>
        <v>0</v>
      </c>
      <c r="AG70" s="283">
        <f t="shared" si="9"/>
        <v>0</v>
      </c>
      <c r="AH70" s="283">
        <f t="shared" si="10"/>
        <v>-5127.24</v>
      </c>
      <c r="AI70" s="283">
        <f t="shared" si="11"/>
        <v>0</v>
      </c>
      <c r="AJ70" s="283">
        <f t="shared" si="12"/>
        <v>0</v>
      </c>
      <c r="AK70" s="283">
        <f t="shared" si="13"/>
        <v>0</v>
      </c>
      <c r="AL70" s="283">
        <f t="shared" si="14"/>
        <v>0</v>
      </c>
      <c r="AM70" s="283">
        <f t="shared" si="15"/>
        <v>5127.24</v>
      </c>
      <c r="AN70" s="283">
        <f t="shared" si="16"/>
        <v>0</v>
      </c>
      <c r="AO70" s="283">
        <f t="shared" si="17"/>
        <v>0</v>
      </c>
      <c r="AP70" s="283">
        <f t="shared" si="18"/>
        <v>0</v>
      </c>
      <c r="AQ70" s="283">
        <f t="shared" si="19"/>
        <v>0</v>
      </c>
      <c r="AR70" s="283">
        <f t="shared" si="20"/>
        <v>0</v>
      </c>
      <c r="AS70" s="283">
        <f t="shared" si="21"/>
        <v>0</v>
      </c>
      <c r="AT70" s="283">
        <f t="shared" si="22"/>
        <v>0</v>
      </c>
      <c r="AU70" s="283">
        <f t="shared" si="23"/>
        <v>0</v>
      </c>
      <c r="AV70" s="283">
        <f t="shared" si="24"/>
        <v>0</v>
      </c>
      <c r="AW70" s="320">
        <f t="shared" si="25"/>
        <v>0</v>
      </c>
    </row>
    <row r="71" spans="1:49" s="20" customFormat="1" x14ac:dyDescent="0.2">
      <c r="A71" s="18" t="s">
        <v>752</v>
      </c>
      <c r="B71" s="246"/>
      <c r="C71" s="246"/>
      <c r="D71" s="78">
        <v>8452.89</v>
      </c>
      <c r="E71" s="78">
        <f t="shared" si="40"/>
        <v>0</v>
      </c>
      <c r="F71" s="78">
        <f t="shared" si="41"/>
        <v>0</v>
      </c>
      <c r="G71" s="78">
        <f t="shared" si="3"/>
        <v>0</v>
      </c>
      <c r="H71" s="78">
        <f t="shared" si="42"/>
        <v>0</v>
      </c>
      <c r="I71" s="78">
        <f t="shared" si="5"/>
        <v>0</v>
      </c>
      <c r="J71" s="376">
        <f t="shared" si="43"/>
        <v>8452.89</v>
      </c>
      <c r="K71" s="18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>
        <f t="shared" si="39"/>
        <v>0</v>
      </c>
      <c r="AF71" s="383">
        <f t="shared" si="8"/>
        <v>0</v>
      </c>
      <c r="AG71" s="383">
        <f t="shared" si="9"/>
        <v>0</v>
      </c>
      <c r="AH71" s="383">
        <f t="shared" si="10"/>
        <v>0</v>
      </c>
      <c r="AI71" s="383">
        <f t="shared" si="11"/>
        <v>0</v>
      </c>
      <c r="AJ71" s="383">
        <f t="shared" si="12"/>
        <v>0</v>
      </c>
      <c r="AK71" s="383">
        <f t="shared" si="13"/>
        <v>0</v>
      </c>
      <c r="AL71" s="383">
        <f t="shared" si="14"/>
        <v>0</v>
      </c>
      <c r="AM71" s="383">
        <f t="shared" si="15"/>
        <v>0</v>
      </c>
      <c r="AN71" s="383">
        <f t="shared" si="16"/>
        <v>0</v>
      </c>
      <c r="AO71" s="383">
        <f t="shared" si="17"/>
        <v>0</v>
      </c>
      <c r="AP71" s="383">
        <f t="shared" si="18"/>
        <v>0</v>
      </c>
      <c r="AQ71" s="383">
        <f t="shared" si="19"/>
        <v>0</v>
      </c>
      <c r="AR71" s="383">
        <f t="shared" si="20"/>
        <v>0</v>
      </c>
      <c r="AS71" s="383">
        <f t="shared" si="21"/>
        <v>0</v>
      </c>
      <c r="AT71" s="383">
        <f t="shared" si="22"/>
        <v>0</v>
      </c>
      <c r="AU71" s="383">
        <f t="shared" si="23"/>
        <v>0</v>
      </c>
      <c r="AV71" s="383">
        <f t="shared" si="24"/>
        <v>0</v>
      </c>
      <c r="AW71" s="252">
        <f t="shared" si="25"/>
        <v>0</v>
      </c>
    </row>
    <row r="72" spans="1:49" x14ac:dyDescent="0.2">
      <c r="A72" s="18" t="s">
        <v>754</v>
      </c>
      <c r="B72" s="7"/>
      <c r="C72" s="7"/>
      <c r="D72" s="2">
        <f>(B72+C72)*0.124</f>
        <v>0</v>
      </c>
      <c r="E72" s="2">
        <f t="shared" si="40"/>
        <v>0</v>
      </c>
      <c r="F72" s="2">
        <f t="shared" si="41"/>
        <v>0</v>
      </c>
      <c r="G72" s="2">
        <f t="shared" si="3"/>
        <v>0</v>
      </c>
      <c r="H72" s="2">
        <f t="shared" si="42"/>
        <v>0</v>
      </c>
      <c r="I72" s="2">
        <f t="shared" si="5"/>
        <v>0</v>
      </c>
      <c r="J72" s="376">
        <f t="shared" si="43"/>
        <v>0</v>
      </c>
      <c r="K72" s="1"/>
      <c r="L72" s="7"/>
      <c r="M72" s="7"/>
      <c r="N72" s="7"/>
      <c r="O72" s="7">
        <v>-84988</v>
      </c>
      <c r="P72" s="7"/>
      <c r="Q72" s="7"/>
      <c r="R72" s="7"/>
      <c r="S72" s="7"/>
      <c r="T72" s="7">
        <v>84988</v>
      </c>
      <c r="U72" s="7"/>
      <c r="V72" s="7"/>
      <c r="W72" s="7"/>
      <c r="X72" s="7"/>
      <c r="Y72" s="7"/>
      <c r="Z72" s="7"/>
      <c r="AA72" s="7"/>
      <c r="AB72" s="7"/>
      <c r="AC72" s="7"/>
      <c r="AD72" s="7">
        <f t="shared" si="39"/>
        <v>0</v>
      </c>
      <c r="AF72" s="283">
        <f t="shared" si="8"/>
        <v>0</v>
      </c>
      <c r="AG72" s="283">
        <f t="shared" si="9"/>
        <v>0</v>
      </c>
      <c r="AH72" s="283">
        <f t="shared" si="10"/>
        <v>-7495.94</v>
      </c>
      <c r="AI72" s="283">
        <f t="shared" si="11"/>
        <v>0</v>
      </c>
      <c r="AJ72" s="283">
        <f t="shared" si="12"/>
        <v>0</v>
      </c>
      <c r="AK72" s="283">
        <f t="shared" si="13"/>
        <v>0</v>
      </c>
      <c r="AL72" s="283">
        <f t="shared" si="14"/>
        <v>0</v>
      </c>
      <c r="AM72" s="283">
        <f t="shared" si="15"/>
        <v>7495.94</v>
      </c>
      <c r="AN72" s="283">
        <f t="shared" si="16"/>
        <v>0</v>
      </c>
      <c r="AO72" s="283">
        <f t="shared" si="17"/>
        <v>0</v>
      </c>
      <c r="AP72" s="283">
        <f t="shared" si="18"/>
        <v>0</v>
      </c>
      <c r="AQ72" s="283">
        <f t="shared" si="19"/>
        <v>0</v>
      </c>
      <c r="AR72" s="283">
        <f t="shared" si="20"/>
        <v>0</v>
      </c>
      <c r="AS72" s="283">
        <f t="shared" si="21"/>
        <v>0</v>
      </c>
      <c r="AT72" s="283">
        <f t="shared" si="22"/>
        <v>0</v>
      </c>
      <c r="AU72" s="283">
        <f t="shared" si="23"/>
        <v>0</v>
      </c>
      <c r="AV72" s="283">
        <f t="shared" si="24"/>
        <v>0</v>
      </c>
      <c r="AW72" s="320">
        <f t="shared" si="25"/>
        <v>0</v>
      </c>
    </row>
    <row r="73" spans="1:49" x14ac:dyDescent="0.2">
      <c r="A73" s="18" t="s">
        <v>758</v>
      </c>
      <c r="B73" s="7"/>
      <c r="C73" s="7"/>
      <c r="D73" s="2">
        <v>1606.5</v>
      </c>
      <c r="E73" s="2">
        <v>634.89</v>
      </c>
      <c r="F73" s="2">
        <v>678.99</v>
      </c>
      <c r="G73" s="2">
        <v>848.41</v>
      </c>
      <c r="H73" s="2">
        <v>126.97</v>
      </c>
      <c r="I73" s="2">
        <f t="shared" si="5"/>
        <v>0</v>
      </c>
      <c r="J73" s="376">
        <f t="shared" si="43"/>
        <v>3895.76</v>
      </c>
      <c r="K73" s="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>
        <f t="shared" si="39"/>
        <v>0</v>
      </c>
      <c r="AF73" s="283">
        <f t="shared" si="8"/>
        <v>0</v>
      </c>
      <c r="AG73" s="283">
        <f t="shared" si="9"/>
        <v>0</v>
      </c>
      <c r="AH73" s="283">
        <f t="shared" si="10"/>
        <v>0</v>
      </c>
      <c r="AI73" s="283">
        <f t="shared" si="11"/>
        <v>0</v>
      </c>
      <c r="AJ73" s="283">
        <f t="shared" si="12"/>
        <v>0</v>
      </c>
      <c r="AK73" s="283">
        <f t="shared" si="13"/>
        <v>0</v>
      </c>
      <c r="AL73" s="283">
        <f t="shared" si="14"/>
        <v>0</v>
      </c>
      <c r="AM73" s="283">
        <f t="shared" si="15"/>
        <v>0</v>
      </c>
      <c r="AN73" s="283">
        <f t="shared" si="16"/>
        <v>0</v>
      </c>
      <c r="AO73" s="283">
        <f t="shared" si="17"/>
        <v>0</v>
      </c>
      <c r="AP73" s="283">
        <f t="shared" si="18"/>
        <v>0</v>
      </c>
      <c r="AQ73" s="283">
        <f t="shared" si="19"/>
        <v>0</v>
      </c>
      <c r="AR73" s="283">
        <f t="shared" si="20"/>
        <v>0</v>
      </c>
      <c r="AS73" s="283">
        <f t="shared" si="21"/>
        <v>0</v>
      </c>
      <c r="AT73" s="283">
        <f t="shared" si="22"/>
        <v>0</v>
      </c>
      <c r="AU73" s="283">
        <f t="shared" si="23"/>
        <v>0</v>
      </c>
      <c r="AV73" s="283">
        <f t="shared" si="24"/>
        <v>0</v>
      </c>
      <c r="AW73" s="320">
        <f t="shared" si="25"/>
        <v>0</v>
      </c>
    </row>
    <row r="74" spans="1:49" x14ac:dyDescent="0.2">
      <c r="A74" s="18" t="s">
        <v>759</v>
      </c>
      <c r="B74" s="7"/>
      <c r="C74" s="7"/>
      <c r="D74" s="2">
        <f>(B74+C74)*0.124</f>
        <v>0</v>
      </c>
      <c r="E74" s="2">
        <f>(B74+C74)*0.049</f>
        <v>0</v>
      </c>
      <c r="F74" s="2">
        <f>(B74+C74)*0.0524</f>
        <v>0</v>
      </c>
      <c r="G74" s="2">
        <f>+AW74</f>
        <v>0</v>
      </c>
      <c r="H74" s="2">
        <f>(B74+C74)*0.0098</f>
        <v>0</v>
      </c>
      <c r="I74" s="2">
        <f t="shared" si="5"/>
        <v>0</v>
      </c>
      <c r="J74" s="376">
        <f t="shared" si="43"/>
        <v>0</v>
      </c>
      <c r="K74" s="1"/>
      <c r="L74" s="7"/>
      <c r="M74" s="7"/>
      <c r="N74" s="7"/>
      <c r="O74" s="7">
        <v>-97214</v>
      </c>
      <c r="P74" s="7"/>
      <c r="Q74" s="7"/>
      <c r="R74" s="7"/>
      <c r="S74" s="7"/>
      <c r="T74" s="7">
        <v>97214</v>
      </c>
      <c r="U74" s="7"/>
      <c r="V74" s="7"/>
      <c r="W74" s="7"/>
      <c r="X74" s="7"/>
      <c r="Y74" s="7"/>
      <c r="Z74" s="7"/>
      <c r="AA74" s="7"/>
      <c r="AB74" s="7"/>
      <c r="AC74" s="7"/>
      <c r="AD74" s="7">
        <f t="shared" si="39"/>
        <v>0</v>
      </c>
      <c r="AF74" s="283">
        <f t="shared" si="8"/>
        <v>0</v>
      </c>
      <c r="AG74" s="283">
        <f t="shared" si="9"/>
        <v>0</v>
      </c>
      <c r="AH74" s="283">
        <f t="shared" si="10"/>
        <v>-8574.27</v>
      </c>
      <c r="AI74" s="283">
        <f t="shared" si="11"/>
        <v>0</v>
      </c>
      <c r="AJ74" s="283">
        <f t="shared" si="12"/>
        <v>0</v>
      </c>
      <c r="AK74" s="283">
        <f t="shared" si="13"/>
        <v>0</v>
      </c>
      <c r="AL74" s="283">
        <f t="shared" si="14"/>
        <v>0</v>
      </c>
      <c r="AM74" s="283">
        <f t="shared" si="15"/>
        <v>8574.27</v>
      </c>
      <c r="AN74" s="283">
        <f t="shared" si="16"/>
        <v>0</v>
      </c>
      <c r="AO74" s="283">
        <f t="shared" si="17"/>
        <v>0</v>
      </c>
      <c r="AP74" s="283">
        <f t="shared" si="18"/>
        <v>0</v>
      </c>
      <c r="AQ74" s="283">
        <f t="shared" si="19"/>
        <v>0</v>
      </c>
      <c r="AR74" s="283">
        <f t="shared" si="20"/>
        <v>0</v>
      </c>
      <c r="AS74" s="283">
        <f t="shared" si="21"/>
        <v>0</v>
      </c>
      <c r="AT74" s="283">
        <f t="shared" si="22"/>
        <v>0</v>
      </c>
      <c r="AU74" s="283">
        <f t="shared" si="23"/>
        <v>0</v>
      </c>
      <c r="AV74" s="283">
        <f t="shared" si="24"/>
        <v>0</v>
      </c>
      <c r="AW74" s="320">
        <f t="shared" si="25"/>
        <v>0</v>
      </c>
    </row>
    <row r="75" spans="1:49" x14ac:dyDescent="0.2">
      <c r="A75" s="1" t="s">
        <v>711</v>
      </c>
      <c r="B75" s="7">
        <v>3686</v>
      </c>
      <c r="C75" s="7">
        <v>0</v>
      </c>
      <c r="D75" s="2">
        <f>(B75+C75)*0.124+0.01</f>
        <v>457.07</v>
      </c>
      <c r="E75" s="2">
        <f>(B75+C75)*0.049</f>
        <v>180.61</v>
      </c>
      <c r="F75" s="78">
        <f>(B75+C75)*0.0524</f>
        <v>193.15</v>
      </c>
      <c r="G75" s="2">
        <f>+AW75</f>
        <v>325.11</v>
      </c>
      <c r="H75" s="2">
        <f>(B75+C75)*0.0098</f>
        <v>36.119999999999997</v>
      </c>
      <c r="I75" s="2">
        <f>(AB75)*0.0041219</f>
        <v>15.19</v>
      </c>
      <c r="J75" s="376">
        <f t="shared" si="43"/>
        <v>1207.25</v>
      </c>
      <c r="K75" s="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v>3686</v>
      </c>
      <c r="AC75" s="7"/>
      <c r="AD75" s="7">
        <f>SUM(L75:AC75)</f>
        <v>3686</v>
      </c>
      <c r="AE75" s="1"/>
      <c r="AF75" s="283">
        <f>+M75*$AF$12</f>
        <v>0</v>
      </c>
      <c r="AG75" s="283">
        <f>+N75*$AG$12</f>
        <v>0</v>
      </c>
      <c r="AH75" s="283">
        <f>+O75*$AH$12</f>
        <v>0</v>
      </c>
      <c r="AI75" s="283">
        <f>+P75*$AI$12</f>
        <v>0</v>
      </c>
      <c r="AJ75" s="283">
        <f>+Q75*$AJ$12</f>
        <v>0</v>
      </c>
      <c r="AK75" s="283">
        <f>+R75*$AK$12</f>
        <v>0</v>
      </c>
      <c r="AL75" s="283">
        <f>+S75*$AL$12</f>
        <v>0</v>
      </c>
      <c r="AM75" s="283">
        <f>+T75*$AM$12</f>
        <v>0</v>
      </c>
      <c r="AN75" s="283">
        <f>+U75*$AN$12</f>
        <v>0</v>
      </c>
      <c r="AO75" s="283">
        <f>+V75*$AO$12</f>
        <v>0</v>
      </c>
      <c r="AP75" s="283">
        <f>+W75*$AP$12</f>
        <v>0</v>
      </c>
      <c r="AQ75" s="283">
        <f>+X75*$AQ$12</f>
        <v>0</v>
      </c>
      <c r="AR75" s="283">
        <f>+Y75*$AR$12</f>
        <v>0</v>
      </c>
      <c r="AS75" s="283">
        <f>+Z75*$AS$12</f>
        <v>0</v>
      </c>
      <c r="AT75" s="283">
        <f>+AA75*$AT$12</f>
        <v>0</v>
      </c>
      <c r="AU75" s="283">
        <f>+AB75*$AU$12</f>
        <v>325.11</v>
      </c>
      <c r="AV75" s="283">
        <f>+AC75*$AV$12</f>
        <v>0</v>
      </c>
      <c r="AW75" s="320">
        <f>SUM(AF75:AV75)</f>
        <v>325.11</v>
      </c>
    </row>
    <row r="76" spans="1:49" x14ac:dyDescent="0.2">
      <c r="A76" s="1" t="s">
        <v>712</v>
      </c>
      <c r="B76" s="7">
        <v>19586</v>
      </c>
      <c r="C76" s="7">
        <v>0</v>
      </c>
      <c r="D76" s="2">
        <f>(B76+C76)*0.124</f>
        <v>2428.66</v>
      </c>
      <c r="E76" s="2">
        <f>(B76+C76)*0.049</f>
        <v>959.71</v>
      </c>
      <c r="F76" s="78">
        <f>(B76+C76)*0.0524</f>
        <v>1026.31</v>
      </c>
      <c r="G76" s="2">
        <f>+AW76</f>
        <v>1727.49</v>
      </c>
      <c r="H76" s="2">
        <f>(B76+C76)*0.0098</f>
        <v>191.94</v>
      </c>
      <c r="I76" s="2">
        <f>(AB76)*0.0041219</f>
        <v>0</v>
      </c>
      <c r="J76" s="376">
        <f>SUM(D76:I76)</f>
        <v>6334.11</v>
      </c>
      <c r="K76" s="1"/>
      <c r="L76" s="7"/>
      <c r="M76" s="7"/>
      <c r="N76" s="7"/>
      <c r="O76" s="7">
        <v>19586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>
        <f>SUM(L76:AC76)</f>
        <v>19586</v>
      </c>
      <c r="AE76" s="1"/>
      <c r="AF76" s="283">
        <f>+M76*$AF$12</f>
        <v>0</v>
      </c>
      <c r="AG76" s="283">
        <f>+N76*$AG$12</f>
        <v>0</v>
      </c>
      <c r="AH76" s="283">
        <f>+O76*$AH$12</f>
        <v>1727.49</v>
      </c>
      <c r="AI76" s="283">
        <f>+P76*$AI$12</f>
        <v>0</v>
      </c>
      <c r="AJ76" s="283">
        <f>+Q76*$AJ$12</f>
        <v>0</v>
      </c>
      <c r="AK76" s="283">
        <f>+R76*$AK$12</f>
        <v>0</v>
      </c>
      <c r="AL76" s="283">
        <f>+S76*$AL$12</f>
        <v>0</v>
      </c>
      <c r="AM76" s="283">
        <f>+T76*$AM$12</f>
        <v>0</v>
      </c>
      <c r="AN76" s="283">
        <f>+U76*$AN$12</f>
        <v>0</v>
      </c>
      <c r="AO76" s="283">
        <f>+V76*$AO$12</f>
        <v>0</v>
      </c>
      <c r="AP76" s="283">
        <f>+W76*$AP$12</f>
        <v>0</v>
      </c>
      <c r="AQ76" s="283">
        <f>+X76*$AQ$12</f>
        <v>0</v>
      </c>
      <c r="AR76" s="283">
        <f>+Y76*$AR$12</f>
        <v>0</v>
      </c>
      <c r="AS76" s="283">
        <f>+Z76*$AS$12</f>
        <v>0</v>
      </c>
      <c r="AT76" s="283">
        <f>+AA76*$AT$12</f>
        <v>0</v>
      </c>
      <c r="AU76" s="283">
        <f>+AB76*$AU$12</f>
        <v>0</v>
      </c>
      <c r="AV76" s="283">
        <f>+AC76*$AV$12</f>
        <v>0</v>
      </c>
      <c r="AW76" s="320">
        <f>SUM(AF76:AV76)</f>
        <v>1727.49</v>
      </c>
    </row>
    <row r="77" spans="1:49" x14ac:dyDescent="0.2">
      <c r="A77" s="18" t="s">
        <v>699</v>
      </c>
      <c r="B77" s="7">
        <v>105836</v>
      </c>
      <c r="C77" s="7">
        <v>0</v>
      </c>
      <c r="D77" s="2">
        <f>(B77+C77)*0.124</f>
        <v>13123.66</v>
      </c>
      <c r="E77" s="2">
        <f>(B77+C77)*0.049</f>
        <v>5185.96</v>
      </c>
      <c r="F77" s="2">
        <f>(B77+C77)*0.0524</f>
        <v>5545.81</v>
      </c>
      <c r="G77" s="2">
        <f t="shared" si="3"/>
        <v>9334.74</v>
      </c>
      <c r="H77" s="2">
        <f t="shared" si="4"/>
        <v>1037.19</v>
      </c>
      <c r="I77" s="2">
        <f t="shared" si="5"/>
        <v>0</v>
      </c>
      <c r="J77" s="376">
        <f>SUM(D77:I77)</f>
        <v>34227.360000000001</v>
      </c>
      <c r="K77" s="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105836</v>
      </c>
      <c r="X77" s="7"/>
      <c r="Y77" s="7"/>
      <c r="Z77" s="7"/>
      <c r="AA77" s="7"/>
      <c r="AB77" s="7"/>
      <c r="AC77" s="7"/>
      <c r="AD77" s="7">
        <f>SUM(L77:AC77)</f>
        <v>105836</v>
      </c>
      <c r="AF77" s="283">
        <f t="shared" si="8"/>
        <v>0</v>
      </c>
      <c r="AG77" s="283">
        <f t="shared" si="9"/>
        <v>0</v>
      </c>
      <c r="AH77" s="283">
        <f t="shared" si="10"/>
        <v>0</v>
      </c>
      <c r="AI77" s="283">
        <f t="shared" si="11"/>
        <v>0</v>
      </c>
      <c r="AJ77" s="283">
        <f t="shared" si="12"/>
        <v>0</v>
      </c>
      <c r="AK77" s="283">
        <f t="shared" si="13"/>
        <v>0</v>
      </c>
      <c r="AL77" s="283">
        <f t="shared" si="14"/>
        <v>0</v>
      </c>
      <c r="AM77" s="283">
        <f t="shared" si="15"/>
        <v>0</v>
      </c>
      <c r="AN77" s="283">
        <f t="shared" si="16"/>
        <v>0</v>
      </c>
      <c r="AO77" s="283">
        <f t="shared" si="17"/>
        <v>0</v>
      </c>
      <c r="AP77" s="283">
        <f t="shared" si="18"/>
        <v>9334.74</v>
      </c>
      <c r="AQ77" s="283">
        <f t="shared" si="19"/>
        <v>0</v>
      </c>
      <c r="AR77" s="283">
        <f t="shared" si="20"/>
        <v>0</v>
      </c>
      <c r="AS77" s="283">
        <f t="shared" si="21"/>
        <v>0</v>
      </c>
      <c r="AT77" s="283">
        <f t="shared" si="22"/>
        <v>0</v>
      </c>
      <c r="AU77" s="283">
        <f t="shared" si="23"/>
        <v>0</v>
      </c>
      <c r="AV77" s="283">
        <f t="shared" si="24"/>
        <v>0</v>
      </c>
      <c r="AW77" s="320">
        <f t="shared" si="25"/>
        <v>9334.74</v>
      </c>
    </row>
    <row r="78" spans="1:49" x14ac:dyDescent="0.2">
      <c r="A78" s="1" t="s">
        <v>54</v>
      </c>
      <c r="B78" s="7">
        <v>6736</v>
      </c>
      <c r="C78" s="7">
        <v>0</v>
      </c>
      <c r="D78" s="2">
        <f>(B78+C78)*0.124+0.01</f>
        <v>835.27</v>
      </c>
      <c r="E78" s="2">
        <f>(B78+C78)*0.049</f>
        <v>330.06</v>
      </c>
      <c r="F78" s="78">
        <f t="shared" si="38"/>
        <v>352.97</v>
      </c>
      <c r="G78" s="2">
        <f t="shared" si="3"/>
        <v>290.51</v>
      </c>
      <c r="H78" s="2">
        <f t="shared" si="4"/>
        <v>66.010000000000005</v>
      </c>
      <c r="I78" s="2">
        <f t="shared" si="5"/>
        <v>0</v>
      </c>
      <c r="J78" s="376">
        <f t="shared" si="6"/>
        <v>1874.82</v>
      </c>
      <c r="K78" s="1"/>
      <c r="L78" s="7"/>
      <c r="M78" s="7"/>
      <c r="N78" s="7"/>
      <c r="O78" s="7"/>
      <c r="P78" s="7">
        <v>6196</v>
      </c>
      <c r="Q78" s="7"/>
      <c r="R78" s="7"/>
      <c r="S78" s="7"/>
      <c r="T78" s="7"/>
      <c r="U78" s="7"/>
      <c r="V78" s="7"/>
      <c r="W78" s="7">
        <v>540</v>
      </c>
      <c r="X78" s="7"/>
      <c r="Y78" s="7"/>
      <c r="Z78" s="7"/>
      <c r="AA78" s="7"/>
      <c r="AB78" s="7"/>
      <c r="AC78" s="7"/>
      <c r="AD78" s="7">
        <f t="shared" si="39"/>
        <v>6736</v>
      </c>
      <c r="AE78" s="1"/>
      <c r="AF78" s="283">
        <f t="shared" si="8"/>
        <v>0</v>
      </c>
      <c r="AG78" s="283">
        <f t="shared" si="9"/>
        <v>0</v>
      </c>
      <c r="AH78" s="283">
        <f t="shared" si="10"/>
        <v>0</v>
      </c>
      <c r="AI78" s="283">
        <f t="shared" si="11"/>
        <v>242.88</v>
      </c>
      <c r="AJ78" s="283">
        <f t="shared" si="12"/>
        <v>0</v>
      </c>
      <c r="AK78" s="283">
        <f t="shared" si="13"/>
        <v>0</v>
      </c>
      <c r="AL78" s="283">
        <f t="shared" si="14"/>
        <v>0</v>
      </c>
      <c r="AM78" s="283">
        <f t="shared" si="15"/>
        <v>0</v>
      </c>
      <c r="AN78" s="283">
        <f t="shared" si="16"/>
        <v>0</v>
      </c>
      <c r="AO78" s="283">
        <f t="shared" si="17"/>
        <v>0</v>
      </c>
      <c r="AP78" s="283">
        <f t="shared" si="18"/>
        <v>47.63</v>
      </c>
      <c r="AQ78" s="283">
        <f t="shared" si="19"/>
        <v>0</v>
      </c>
      <c r="AR78" s="283">
        <f t="shared" si="20"/>
        <v>0</v>
      </c>
      <c r="AS78" s="283">
        <f t="shared" si="21"/>
        <v>0</v>
      </c>
      <c r="AT78" s="283">
        <f t="shared" si="22"/>
        <v>0</v>
      </c>
      <c r="AU78" s="283">
        <f t="shared" si="23"/>
        <v>0</v>
      </c>
      <c r="AV78" s="283">
        <f t="shared" si="24"/>
        <v>0</v>
      </c>
      <c r="AW78" s="320">
        <f t="shared" si="25"/>
        <v>290.51</v>
      </c>
    </row>
    <row r="79" spans="1:49" x14ac:dyDescent="0.2">
      <c r="A79" s="1" t="s">
        <v>55</v>
      </c>
      <c r="B79" s="7">
        <v>97010</v>
      </c>
      <c r="C79" s="7">
        <v>0</v>
      </c>
      <c r="D79" s="2">
        <f>(B79+C79)*0.124-0.01</f>
        <v>12029.23</v>
      </c>
      <c r="E79" s="2">
        <f t="shared" ref="E79:E90" si="44">(B79+C79)*0.049</f>
        <v>4753.49</v>
      </c>
      <c r="F79" s="78">
        <f t="shared" si="38"/>
        <v>5083.32</v>
      </c>
      <c r="G79" s="2">
        <f t="shared" si="3"/>
        <v>6312.48</v>
      </c>
      <c r="H79" s="2">
        <f t="shared" si="4"/>
        <v>950.7</v>
      </c>
      <c r="I79" s="2">
        <f t="shared" si="5"/>
        <v>211.12</v>
      </c>
      <c r="J79" s="376">
        <f t="shared" si="6"/>
        <v>29340.34</v>
      </c>
      <c r="K79" s="1"/>
      <c r="L79" s="7"/>
      <c r="M79" s="7"/>
      <c r="N79" s="7"/>
      <c r="O79" s="7"/>
      <c r="P79" s="7">
        <v>45792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v>51218</v>
      </c>
      <c r="AC79" s="7"/>
      <c r="AD79" s="7">
        <f t="shared" si="39"/>
        <v>97010</v>
      </c>
      <c r="AE79" s="7"/>
      <c r="AF79" s="283">
        <f t="shared" si="8"/>
        <v>0</v>
      </c>
      <c r="AG79" s="283">
        <f t="shared" si="9"/>
        <v>0</v>
      </c>
      <c r="AH79" s="283">
        <f t="shared" si="10"/>
        <v>0</v>
      </c>
      <c r="AI79" s="283">
        <f t="shared" si="11"/>
        <v>1795.05</v>
      </c>
      <c r="AJ79" s="283">
        <f t="shared" si="12"/>
        <v>0</v>
      </c>
      <c r="AK79" s="283">
        <f t="shared" si="13"/>
        <v>0</v>
      </c>
      <c r="AL79" s="283">
        <f t="shared" si="14"/>
        <v>0</v>
      </c>
      <c r="AM79" s="283">
        <f t="shared" si="15"/>
        <v>0</v>
      </c>
      <c r="AN79" s="283">
        <f t="shared" si="16"/>
        <v>0</v>
      </c>
      <c r="AO79" s="283">
        <f t="shared" si="17"/>
        <v>0</v>
      </c>
      <c r="AP79" s="283">
        <f t="shared" si="18"/>
        <v>0</v>
      </c>
      <c r="AQ79" s="283">
        <f t="shared" si="19"/>
        <v>0</v>
      </c>
      <c r="AR79" s="283">
        <f t="shared" si="20"/>
        <v>0</v>
      </c>
      <c r="AS79" s="283">
        <f t="shared" si="21"/>
        <v>0</v>
      </c>
      <c r="AT79" s="283">
        <f t="shared" si="22"/>
        <v>0</v>
      </c>
      <c r="AU79" s="283">
        <f t="shared" si="23"/>
        <v>4517.43</v>
      </c>
      <c r="AV79" s="283">
        <f t="shared" si="24"/>
        <v>0</v>
      </c>
      <c r="AW79" s="320">
        <f t="shared" si="25"/>
        <v>6312.48</v>
      </c>
    </row>
    <row r="80" spans="1:49" x14ac:dyDescent="0.2">
      <c r="A80" s="1" t="s">
        <v>56</v>
      </c>
      <c r="B80" s="7">
        <v>53638</v>
      </c>
      <c r="C80" s="7">
        <v>0</v>
      </c>
      <c r="D80" s="2">
        <f>(B80+C80)*0.124+0.01</f>
        <v>6651.12</v>
      </c>
      <c r="E80" s="2">
        <f t="shared" si="44"/>
        <v>2628.26</v>
      </c>
      <c r="F80" s="78">
        <f t="shared" si="38"/>
        <v>2810.63</v>
      </c>
      <c r="G80" s="2">
        <f t="shared" si="3"/>
        <v>4730.87</v>
      </c>
      <c r="H80" s="2">
        <f t="shared" si="4"/>
        <v>525.65</v>
      </c>
      <c r="I80" s="2">
        <f t="shared" si="5"/>
        <v>0</v>
      </c>
      <c r="J80" s="376">
        <f t="shared" si="6"/>
        <v>17346.53</v>
      </c>
      <c r="K80" s="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>
        <v>53638</v>
      </c>
      <c r="AD80" s="7">
        <f t="shared" si="39"/>
        <v>53638</v>
      </c>
      <c r="AE80" s="7"/>
      <c r="AF80" s="283">
        <f t="shared" si="8"/>
        <v>0</v>
      </c>
      <c r="AG80" s="283">
        <f t="shared" si="9"/>
        <v>0</v>
      </c>
      <c r="AH80" s="283">
        <f t="shared" si="10"/>
        <v>0</v>
      </c>
      <c r="AI80" s="283">
        <f t="shared" si="11"/>
        <v>0</v>
      </c>
      <c r="AJ80" s="283">
        <f t="shared" si="12"/>
        <v>0</v>
      </c>
      <c r="AK80" s="283">
        <f t="shared" si="13"/>
        <v>0</v>
      </c>
      <c r="AL80" s="283">
        <f t="shared" si="14"/>
        <v>0</v>
      </c>
      <c r="AM80" s="283">
        <f t="shared" si="15"/>
        <v>0</v>
      </c>
      <c r="AN80" s="283">
        <f t="shared" si="16"/>
        <v>0</v>
      </c>
      <c r="AO80" s="283">
        <f t="shared" si="17"/>
        <v>0</v>
      </c>
      <c r="AP80" s="283">
        <f t="shared" si="18"/>
        <v>0</v>
      </c>
      <c r="AQ80" s="283">
        <f t="shared" si="19"/>
        <v>0</v>
      </c>
      <c r="AR80" s="283">
        <f t="shared" si="20"/>
        <v>0</v>
      </c>
      <c r="AS80" s="283">
        <f t="shared" si="21"/>
        <v>0</v>
      </c>
      <c r="AT80" s="283">
        <f t="shared" si="22"/>
        <v>0</v>
      </c>
      <c r="AU80" s="283">
        <f t="shared" si="23"/>
        <v>0</v>
      </c>
      <c r="AV80" s="283">
        <f t="shared" si="24"/>
        <v>4730.87</v>
      </c>
      <c r="AW80" s="320">
        <f t="shared" si="25"/>
        <v>4730.87</v>
      </c>
    </row>
    <row r="81" spans="1:49" x14ac:dyDescent="0.2">
      <c r="A81" s="1" t="s">
        <v>216</v>
      </c>
      <c r="B81" s="7">
        <v>65</v>
      </c>
      <c r="C81" s="7">
        <v>0</v>
      </c>
      <c r="D81" s="2">
        <f>(B81+C81)*0.124-0.01</f>
        <v>8.0500000000000007</v>
      </c>
      <c r="E81" s="2">
        <f>(B81+C81)*0.049</f>
        <v>3.19</v>
      </c>
      <c r="F81" s="78">
        <f>(B81+C81)*0.0524</f>
        <v>3.41</v>
      </c>
      <c r="G81" s="2">
        <f>+AW81</f>
        <v>5.73</v>
      </c>
      <c r="H81" s="2">
        <f>(B81+C81)*0.0098</f>
        <v>0.64</v>
      </c>
      <c r="I81" s="2">
        <f>(AB81)*0.0041219</f>
        <v>0</v>
      </c>
      <c r="J81" s="376">
        <f>SUM(D81:I81)</f>
        <v>21.02</v>
      </c>
      <c r="K81" s="1"/>
      <c r="L81" s="7"/>
      <c r="M81" s="7"/>
      <c r="N81" s="7"/>
      <c r="O81" s="7">
        <v>65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f>SUM(L81:AC81)</f>
        <v>65</v>
      </c>
      <c r="AE81" s="7"/>
      <c r="AF81" s="283">
        <f>+M81*$AF$12</f>
        <v>0</v>
      </c>
      <c r="AG81" s="283">
        <f>+N81*$AG$12</f>
        <v>0</v>
      </c>
      <c r="AH81" s="283">
        <f>+O81*$AH$12</f>
        <v>5.73</v>
      </c>
      <c r="AI81" s="283">
        <f>+P81*$AI$12</f>
        <v>0</v>
      </c>
      <c r="AJ81" s="283">
        <f>+Q81*$AJ$12</f>
        <v>0</v>
      </c>
      <c r="AK81" s="283">
        <f>+R81*$AK$12</f>
        <v>0</v>
      </c>
      <c r="AL81" s="283">
        <f>+S81*$AL$12</f>
        <v>0</v>
      </c>
      <c r="AM81" s="283">
        <f>+T81*$AM$12</f>
        <v>0</v>
      </c>
      <c r="AN81" s="283">
        <f>+U81*$AN$12</f>
        <v>0</v>
      </c>
      <c r="AO81" s="283">
        <f>+V81*$AO$12</f>
        <v>0</v>
      </c>
      <c r="AP81" s="283">
        <f>+W81*$AP$12</f>
        <v>0</v>
      </c>
      <c r="AQ81" s="283">
        <f>+X81*$AQ$12</f>
        <v>0</v>
      </c>
      <c r="AR81" s="283">
        <f>+Y81*$AR$12</f>
        <v>0</v>
      </c>
      <c r="AS81" s="283">
        <f>+Z81*$AS$12</f>
        <v>0</v>
      </c>
      <c r="AT81" s="283">
        <f>+AA81*$AT$12</f>
        <v>0</v>
      </c>
      <c r="AU81" s="283">
        <f>+AB81*$AU$12</f>
        <v>0</v>
      </c>
      <c r="AV81" s="283">
        <f>+AC81*$AV$12</f>
        <v>0</v>
      </c>
      <c r="AW81" s="320">
        <f>SUM(AF81:AV81)</f>
        <v>5.73</v>
      </c>
    </row>
    <row r="82" spans="1:49" s="20" customFormat="1" x14ac:dyDescent="0.2">
      <c r="A82" s="18" t="s">
        <v>57</v>
      </c>
      <c r="B82" s="246">
        <v>29903</v>
      </c>
      <c r="C82" s="246">
        <v>0</v>
      </c>
      <c r="D82" s="2">
        <f>(B82+C82)*0.124-0.01</f>
        <v>3707.96</v>
      </c>
      <c r="E82" s="2">
        <f t="shared" si="44"/>
        <v>1465.25</v>
      </c>
      <c r="F82" s="78">
        <f t="shared" si="38"/>
        <v>1566.92</v>
      </c>
      <c r="G82" s="2">
        <f t="shared" si="3"/>
        <v>2633.28</v>
      </c>
      <c r="H82" s="2">
        <f t="shared" si="4"/>
        <v>293.05</v>
      </c>
      <c r="I82" s="2">
        <f t="shared" si="5"/>
        <v>122.91</v>
      </c>
      <c r="J82" s="376">
        <f t="shared" si="6"/>
        <v>9789.3700000000008</v>
      </c>
      <c r="K82" s="18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>
        <v>85</v>
      </c>
      <c r="AB82" s="246">
        <v>29818</v>
      </c>
      <c r="AC82" s="246"/>
      <c r="AD82" s="7">
        <f t="shared" si="39"/>
        <v>29903</v>
      </c>
      <c r="AE82" s="246"/>
      <c r="AF82" s="283">
        <f t="shared" si="8"/>
        <v>0</v>
      </c>
      <c r="AG82" s="283">
        <f t="shared" si="9"/>
        <v>0</v>
      </c>
      <c r="AH82" s="283">
        <f t="shared" si="10"/>
        <v>0</v>
      </c>
      <c r="AI82" s="283">
        <f t="shared" si="11"/>
        <v>0</v>
      </c>
      <c r="AJ82" s="283">
        <f t="shared" si="12"/>
        <v>0</v>
      </c>
      <c r="AK82" s="283">
        <f t="shared" si="13"/>
        <v>0</v>
      </c>
      <c r="AL82" s="283">
        <f t="shared" si="14"/>
        <v>0</v>
      </c>
      <c r="AM82" s="283">
        <f t="shared" si="15"/>
        <v>0</v>
      </c>
      <c r="AN82" s="283">
        <f t="shared" si="16"/>
        <v>0</v>
      </c>
      <c r="AO82" s="283">
        <f t="shared" si="17"/>
        <v>0</v>
      </c>
      <c r="AP82" s="283">
        <f t="shared" si="18"/>
        <v>0</v>
      </c>
      <c r="AQ82" s="283">
        <f t="shared" si="19"/>
        <v>0</v>
      </c>
      <c r="AR82" s="283">
        <f t="shared" si="20"/>
        <v>0</v>
      </c>
      <c r="AS82" s="283">
        <f t="shared" si="21"/>
        <v>0</v>
      </c>
      <c r="AT82" s="283">
        <f t="shared" si="22"/>
        <v>3.33</v>
      </c>
      <c r="AU82" s="283">
        <f t="shared" si="23"/>
        <v>2629.95</v>
      </c>
      <c r="AV82" s="283">
        <f t="shared" si="24"/>
        <v>0</v>
      </c>
      <c r="AW82" s="320">
        <f t="shared" si="25"/>
        <v>2633.28</v>
      </c>
    </row>
    <row r="83" spans="1:49" ht="13.5" customHeight="1" x14ac:dyDescent="0.2">
      <c r="A83" s="1" t="s">
        <v>704</v>
      </c>
      <c r="B83" s="7">
        <v>2653200</v>
      </c>
      <c r="C83" s="7">
        <v>0</v>
      </c>
      <c r="D83" s="2">
        <f>(B83+C83)*0.124+0.01</f>
        <v>328996.81</v>
      </c>
      <c r="E83" s="78">
        <f t="shared" si="44"/>
        <v>130006.8</v>
      </c>
      <c r="F83" s="78">
        <f>(B83+C83)*0.0524</f>
        <v>139027.68</v>
      </c>
      <c r="G83" s="2">
        <f t="shared" si="3"/>
        <v>225077.57</v>
      </c>
      <c r="H83" s="2">
        <f>(B83+C83)*0.0098</f>
        <v>26001.360000000001</v>
      </c>
      <c r="I83" s="2">
        <f t="shared" si="5"/>
        <v>0</v>
      </c>
      <c r="J83" s="376">
        <f t="shared" si="6"/>
        <v>849110.22</v>
      </c>
      <c r="K83" s="1"/>
      <c r="L83" s="7"/>
      <c r="M83" s="7"/>
      <c r="N83" s="7"/>
      <c r="O83" s="7">
        <v>2470860</v>
      </c>
      <c r="P83" s="7"/>
      <c r="Q83" s="7"/>
      <c r="R83" s="7"/>
      <c r="S83" s="7"/>
      <c r="T83" s="7"/>
      <c r="U83" s="7"/>
      <c r="V83" s="7">
        <v>15407</v>
      </c>
      <c r="W83" s="7"/>
      <c r="X83" s="7"/>
      <c r="Y83" s="7">
        <v>166933</v>
      </c>
      <c r="Z83" s="7"/>
      <c r="AA83" s="7"/>
      <c r="AB83" s="7"/>
      <c r="AC83" s="7"/>
      <c r="AD83" s="7">
        <f t="shared" si="39"/>
        <v>2653200</v>
      </c>
      <c r="AE83" s="1"/>
      <c r="AF83" s="283">
        <f t="shared" si="8"/>
        <v>0</v>
      </c>
      <c r="AG83" s="283">
        <f t="shared" si="9"/>
        <v>0</v>
      </c>
      <c r="AH83" s="283">
        <f t="shared" si="10"/>
        <v>217929.85</v>
      </c>
      <c r="AI83" s="283">
        <f t="shared" si="11"/>
        <v>0</v>
      </c>
      <c r="AJ83" s="283">
        <f t="shared" si="12"/>
        <v>0</v>
      </c>
      <c r="AK83" s="283">
        <f t="shared" si="13"/>
        <v>0</v>
      </c>
      <c r="AL83" s="283">
        <f t="shared" si="14"/>
        <v>0</v>
      </c>
      <c r="AM83" s="283">
        <f t="shared" si="15"/>
        <v>0</v>
      </c>
      <c r="AN83" s="283">
        <f t="shared" si="16"/>
        <v>0</v>
      </c>
      <c r="AO83" s="283">
        <f t="shared" si="17"/>
        <v>603.95000000000005</v>
      </c>
      <c r="AP83" s="283">
        <f t="shared" si="18"/>
        <v>0</v>
      </c>
      <c r="AQ83" s="283">
        <f t="shared" si="19"/>
        <v>0</v>
      </c>
      <c r="AR83" s="283">
        <f t="shared" si="20"/>
        <v>6543.77</v>
      </c>
      <c r="AS83" s="283">
        <f t="shared" si="21"/>
        <v>0</v>
      </c>
      <c r="AT83" s="283">
        <f t="shared" si="22"/>
        <v>0</v>
      </c>
      <c r="AU83" s="283">
        <f t="shared" si="23"/>
        <v>0</v>
      </c>
      <c r="AV83" s="283">
        <f t="shared" si="24"/>
        <v>0</v>
      </c>
      <c r="AW83" s="320">
        <f t="shared" si="25"/>
        <v>225077.57</v>
      </c>
    </row>
    <row r="84" spans="1:49" x14ac:dyDescent="0.2">
      <c r="A84" s="1" t="s">
        <v>437</v>
      </c>
      <c r="B84" s="7">
        <v>292068</v>
      </c>
      <c r="C84" s="7">
        <v>0</v>
      </c>
      <c r="D84" s="2">
        <f>(B84+C84)*0.124</f>
        <v>36216.43</v>
      </c>
      <c r="E84" s="2">
        <f t="shared" si="44"/>
        <v>14311.33</v>
      </c>
      <c r="F84" s="78">
        <f t="shared" si="38"/>
        <v>15304.36</v>
      </c>
      <c r="G84" s="2">
        <f t="shared" si="3"/>
        <v>25760.400000000001</v>
      </c>
      <c r="H84" s="2">
        <f>(B84+C84)*0.0098-0.01</f>
        <v>2862.26</v>
      </c>
      <c r="I84" s="2">
        <f t="shared" si="5"/>
        <v>564.87</v>
      </c>
      <c r="J84" s="376">
        <f t="shared" si="6"/>
        <v>95019.65</v>
      </c>
      <c r="K84" s="1"/>
      <c r="L84" s="7"/>
      <c r="M84" s="7"/>
      <c r="N84" s="7"/>
      <c r="O84" s="7">
        <v>155028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>
        <v>137040</v>
      </c>
      <c r="AC84" s="7"/>
      <c r="AD84" s="7">
        <f t="shared" si="39"/>
        <v>292068</v>
      </c>
      <c r="AE84" s="7"/>
      <c r="AF84" s="283">
        <f t="shared" si="8"/>
        <v>0</v>
      </c>
      <c r="AG84" s="283">
        <f t="shared" si="9"/>
        <v>0</v>
      </c>
      <c r="AH84" s="283">
        <f t="shared" si="10"/>
        <v>13673.47</v>
      </c>
      <c r="AI84" s="283">
        <f t="shared" si="11"/>
        <v>0</v>
      </c>
      <c r="AJ84" s="283">
        <f t="shared" si="12"/>
        <v>0</v>
      </c>
      <c r="AK84" s="283">
        <f t="shared" si="13"/>
        <v>0</v>
      </c>
      <c r="AL84" s="283">
        <f t="shared" si="14"/>
        <v>0</v>
      </c>
      <c r="AM84" s="283">
        <f t="shared" si="15"/>
        <v>0</v>
      </c>
      <c r="AN84" s="283">
        <f t="shared" si="16"/>
        <v>0</v>
      </c>
      <c r="AO84" s="283">
        <f t="shared" si="17"/>
        <v>0</v>
      </c>
      <c r="AP84" s="283">
        <f t="shared" si="18"/>
        <v>0</v>
      </c>
      <c r="AQ84" s="283">
        <f t="shared" si="19"/>
        <v>0</v>
      </c>
      <c r="AR84" s="283">
        <f t="shared" si="20"/>
        <v>0</v>
      </c>
      <c r="AS84" s="283">
        <f t="shared" si="21"/>
        <v>0</v>
      </c>
      <c r="AT84" s="283">
        <f t="shared" si="22"/>
        <v>0</v>
      </c>
      <c r="AU84" s="283">
        <f t="shared" si="23"/>
        <v>12086.93</v>
      </c>
      <c r="AV84" s="283">
        <f t="shared" si="24"/>
        <v>0</v>
      </c>
      <c r="AW84" s="320">
        <f t="shared" si="25"/>
        <v>25760.400000000001</v>
      </c>
    </row>
    <row r="85" spans="1:49" x14ac:dyDescent="0.2">
      <c r="A85" s="1" t="s">
        <v>58</v>
      </c>
      <c r="B85" s="7">
        <v>1332161</v>
      </c>
      <c r="C85" s="7">
        <v>361940</v>
      </c>
      <c r="D85" s="2">
        <f>(B85+C85)*0.124</f>
        <v>210068.52</v>
      </c>
      <c r="E85" s="2">
        <f t="shared" si="44"/>
        <v>83010.95</v>
      </c>
      <c r="F85" s="78">
        <f t="shared" si="38"/>
        <v>88770.89</v>
      </c>
      <c r="G85" s="2">
        <f t="shared" si="3"/>
        <v>149419.71</v>
      </c>
      <c r="H85" s="2">
        <f t="shared" si="4"/>
        <v>16602.189999999999</v>
      </c>
      <c r="I85" s="2">
        <f t="shared" si="5"/>
        <v>0</v>
      </c>
      <c r="J85" s="376">
        <f t="shared" si="6"/>
        <v>547872.26</v>
      </c>
      <c r="K85" s="1"/>
      <c r="L85" s="7"/>
      <c r="M85" s="7"/>
      <c r="N85" s="7"/>
      <c r="O85" s="7">
        <v>1694101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>
        <f t="shared" si="39"/>
        <v>1694101</v>
      </c>
      <c r="AE85" s="7"/>
      <c r="AF85" s="283">
        <f t="shared" si="8"/>
        <v>0</v>
      </c>
      <c r="AG85" s="283">
        <f t="shared" si="9"/>
        <v>0</v>
      </c>
      <c r="AH85" s="283">
        <f t="shared" si="10"/>
        <v>149419.71</v>
      </c>
      <c r="AI85" s="283">
        <f t="shared" si="11"/>
        <v>0</v>
      </c>
      <c r="AJ85" s="283">
        <f t="shared" si="12"/>
        <v>0</v>
      </c>
      <c r="AK85" s="283">
        <f t="shared" si="13"/>
        <v>0</v>
      </c>
      <c r="AL85" s="283">
        <f t="shared" si="14"/>
        <v>0</v>
      </c>
      <c r="AM85" s="283">
        <f t="shared" si="15"/>
        <v>0</v>
      </c>
      <c r="AN85" s="283">
        <f t="shared" si="16"/>
        <v>0</v>
      </c>
      <c r="AO85" s="283">
        <f t="shared" si="17"/>
        <v>0</v>
      </c>
      <c r="AP85" s="283">
        <f t="shared" si="18"/>
        <v>0</v>
      </c>
      <c r="AQ85" s="283">
        <f t="shared" si="19"/>
        <v>0</v>
      </c>
      <c r="AR85" s="283">
        <f t="shared" si="20"/>
        <v>0</v>
      </c>
      <c r="AS85" s="283">
        <f t="shared" si="21"/>
        <v>0</v>
      </c>
      <c r="AT85" s="283">
        <f t="shared" si="22"/>
        <v>0</v>
      </c>
      <c r="AU85" s="283">
        <f t="shared" si="23"/>
        <v>0</v>
      </c>
      <c r="AV85" s="283">
        <f t="shared" si="24"/>
        <v>0</v>
      </c>
      <c r="AW85" s="320">
        <f t="shared" si="25"/>
        <v>149419.71</v>
      </c>
    </row>
    <row r="86" spans="1:49" x14ac:dyDescent="0.2">
      <c r="A86" s="1" t="s">
        <v>438</v>
      </c>
      <c r="B86" s="7">
        <v>523675</v>
      </c>
      <c r="C86" s="7">
        <v>0</v>
      </c>
      <c r="D86" s="2">
        <f>(B86+C86)*0.124+0.01</f>
        <v>64935.71</v>
      </c>
      <c r="E86" s="2">
        <f t="shared" si="44"/>
        <v>25660.080000000002</v>
      </c>
      <c r="F86" s="78">
        <f t="shared" si="38"/>
        <v>27440.57</v>
      </c>
      <c r="G86" s="2">
        <f t="shared" si="3"/>
        <v>34531.910000000003</v>
      </c>
      <c r="H86" s="2">
        <f>(B86+C86)*0.0098-0.01</f>
        <v>5132.01</v>
      </c>
      <c r="I86" s="2">
        <f t="shared" si="5"/>
        <v>0</v>
      </c>
      <c r="J86" s="376">
        <f t="shared" si="6"/>
        <v>157700.28</v>
      </c>
      <c r="K86" s="1"/>
      <c r="L86" s="7"/>
      <c r="M86" s="7"/>
      <c r="N86" s="7"/>
      <c r="O86" s="7">
        <v>151439</v>
      </c>
      <c r="P86" s="7"/>
      <c r="Q86" s="7">
        <v>237882</v>
      </c>
      <c r="R86" s="7"/>
      <c r="S86" s="7"/>
      <c r="T86" s="7"/>
      <c r="U86" s="7"/>
      <c r="V86" s="7"/>
      <c r="W86" s="7">
        <v>134354</v>
      </c>
      <c r="X86" s="7"/>
      <c r="Y86" s="7"/>
      <c r="Z86" s="7"/>
      <c r="AA86" s="7"/>
      <c r="AB86" s="7"/>
      <c r="AC86" s="7"/>
      <c r="AD86" s="7">
        <f t="shared" si="39"/>
        <v>523675</v>
      </c>
      <c r="AE86" s="1"/>
      <c r="AF86" s="283">
        <f t="shared" si="8"/>
        <v>0</v>
      </c>
      <c r="AG86" s="283">
        <f t="shared" si="9"/>
        <v>0</v>
      </c>
      <c r="AH86" s="283">
        <f t="shared" si="10"/>
        <v>13356.92</v>
      </c>
      <c r="AI86" s="283">
        <f t="shared" si="11"/>
        <v>0</v>
      </c>
      <c r="AJ86" s="283">
        <f t="shared" si="12"/>
        <v>9324.9699999999993</v>
      </c>
      <c r="AK86" s="283">
        <f t="shared" si="13"/>
        <v>0</v>
      </c>
      <c r="AL86" s="283">
        <f t="shared" si="14"/>
        <v>0</v>
      </c>
      <c r="AM86" s="283">
        <f t="shared" si="15"/>
        <v>0</v>
      </c>
      <c r="AN86" s="283">
        <f t="shared" si="16"/>
        <v>0</v>
      </c>
      <c r="AO86" s="283">
        <f t="shared" si="17"/>
        <v>0</v>
      </c>
      <c r="AP86" s="283">
        <f t="shared" si="18"/>
        <v>11850.02</v>
      </c>
      <c r="AQ86" s="283">
        <f t="shared" si="19"/>
        <v>0</v>
      </c>
      <c r="AR86" s="283">
        <f t="shared" si="20"/>
        <v>0</v>
      </c>
      <c r="AS86" s="283">
        <f t="shared" si="21"/>
        <v>0</v>
      </c>
      <c r="AT86" s="283">
        <f t="shared" si="22"/>
        <v>0</v>
      </c>
      <c r="AU86" s="283">
        <f t="shared" si="23"/>
        <v>0</v>
      </c>
      <c r="AV86" s="283">
        <f t="shared" si="24"/>
        <v>0</v>
      </c>
      <c r="AW86" s="320">
        <f t="shared" si="25"/>
        <v>34531.910000000003</v>
      </c>
    </row>
    <row r="87" spans="1:49" x14ac:dyDescent="0.2">
      <c r="A87" s="1" t="s">
        <v>439</v>
      </c>
      <c r="B87" s="7">
        <v>136128</v>
      </c>
      <c r="C87" s="7">
        <v>0</v>
      </c>
      <c r="D87" s="2">
        <f>(B87+C87)*0.124</f>
        <v>16879.87</v>
      </c>
      <c r="E87" s="2">
        <f t="shared" si="44"/>
        <v>6670.27</v>
      </c>
      <c r="F87" s="78">
        <f t="shared" si="38"/>
        <v>7133.11</v>
      </c>
      <c r="G87" s="2">
        <f t="shared" si="3"/>
        <v>12006.49</v>
      </c>
      <c r="H87" s="2">
        <f>(B87+C87)*0.0098+0.01</f>
        <v>1334.06</v>
      </c>
      <c r="I87" s="2">
        <f t="shared" si="5"/>
        <v>341.53</v>
      </c>
      <c r="J87" s="376">
        <f t="shared" si="6"/>
        <v>44365.33</v>
      </c>
      <c r="K87" s="1"/>
      <c r="L87" s="7"/>
      <c r="M87" s="7">
        <v>22609</v>
      </c>
      <c r="N87" s="7"/>
      <c r="O87" s="7">
        <v>30662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>
        <v>82857</v>
      </c>
      <c r="AC87" s="7"/>
      <c r="AD87" s="7">
        <f t="shared" si="39"/>
        <v>136128</v>
      </c>
      <c r="AE87" s="1"/>
      <c r="AF87" s="283">
        <f t="shared" si="8"/>
        <v>1994.11</v>
      </c>
      <c r="AG87" s="283">
        <f t="shared" si="9"/>
        <v>0</v>
      </c>
      <c r="AH87" s="283">
        <f t="shared" si="10"/>
        <v>2704.39</v>
      </c>
      <c r="AI87" s="283">
        <f t="shared" si="11"/>
        <v>0</v>
      </c>
      <c r="AJ87" s="283">
        <f t="shared" si="12"/>
        <v>0</v>
      </c>
      <c r="AK87" s="283">
        <f t="shared" si="13"/>
        <v>0</v>
      </c>
      <c r="AL87" s="283">
        <f t="shared" si="14"/>
        <v>0</v>
      </c>
      <c r="AM87" s="283">
        <f t="shared" si="15"/>
        <v>0</v>
      </c>
      <c r="AN87" s="283">
        <f t="shared" si="16"/>
        <v>0</v>
      </c>
      <c r="AO87" s="283">
        <f t="shared" si="17"/>
        <v>0</v>
      </c>
      <c r="AP87" s="283">
        <f t="shared" si="18"/>
        <v>0</v>
      </c>
      <c r="AQ87" s="283">
        <f t="shared" si="19"/>
        <v>0</v>
      </c>
      <c r="AR87" s="283">
        <f t="shared" si="20"/>
        <v>0</v>
      </c>
      <c r="AS87" s="283">
        <f t="shared" si="21"/>
        <v>0</v>
      </c>
      <c r="AT87" s="283">
        <f t="shared" si="22"/>
        <v>0</v>
      </c>
      <c r="AU87" s="283">
        <f t="shared" si="23"/>
        <v>7307.99</v>
      </c>
      <c r="AV87" s="283">
        <f t="shared" si="24"/>
        <v>0</v>
      </c>
      <c r="AW87" s="320">
        <f t="shared" si="25"/>
        <v>12006.49</v>
      </c>
    </row>
    <row r="88" spans="1:49" x14ac:dyDescent="0.2">
      <c r="A88" s="1" t="s">
        <v>351</v>
      </c>
      <c r="B88" s="7">
        <v>120616</v>
      </c>
      <c r="C88" s="7">
        <v>0</v>
      </c>
      <c r="D88" s="2">
        <f>(B88+C88)*0.124</f>
        <v>14956.38</v>
      </c>
      <c r="E88" s="2">
        <f t="shared" si="44"/>
        <v>5910.18</v>
      </c>
      <c r="F88" s="78">
        <f t="shared" si="38"/>
        <v>6320.28</v>
      </c>
      <c r="G88" s="2">
        <f t="shared" si="3"/>
        <v>5879.6</v>
      </c>
      <c r="H88" s="2">
        <f t="shared" si="4"/>
        <v>1182.04</v>
      </c>
      <c r="I88" s="2">
        <f t="shared" si="5"/>
        <v>0</v>
      </c>
      <c r="J88" s="376">
        <f t="shared" si="6"/>
        <v>34248.480000000003</v>
      </c>
      <c r="K88" s="1"/>
      <c r="L88" s="7"/>
      <c r="M88" s="7"/>
      <c r="N88" s="7"/>
      <c r="O88" s="7">
        <v>23499</v>
      </c>
      <c r="P88" s="7"/>
      <c r="Q88" s="7"/>
      <c r="R88" s="7"/>
      <c r="S88" s="7"/>
      <c r="T88" s="7"/>
      <c r="U88" s="7"/>
      <c r="V88" s="7"/>
      <c r="W88" s="7"/>
      <c r="X88" s="7"/>
      <c r="Y88" s="7">
        <v>97117</v>
      </c>
      <c r="Z88" s="7"/>
      <c r="AA88" s="7"/>
      <c r="AB88" s="7"/>
      <c r="AC88" s="7"/>
      <c r="AD88" s="7">
        <f t="shared" ref="AD88:AD99" si="45">SUM(L88:AC88)</f>
        <v>120616</v>
      </c>
      <c r="AE88" s="1"/>
      <c r="AF88" s="283">
        <f t="shared" si="8"/>
        <v>0</v>
      </c>
      <c r="AG88" s="283">
        <f t="shared" si="9"/>
        <v>0</v>
      </c>
      <c r="AH88" s="283">
        <f t="shared" si="10"/>
        <v>2072.61</v>
      </c>
      <c r="AI88" s="283">
        <f t="shared" si="11"/>
        <v>0</v>
      </c>
      <c r="AJ88" s="283">
        <f t="shared" si="12"/>
        <v>0</v>
      </c>
      <c r="AK88" s="283">
        <f t="shared" si="13"/>
        <v>0</v>
      </c>
      <c r="AL88" s="283">
        <f t="shared" si="14"/>
        <v>0</v>
      </c>
      <c r="AM88" s="283">
        <f t="shared" si="15"/>
        <v>0</v>
      </c>
      <c r="AN88" s="283">
        <f t="shared" si="16"/>
        <v>0</v>
      </c>
      <c r="AO88" s="283">
        <f t="shared" si="17"/>
        <v>0</v>
      </c>
      <c r="AP88" s="283">
        <f t="shared" si="18"/>
        <v>0</v>
      </c>
      <c r="AQ88" s="283">
        <f t="shared" si="19"/>
        <v>0</v>
      </c>
      <c r="AR88" s="283">
        <f t="shared" si="20"/>
        <v>3806.99</v>
      </c>
      <c r="AS88" s="283">
        <f t="shared" si="21"/>
        <v>0</v>
      </c>
      <c r="AT88" s="283">
        <f t="shared" si="22"/>
        <v>0</v>
      </c>
      <c r="AU88" s="283">
        <f t="shared" si="23"/>
        <v>0</v>
      </c>
      <c r="AV88" s="283">
        <f t="shared" si="24"/>
        <v>0</v>
      </c>
      <c r="AW88" s="320">
        <f t="shared" si="25"/>
        <v>5879.6</v>
      </c>
    </row>
    <row r="89" spans="1:49" x14ac:dyDescent="0.2">
      <c r="A89" s="1" t="s">
        <v>604</v>
      </c>
      <c r="B89" s="7">
        <v>15592</v>
      </c>
      <c r="C89" s="7">
        <v>0</v>
      </c>
      <c r="D89" s="2">
        <f>(B89+C89)*0.124-739.05</f>
        <v>1194.3599999999999</v>
      </c>
      <c r="E89" s="2">
        <f>(B89+C89)*0.049-291.94</f>
        <v>472.07</v>
      </c>
      <c r="F89" s="78">
        <f>(B89+C89)*0.0524-311.9</f>
        <v>505.12</v>
      </c>
      <c r="G89" s="2">
        <f t="shared" si="3"/>
        <v>849.73</v>
      </c>
      <c r="H89" s="2">
        <f>(B89+C89)*0.0098-58.38</f>
        <v>94.42</v>
      </c>
      <c r="I89" s="2">
        <v>0</v>
      </c>
      <c r="J89" s="376">
        <f t="shared" si="6"/>
        <v>3115.7</v>
      </c>
      <c r="K89" s="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>
        <v>15592</v>
      </c>
      <c r="AC89" s="7"/>
      <c r="AD89" s="7">
        <f>SUM(L89:AC89)</f>
        <v>15592</v>
      </c>
      <c r="AE89" s="1"/>
      <c r="AF89" s="283">
        <f t="shared" si="8"/>
        <v>0</v>
      </c>
      <c r="AG89" s="283">
        <f t="shared" si="9"/>
        <v>0</v>
      </c>
      <c r="AH89" s="283">
        <f t="shared" si="10"/>
        <v>0</v>
      </c>
      <c r="AI89" s="283">
        <f t="shared" si="11"/>
        <v>0</v>
      </c>
      <c r="AJ89" s="283">
        <f t="shared" si="12"/>
        <v>0</v>
      </c>
      <c r="AK89" s="283">
        <f t="shared" si="13"/>
        <v>0</v>
      </c>
      <c r="AL89" s="283">
        <f t="shared" si="14"/>
        <v>0</v>
      </c>
      <c r="AM89" s="283">
        <f t="shared" si="15"/>
        <v>0</v>
      </c>
      <c r="AN89" s="283">
        <f t="shared" si="16"/>
        <v>0</v>
      </c>
      <c r="AO89" s="283">
        <f t="shared" si="17"/>
        <v>0</v>
      </c>
      <c r="AP89" s="283">
        <f t="shared" si="18"/>
        <v>0</v>
      </c>
      <c r="AQ89" s="283">
        <f t="shared" si="19"/>
        <v>0</v>
      </c>
      <c r="AR89" s="283">
        <f t="shared" si="20"/>
        <v>0</v>
      </c>
      <c r="AS89" s="283">
        <f t="shared" si="21"/>
        <v>0</v>
      </c>
      <c r="AT89" s="283">
        <f t="shared" si="22"/>
        <v>0</v>
      </c>
      <c r="AU89" s="283">
        <f>+AB89*$AU$12-525.48</f>
        <v>849.73</v>
      </c>
      <c r="AV89" s="283">
        <f t="shared" si="24"/>
        <v>0</v>
      </c>
      <c r="AW89" s="320">
        <f t="shared" si="25"/>
        <v>849.73</v>
      </c>
    </row>
    <row r="90" spans="1:49" s="20" customFormat="1" x14ac:dyDescent="0.2">
      <c r="A90" s="18" t="s">
        <v>440</v>
      </c>
      <c r="B90" s="246">
        <v>1158874</v>
      </c>
      <c r="C90" s="246">
        <v>0</v>
      </c>
      <c r="D90" s="2">
        <f>(B90+C90)*0.124-0.01</f>
        <v>143700.37</v>
      </c>
      <c r="E90" s="2">
        <f t="shared" si="44"/>
        <v>56784.83</v>
      </c>
      <c r="F90" s="78">
        <f t="shared" si="38"/>
        <v>60725</v>
      </c>
      <c r="G90" s="2">
        <f t="shared" si="3"/>
        <v>102212.68</v>
      </c>
      <c r="H90" s="2">
        <f>(B90+C90)*0.0098-0.01</f>
        <v>11356.96</v>
      </c>
      <c r="I90" s="2">
        <f t="shared" si="5"/>
        <v>3861.52</v>
      </c>
      <c r="J90" s="376">
        <f t="shared" ref="J90:J118" si="46">SUM(D90:I90)</f>
        <v>378641.36</v>
      </c>
      <c r="K90" s="18"/>
      <c r="L90" s="246"/>
      <c r="M90" s="246">
        <v>222043</v>
      </c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>
        <v>936831</v>
      </c>
      <c r="AC90" s="246"/>
      <c r="AD90" s="7">
        <f t="shared" si="45"/>
        <v>1158874</v>
      </c>
      <c r="AE90" s="18"/>
      <c r="AF90" s="283">
        <f t="shared" si="8"/>
        <v>19584.189999999999</v>
      </c>
      <c r="AG90" s="283">
        <f t="shared" si="9"/>
        <v>0</v>
      </c>
      <c r="AH90" s="283">
        <f t="shared" si="10"/>
        <v>0</v>
      </c>
      <c r="AI90" s="283">
        <f t="shared" si="11"/>
        <v>0</v>
      </c>
      <c r="AJ90" s="283">
        <f t="shared" si="12"/>
        <v>0</v>
      </c>
      <c r="AK90" s="283">
        <f t="shared" si="13"/>
        <v>0</v>
      </c>
      <c r="AL90" s="283">
        <f t="shared" si="14"/>
        <v>0</v>
      </c>
      <c r="AM90" s="283">
        <f t="shared" si="15"/>
        <v>0</v>
      </c>
      <c r="AN90" s="283">
        <f t="shared" si="16"/>
        <v>0</v>
      </c>
      <c r="AO90" s="283">
        <f t="shared" si="17"/>
        <v>0</v>
      </c>
      <c r="AP90" s="283">
        <f t="shared" si="18"/>
        <v>0</v>
      </c>
      <c r="AQ90" s="283">
        <f t="shared" si="19"/>
        <v>0</v>
      </c>
      <c r="AR90" s="283">
        <f t="shared" si="20"/>
        <v>0</v>
      </c>
      <c r="AS90" s="283">
        <f t="shared" si="21"/>
        <v>0</v>
      </c>
      <c r="AT90" s="283">
        <f t="shared" si="22"/>
        <v>0</v>
      </c>
      <c r="AU90" s="283">
        <f t="shared" si="23"/>
        <v>82628.490000000005</v>
      </c>
      <c r="AV90" s="283">
        <f t="shared" si="24"/>
        <v>0</v>
      </c>
      <c r="AW90" s="320">
        <f t="shared" si="25"/>
        <v>102212.68</v>
      </c>
    </row>
    <row r="91" spans="1:49" s="20" customFormat="1" x14ac:dyDescent="0.2">
      <c r="A91" s="18" t="s">
        <v>59</v>
      </c>
      <c r="B91" s="246">
        <v>5660357</v>
      </c>
      <c r="C91" s="246">
        <v>2504375</v>
      </c>
      <c r="D91" s="2">
        <f>(B91+C91)*0.124-0.02</f>
        <v>1012426.75</v>
      </c>
      <c r="E91" s="78">
        <f t="shared" ref="E91:E97" si="47">(B91+C91)*0.049</f>
        <v>400071.87</v>
      </c>
      <c r="F91" s="78">
        <f t="shared" si="38"/>
        <v>427831.96</v>
      </c>
      <c r="G91" s="2">
        <f t="shared" ref="G91:G122" si="48">+AW91</f>
        <v>695574.48</v>
      </c>
      <c r="H91" s="2">
        <f>(B91+C91)*0.0098+0.01</f>
        <v>80014.38</v>
      </c>
      <c r="I91" s="2">
        <f t="shared" ref="I91:I122" si="49">(AB91)*0.0041219</f>
        <v>0</v>
      </c>
      <c r="J91" s="376">
        <f t="shared" si="46"/>
        <v>2615919.44</v>
      </c>
      <c r="K91" s="18"/>
      <c r="L91" s="246"/>
      <c r="M91" s="246"/>
      <c r="N91" s="246"/>
      <c r="O91" s="246">
        <v>7661915</v>
      </c>
      <c r="P91" s="246"/>
      <c r="Q91" s="246"/>
      <c r="R91" s="246">
        <v>7258</v>
      </c>
      <c r="S91" s="246"/>
      <c r="T91" s="246"/>
      <c r="U91" s="246">
        <v>1697</v>
      </c>
      <c r="V91" s="246">
        <v>6941</v>
      </c>
      <c r="W91" s="246"/>
      <c r="X91" s="246"/>
      <c r="Y91" s="246">
        <v>486921</v>
      </c>
      <c r="Z91" s="246"/>
      <c r="AA91" s="246"/>
      <c r="AB91" s="246"/>
      <c r="AC91" s="246"/>
      <c r="AD91" s="246">
        <f t="shared" si="45"/>
        <v>8164732</v>
      </c>
      <c r="AE91" s="246"/>
      <c r="AF91" s="283">
        <f t="shared" ref="AF91:AF122" si="50">+M91*$AF$12</f>
        <v>0</v>
      </c>
      <c r="AG91" s="283">
        <f t="shared" ref="AG91:AG122" si="51">+N91*$AG$12</f>
        <v>0</v>
      </c>
      <c r="AH91" s="283">
        <f t="shared" ref="AH91:AH122" si="52">+O91*$AH$12</f>
        <v>675780.9</v>
      </c>
      <c r="AI91" s="283">
        <f t="shared" ref="AI91:AI122" si="53">+P91*$AI$12</f>
        <v>0</v>
      </c>
      <c r="AJ91" s="283">
        <f t="shared" ref="AJ91:AJ122" si="54">+Q91*$AJ$12</f>
        <v>0</v>
      </c>
      <c r="AK91" s="283">
        <f t="shared" ref="AK91:AK122" si="55">+R91*$AK$12</f>
        <v>284.51</v>
      </c>
      <c r="AL91" s="283">
        <f t="shared" ref="AL91:AL122" si="56">+S91*$AL$12</f>
        <v>0</v>
      </c>
      <c r="AM91" s="283">
        <f t="shared" ref="AM91:AM122" si="57">+T91*$AM$12</f>
        <v>0</v>
      </c>
      <c r="AN91" s="283">
        <f t="shared" ref="AN91:AN122" si="58">+U91*$AN$12</f>
        <v>149.68</v>
      </c>
      <c r="AO91" s="283">
        <f t="shared" ref="AO91:AO122" si="59">+V91*$AO$12</f>
        <v>272.08999999999997</v>
      </c>
      <c r="AP91" s="283">
        <f t="shared" ref="AP91:AP122" si="60">+W91*$AP$12</f>
        <v>0</v>
      </c>
      <c r="AQ91" s="283">
        <f t="shared" ref="AQ91:AQ122" si="61">+X91*$AQ$12</f>
        <v>0</v>
      </c>
      <c r="AR91" s="283">
        <f t="shared" ref="AR91:AR122" si="62">+Y91*$AR$12</f>
        <v>19087.3</v>
      </c>
      <c r="AS91" s="283">
        <f t="shared" ref="AS91:AS122" si="63">+Z91*$AS$12</f>
        <v>0</v>
      </c>
      <c r="AT91" s="283">
        <f t="shared" ref="AT91:AT122" si="64">+AA91*$AT$12</f>
        <v>0</v>
      </c>
      <c r="AU91" s="283">
        <f t="shared" ref="AU91:AU122" si="65">+AB91*$AU$12</f>
        <v>0</v>
      </c>
      <c r="AV91" s="283">
        <f t="shared" ref="AV91:AV122" si="66">+AC91*$AV$12</f>
        <v>0</v>
      </c>
      <c r="AW91" s="320">
        <f t="shared" ref="AW91:AW122" si="67">SUM(AF91:AV91)</f>
        <v>695574.48</v>
      </c>
    </row>
    <row r="92" spans="1:49" x14ac:dyDescent="0.2">
      <c r="A92" s="1" t="s">
        <v>60</v>
      </c>
      <c r="B92" s="7">
        <v>458650</v>
      </c>
      <c r="C92" s="7">
        <v>0</v>
      </c>
      <c r="D92" s="2">
        <f>(B92+C92)*0.124+0.01</f>
        <v>56872.61</v>
      </c>
      <c r="E92" s="78">
        <f t="shared" si="47"/>
        <v>22473.85</v>
      </c>
      <c r="F92" s="78">
        <f t="shared" si="38"/>
        <v>24033.26</v>
      </c>
      <c r="G92" s="2">
        <f t="shared" si="48"/>
        <v>32730.18</v>
      </c>
      <c r="H92" s="2">
        <f t="shared" si="4"/>
        <v>4494.7700000000004</v>
      </c>
      <c r="I92" s="2">
        <f t="shared" si="49"/>
        <v>0</v>
      </c>
      <c r="J92" s="376">
        <f t="shared" si="46"/>
        <v>140604.67000000001</v>
      </c>
      <c r="K92" s="1"/>
      <c r="L92" s="7"/>
      <c r="M92" s="7"/>
      <c r="N92" s="7"/>
      <c r="O92" s="7"/>
      <c r="P92" s="7"/>
      <c r="Q92" s="7">
        <v>97473</v>
      </c>
      <c r="R92" s="7"/>
      <c r="S92" s="7"/>
      <c r="T92" s="7">
        <v>12083</v>
      </c>
      <c r="U92" s="7"/>
      <c r="V92" s="7">
        <v>60134</v>
      </c>
      <c r="W92" s="7"/>
      <c r="X92" s="7"/>
      <c r="Y92" s="7"/>
      <c r="Z92" s="7"/>
      <c r="AA92" s="7"/>
      <c r="AB92" s="7"/>
      <c r="AC92" s="7">
        <v>288960</v>
      </c>
      <c r="AD92" s="7">
        <f t="shared" si="45"/>
        <v>458650</v>
      </c>
      <c r="AE92" s="7"/>
      <c r="AF92" s="283">
        <f t="shared" si="50"/>
        <v>0</v>
      </c>
      <c r="AG92" s="283">
        <f t="shared" si="51"/>
        <v>0</v>
      </c>
      <c r="AH92" s="283">
        <f t="shared" si="52"/>
        <v>0</v>
      </c>
      <c r="AI92" s="283">
        <f t="shared" si="53"/>
        <v>0</v>
      </c>
      <c r="AJ92" s="283">
        <f t="shared" si="54"/>
        <v>3820.94</v>
      </c>
      <c r="AK92" s="283">
        <f t="shared" si="55"/>
        <v>0</v>
      </c>
      <c r="AL92" s="283">
        <f t="shared" si="56"/>
        <v>0</v>
      </c>
      <c r="AM92" s="283">
        <f t="shared" si="57"/>
        <v>1065.72</v>
      </c>
      <c r="AN92" s="283">
        <f t="shared" si="58"/>
        <v>0</v>
      </c>
      <c r="AO92" s="283">
        <f t="shared" si="59"/>
        <v>2357.25</v>
      </c>
      <c r="AP92" s="283">
        <f t="shared" si="60"/>
        <v>0</v>
      </c>
      <c r="AQ92" s="283">
        <f t="shared" si="61"/>
        <v>0</v>
      </c>
      <c r="AR92" s="283">
        <f t="shared" si="62"/>
        <v>0</v>
      </c>
      <c r="AS92" s="283">
        <f t="shared" si="63"/>
        <v>0</v>
      </c>
      <c r="AT92" s="283">
        <f t="shared" si="64"/>
        <v>0</v>
      </c>
      <c r="AU92" s="283">
        <f t="shared" si="65"/>
        <v>0</v>
      </c>
      <c r="AV92" s="283">
        <f t="shared" si="66"/>
        <v>25486.27</v>
      </c>
      <c r="AW92" s="320">
        <f t="shared" si="67"/>
        <v>32730.18</v>
      </c>
    </row>
    <row r="93" spans="1:49" ht="13.5" customHeight="1" x14ac:dyDescent="0.2">
      <c r="A93" s="1" t="s">
        <v>461</v>
      </c>
      <c r="B93" s="7">
        <v>11200</v>
      </c>
      <c r="C93" s="7">
        <v>0</v>
      </c>
      <c r="D93" s="2">
        <f>(B93+C93)*0.124</f>
        <v>1388.8</v>
      </c>
      <c r="E93" s="78">
        <f t="shared" si="47"/>
        <v>548.79999999999995</v>
      </c>
      <c r="F93" s="78">
        <f t="shared" si="38"/>
        <v>586.88</v>
      </c>
      <c r="G93" s="2">
        <f t="shared" si="48"/>
        <v>987.84</v>
      </c>
      <c r="H93" s="2">
        <f t="shared" si="4"/>
        <v>109.76</v>
      </c>
      <c r="I93" s="2">
        <f t="shared" si="49"/>
        <v>46.17</v>
      </c>
      <c r="J93" s="376">
        <f t="shared" si="46"/>
        <v>3668.25</v>
      </c>
      <c r="K93" s="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>
        <v>11200</v>
      </c>
      <c r="AC93" s="7"/>
      <c r="AD93" s="7">
        <f t="shared" si="45"/>
        <v>11200</v>
      </c>
      <c r="AE93" s="1"/>
      <c r="AF93" s="283">
        <f t="shared" si="50"/>
        <v>0</v>
      </c>
      <c r="AG93" s="283">
        <f t="shared" si="51"/>
        <v>0</v>
      </c>
      <c r="AH93" s="283">
        <f t="shared" si="52"/>
        <v>0</v>
      </c>
      <c r="AI93" s="283">
        <f t="shared" si="53"/>
        <v>0</v>
      </c>
      <c r="AJ93" s="283">
        <f t="shared" si="54"/>
        <v>0</v>
      </c>
      <c r="AK93" s="283">
        <f t="shared" si="55"/>
        <v>0</v>
      </c>
      <c r="AL93" s="283">
        <f t="shared" si="56"/>
        <v>0</v>
      </c>
      <c r="AM93" s="283">
        <f t="shared" si="57"/>
        <v>0</v>
      </c>
      <c r="AN93" s="283">
        <f t="shared" si="58"/>
        <v>0</v>
      </c>
      <c r="AO93" s="283">
        <f t="shared" si="59"/>
        <v>0</v>
      </c>
      <c r="AP93" s="283">
        <f t="shared" si="60"/>
        <v>0</v>
      </c>
      <c r="AQ93" s="283">
        <f t="shared" si="61"/>
        <v>0</v>
      </c>
      <c r="AR93" s="283">
        <f t="shared" si="62"/>
        <v>0</v>
      </c>
      <c r="AS93" s="283">
        <f t="shared" si="63"/>
        <v>0</v>
      </c>
      <c r="AT93" s="283">
        <f t="shared" si="64"/>
        <v>0</v>
      </c>
      <c r="AU93" s="283">
        <f t="shared" si="65"/>
        <v>987.84</v>
      </c>
      <c r="AV93" s="283">
        <f t="shared" si="66"/>
        <v>0</v>
      </c>
      <c r="AW93" s="320">
        <f t="shared" si="67"/>
        <v>987.84</v>
      </c>
    </row>
    <row r="94" spans="1:49" s="20" customFormat="1" x14ac:dyDescent="0.2">
      <c r="A94" s="18" t="s">
        <v>61</v>
      </c>
      <c r="B94" s="246">
        <v>2138859</v>
      </c>
      <c r="C94" s="246">
        <v>313681</v>
      </c>
      <c r="D94" s="2">
        <f>(B94+C94)*0.124</f>
        <v>304114.96000000002</v>
      </c>
      <c r="E94" s="78">
        <f t="shared" si="47"/>
        <v>120174.46</v>
      </c>
      <c r="F94" s="78">
        <f t="shared" si="38"/>
        <v>128513.1</v>
      </c>
      <c r="G94" s="2">
        <f t="shared" si="48"/>
        <v>212216.5</v>
      </c>
      <c r="H94" s="2">
        <f t="shared" si="4"/>
        <v>24034.89</v>
      </c>
      <c r="I94" s="2">
        <f t="shared" si="49"/>
        <v>1192.33</v>
      </c>
      <c r="J94" s="376">
        <f t="shared" si="46"/>
        <v>790246.24</v>
      </c>
      <c r="K94" s="18"/>
      <c r="L94" s="246"/>
      <c r="M94" s="246">
        <v>270137</v>
      </c>
      <c r="N94" s="246">
        <v>80363</v>
      </c>
      <c r="O94" s="246">
        <v>1575615</v>
      </c>
      <c r="P94" s="246">
        <v>67753</v>
      </c>
      <c r="Q94" s="246"/>
      <c r="R94" s="246">
        <v>8029</v>
      </c>
      <c r="S94" s="246"/>
      <c r="T94" s="246"/>
      <c r="U94" s="246"/>
      <c r="V94" s="246">
        <v>130</v>
      </c>
      <c r="W94" s="246">
        <v>128076</v>
      </c>
      <c r="X94" s="246">
        <v>6020</v>
      </c>
      <c r="Y94" s="246">
        <v>7711</v>
      </c>
      <c r="Z94" s="246">
        <v>19438</v>
      </c>
      <c r="AA94" s="246"/>
      <c r="AB94" s="246">
        <v>289268</v>
      </c>
      <c r="AC94" s="246"/>
      <c r="AD94" s="246">
        <f t="shared" si="45"/>
        <v>2452540</v>
      </c>
      <c r="AE94" s="18"/>
      <c r="AF94" s="283">
        <f t="shared" si="50"/>
        <v>23826.080000000002</v>
      </c>
      <c r="AG94" s="283">
        <f t="shared" si="51"/>
        <v>7088.02</v>
      </c>
      <c r="AH94" s="283">
        <f t="shared" si="52"/>
        <v>138969.24</v>
      </c>
      <c r="AI94" s="283">
        <f t="shared" si="53"/>
        <v>2655.92</v>
      </c>
      <c r="AJ94" s="283">
        <f t="shared" si="54"/>
        <v>0</v>
      </c>
      <c r="AK94" s="283">
        <f t="shared" si="55"/>
        <v>314.74</v>
      </c>
      <c r="AL94" s="283">
        <f t="shared" si="56"/>
        <v>0</v>
      </c>
      <c r="AM94" s="283">
        <f t="shared" si="57"/>
        <v>0</v>
      </c>
      <c r="AN94" s="283">
        <f t="shared" si="58"/>
        <v>0</v>
      </c>
      <c r="AO94" s="283">
        <f t="shared" si="59"/>
        <v>5.0999999999999996</v>
      </c>
      <c r="AP94" s="283">
        <f t="shared" si="60"/>
        <v>11296.3</v>
      </c>
      <c r="AQ94" s="283">
        <f t="shared" si="61"/>
        <v>530.96</v>
      </c>
      <c r="AR94" s="283">
        <f t="shared" si="62"/>
        <v>302.27</v>
      </c>
      <c r="AS94" s="283">
        <f t="shared" si="63"/>
        <v>1714.43</v>
      </c>
      <c r="AT94" s="283">
        <f t="shared" si="64"/>
        <v>0</v>
      </c>
      <c r="AU94" s="283">
        <f t="shared" si="65"/>
        <v>25513.439999999999</v>
      </c>
      <c r="AV94" s="283">
        <f t="shared" si="66"/>
        <v>0</v>
      </c>
      <c r="AW94" s="320">
        <f t="shared" si="67"/>
        <v>212216.5</v>
      </c>
    </row>
    <row r="95" spans="1:49" s="20" customFormat="1" x14ac:dyDescent="0.2">
      <c r="A95" s="1" t="s">
        <v>462</v>
      </c>
      <c r="B95" s="7">
        <v>67697</v>
      </c>
      <c r="C95" s="7">
        <v>0</v>
      </c>
      <c r="D95" s="2">
        <f>(B95+C95)*0.124+0.01</f>
        <v>8394.44</v>
      </c>
      <c r="E95" s="2">
        <f t="shared" si="47"/>
        <v>3317.15</v>
      </c>
      <c r="F95" s="78">
        <f t="shared" si="38"/>
        <v>3547.32</v>
      </c>
      <c r="G95" s="2">
        <f t="shared" si="48"/>
        <v>5930.3</v>
      </c>
      <c r="H95" s="2">
        <f t="shared" si="4"/>
        <v>663.43</v>
      </c>
      <c r="I95" s="2">
        <f t="shared" si="49"/>
        <v>6.78</v>
      </c>
      <c r="J95" s="376">
        <f t="shared" si="46"/>
        <v>21859.42</v>
      </c>
      <c r="K95" s="1"/>
      <c r="L95" s="7"/>
      <c r="M95" s="7"/>
      <c r="N95" s="7">
        <v>398</v>
      </c>
      <c r="O95" s="7"/>
      <c r="P95" s="7">
        <v>828</v>
      </c>
      <c r="Q95" s="7"/>
      <c r="R95" s="7"/>
      <c r="S95" s="7"/>
      <c r="T95" s="7"/>
      <c r="U95" s="7"/>
      <c r="V95" s="7"/>
      <c r="W95" s="7">
        <v>64754</v>
      </c>
      <c r="X95" s="7">
        <v>71</v>
      </c>
      <c r="Y95" s="7"/>
      <c r="Z95" s="7"/>
      <c r="AA95" s="7"/>
      <c r="AB95" s="7">
        <v>1646</v>
      </c>
      <c r="AC95" s="7"/>
      <c r="AD95" s="7">
        <f t="shared" si="45"/>
        <v>67697</v>
      </c>
      <c r="AE95" s="246"/>
      <c r="AF95" s="283">
        <f t="shared" si="50"/>
        <v>0</v>
      </c>
      <c r="AG95" s="283">
        <f t="shared" si="51"/>
        <v>35.1</v>
      </c>
      <c r="AH95" s="283">
        <f t="shared" si="52"/>
        <v>0</v>
      </c>
      <c r="AI95" s="283">
        <f t="shared" si="53"/>
        <v>32.46</v>
      </c>
      <c r="AJ95" s="283">
        <f t="shared" si="54"/>
        <v>0</v>
      </c>
      <c r="AK95" s="283">
        <f t="shared" si="55"/>
        <v>0</v>
      </c>
      <c r="AL95" s="283">
        <f t="shared" si="56"/>
        <v>0</v>
      </c>
      <c r="AM95" s="283">
        <f t="shared" si="57"/>
        <v>0</v>
      </c>
      <c r="AN95" s="283">
        <f t="shared" si="58"/>
        <v>0</v>
      </c>
      <c r="AO95" s="283">
        <f t="shared" si="59"/>
        <v>0</v>
      </c>
      <c r="AP95" s="283">
        <f t="shared" si="60"/>
        <v>5711.3</v>
      </c>
      <c r="AQ95" s="283">
        <f t="shared" si="61"/>
        <v>6.26</v>
      </c>
      <c r="AR95" s="283">
        <f t="shared" si="62"/>
        <v>0</v>
      </c>
      <c r="AS95" s="283">
        <f t="shared" si="63"/>
        <v>0</v>
      </c>
      <c r="AT95" s="283">
        <f t="shared" si="64"/>
        <v>0</v>
      </c>
      <c r="AU95" s="283">
        <f t="shared" si="65"/>
        <v>145.18</v>
      </c>
      <c r="AV95" s="283">
        <f t="shared" si="66"/>
        <v>0</v>
      </c>
      <c r="AW95" s="320">
        <f t="shared" si="67"/>
        <v>5930.3</v>
      </c>
    </row>
    <row r="96" spans="1:49" s="20" customFormat="1" x14ac:dyDescent="0.2">
      <c r="A96" s="18" t="s">
        <v>62</v>
      </c>
      <c r="B96" s="246">
        <v>48442</v>
      </c>
      <c r="C96" s="246">
        <v>0</v>
      </c>
      <c r="D96" s="2">
        <f>(B96+C96)*0.124</f>
        <v>6006.81</v>
      </c>
      <c r="E96" s="78">
        <f t="shared" si="47"/>
        <v>2373.66</v>
      </c>
      <c r="F96" s="78">
        <f t="shared" si="38"/>
        <v>2538.36</v>
      </c>
      <c r="G96" s="2">
        <f t="shared" si="48"/>
        <v>4272.58</v>
      </c>
      <c r="H96" s="2">
        <f t="shared" si="4"/>
        <v>474.73</v>
      </c>
      <c r="I96" s="2">
        <f t="shared" si="49"/>
        <v>0</v>
      </c>
      <c r="J96" s="376">
        <f t="shared" si="46"/>
        <v>15666.14</v>
      </c>
      <c r="K96" s="18"/>
      <c r="L96" s="246"/>
      <c r="M96" s="246"/>
      <c r="N96" s="246"/>
      <c r="O96" s="246"/>
      <c r="P96" s="246"/>
      <c r="Q96" s="246"/>
      <c r="R96" s="246"/>
      <c r="S96" s="246"/>
      <c r="T96" s="246">
        <v>46639</v>
      </c>
      <c r="U96" s="246"/>
      <c r="V96" s="246"/>
      <c r="W96" s="246"/>
      <c r="X96" s="246"/>
      <c r="Y96" s="246"/>
      <c r="Z96" s="246">
        <v>1803</v>
      </c>
      <c r="AA96" s="246"/>
      <c r="AB96" s="246"/>
      <c r="AC96" s="246"/>
      <c r="AD96" s="246">
        <f t="shared" si="45"/>
        <v>48442</v>
      </c>
      <c r="AE96" s="246"/>
      <c r="AF96" s="283">
        <f t="shared" si="50"/>
        <v>0</v>
      </c>
      <c r="AG96" s="283">
        <f t="shared" si="51"/>
        <v>0</v>
      </c>
      <c r="AH96" s="283">
        <f t="shared" si="52"/>
        <v>0</v>
      </c>
      <c r="AI96" s="283">
        <f t="shared" si="53"/>
        <v>0</v>
      </c>
      <c r="AJ96" s="283">
        <f t="shared" si="54"/>
        <v>0</v>
      </c>
      <c r="AK96" s="283">
        <f t="shared" si="55"/>
        <v>0</v>
      </c>
      <c r="AL96" s="283">
        <f t="shared" si="56"/>
        <v>0</v>
      </c>
      <c r="AM96" s="283">
        <f t="shared" si="57"/>
        <v>4113.5600000000004</v>
      </c>
      <c r="AN96" s="283">
        <f t="shared" si="58"/>
        <v>0</v>
      </c>
      <c r="AO96" s="283">
        <f t="shared" si="59"/>
        <v>0</v>
      </c>
      <c r="AP96" s="283">
        <f t="shared" si="60"/>
        <v>0</v>
      </c>
      <c r="AQ96" s="283">
        <f t="shared" si="61"/>
        <v>0</v>
      </c>
      <c r="AR96" s="283">
        <f t="shared" si="62"/>
        <v>0</v>
      </c>
      <c r="AS96" s="283">
        <f t="shared" si="63"/>
        <v>159.02000000000001</v>
      </c>
      <c r="AT96" s="283">
        <f t="shared" si="64"/>
        <v>0</v>
      </c>
      <c r="AU96" s="283">
        <f t="shared" si="65"/>
        <v>0</v>
      </c>
      <c r="AV96" s="283">
        <f t="shared" si="66"/>
        <v>0</v>
      </c>
      <c r="AW96" s="320">
        <f t="shared" si="67"/>
        <v>4272.58</v>
      </c>
    </row>
    <row r="97" spans="1:49" x14ac:dyDescent="0.2">
      <c r="A97" s="1" t="s">
        <v>63</v>
      </c>
      <c r="B97" s="7">
        <v>5048</v>
      </c>
      <c r="C97" s="7">
        <v>0</v>
      </c>
      <c r="D97" s="2">
        <f>(B97+C97)*0.124</f>
        <v>625.95000000000005</v>
      </c>
      <c r="E97" s="2">
        <f t="shared" si="47"/>
        <v>247.35</v>
      </c>
      <c r="F97" s="78">
        <f t="shared" si="38"/>
        <v>264.52</v>
      </c>
      <c r="G97" s="2">
        <f t="shared" si="48"/>
        <v>445.23</v>
      </c>
      <c r="H97" s="2">
        <f t="shared" si="4"/>
        <v>49.47</v>
      </c>
      <c r="I97" s="2">
        <f t="shared" si="49"/>
        <v>0</v>
      </c>
      <c r="J97" s="376">
        <f t="shared" si="46"/>
        <v>1632.52</v>
      </c>
      <c r="K97" s="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>
        <v>5048</v>
      </c>
      <c r="AD97" s="7">
        <f t="shared" si="45"/>
        <v>5048</v>
      </c>
      <c r="AE97" s="7"/>
      <c r="AF97" s="283">
        <f t="shared" si="50"/>
        <v>0</v>
      </c>
      <c r="AG97" s="283">
        <f t="shared" si="51"/>
        <v>0</v>
      </c>
      <c r="AH97" s="283">
        <f t="shared" si="52"/>
        <v>0</v>
      </c>
      <c r="AI97" s="283">
        <f t="shared" si="53"/>
        <v>0</v>
      </c>
      <c r="AJ97" s="283">
        <f t="shared" si="54"/>
        <v>0</v>
      </c>
      <c r="AK97" s="283">
        <f t="shared" si="55"/>
        <v>0</v>
      </c>
      <c r="AL97" s="283">
        <f t="shared" si="56"/>
        <v>0</v>
      </c>
      <c r="AM97" s="283">
        <f t="shared" si="57"/>
        <v>0</v>
      </c>
      <c r="AN97" s="283">
        <f t="shared" si="58"/>
        <v>0</v>
      </c>
      <c r="AO97" s="283">
        <f t="shared" si="59"/>
        <v>0</v>
      </c>
      <c r="AP97" s="283">
        <f t="shared" si="60"/>
        <v>0</v>
      </c>
      <c r="AQ97" s="283">
        <f t="shared" si="61"/>
        <v>0</v>
      </c>
      <c r="AR97" s="283">
        <f t="shared" si="62"/>
        <v>0</v>
      </c>
      <c r="AS97" s="283">
        <f t="shared" si="63"/>
        <v>0</v>
      </c>
      <c r="AT97" s="283">
        <f t="shared" si="64"/>
        <v>0</v>
      </c>
      <c r="AU97" s="283">
        <f t="shared" si="65"/>
        <v>0</v>
      </c>
      <c r="AV97" s="283">
        <f t="shared" si="66"/>
        <v>445.23</v>
      </c>
      <c r="AW97" s="320">
        <f t="shared" si="67"/>
        <v>445.23</v>
      </c>
    </row>
    <row r="98" spans="1:49" x14ac:dyDescent="0.2">
      <c r="A98" s="1" t="s">
        <v>64</v>
      </c>
      <c r="B98" s="7">
        <v>25332</v>
      </c>
      <c r="C98" s="7">
        <v>0</v>
      </c>
      <c r="D98" s="2">
        <f>(B98+C98)*0.124-0.02</f>
        <v>3141.15</v>
      </c>
      <c r="E98" s="2">
        <f t="shared" ref="E98:E105" si="68">(B98+C98)*0.049</f>
        <v>1241.27</v>
      </c>
      <c r="F98" s="78">
        <f t="shared" si="38"/>
        <v>1327.4</v>
      </c>
      <c r="G98" s="2">
        <f t="shared" si="48"/>
        <v>2234.29</v>
      </c>
      <c r="H98" s="2">
        <f>(B98+C98)*0.0098+0.01</f>
        <v>248.26</v>
      </c>
      <c r="I98" s="2">
        <f t="shared" si="49"/>
        <v>0</v>
      </c>
      <c r="J98" s="376">
        <f t="shared" si="46"/>
        <v>8192.3700000000008</v>
      </c>
      <c r="K98" s="1"/>
      <c r="L98" s="7"/>
      <c r="M98" s="7"/>
      <c r="N98" s="7"/>
      <c r="O98" s="7"/>
      <c r="P98" s="7"/>
      <c r="Q98" s="7"/>
      <c r="R98" s="7"/>
      <c r="S98" s="7"/>
      <c r="T98" s="7">
        <v>23269</v>
      </c>
      <c r="U98" s="7"/>
      <c r="V98" s="7"/>
      <c r="W98" s="7"/>
      <c r="X98" s="7"/>
      <c r="Y98" s="7"/>
      <c r="Z98" s="7">
        <v>2063</v>
      </c>
      <c r="AA98" s="7"/>
      <c r="AB98" s="7"/>
      <c r="AC98" s="7"/>
      <c r="AD98" s="7">
        <f t="shared" si="45"/>
        <v>25332</v>
      </c>
      <c r="AE98" s="7"/>
      <c r="AF98" s="283">
        <f t="shared" si="50"/>
        <v>0</v>
      </c>
      <c r="AG98" s="283">
        <f t="shared" si="51"/>
        <v>0</v>
      </c>
      <c r="AH98" s="283">
        <f t="shared" si="52"/>
        <v>0</v>
      </c>
      <c r="AI98" s="283">
        <f t="shared" si="53"/>
        <v>0</v>
      </c>
      <c r="AJ98" s="283">
        <f t="shared" si="54"/>
        <v>0</v>
      </c>
      <c r="AK98" s="283">
        <f t="shared" si="55"/>
        <v>0</v>
      </c>
      <c r="AL98" s="283">
        <f t="shared" si="56"/>
        <v>0</v>
      </c>
      <c r="AM98" s="283">
        <f t="shared" si="57"/>
        <v>2052.33</v>
      </c>
      <c r="AN98" s="283">
        <f t="shared" si="58"/>
        <v>0</v>
      </c>
      <c r="AO98" s="283">
        <f t="shared" si="59"/>
        <v>0</v>
      </c>
      <c r="AP98" s="283">
        <f t="shared" si="60"/>
        <v>0</v>
      </c>
      <c r="AQ98" s="283">
        <f t="shared" si="61"/>
        <v>0</v>
      </c>
      <c r="AR98" s="283">
        <f t="shared" si="62"/>
        <v>0</v>
      </c>
      <c r="AS98" s="283">
        <f t="shared" si="63"/>
        <v>181.96</v>
      </c>
      <c r="AT98" s="283">
        <f t="shared" si="64"/>
        <v>0</v>
      </c>
      <c r="AU98" s="283">
        <f t="shared" si="65"/>
        <v>0</v>
      </c>
      <c r="AV98" s="283">
        <f t="shared" si="66"/>
        <v>0</v>
      </c>
      <c r="AW98" s="320">
        <f t="shared" si="67"/>
        <v>2234.29</v>
      </c>
    </row>
    <row r="99" spans="1:49" s="20" customFormat="1" x14ac:dyDescent="0.2">
      <c r="A99" s="18" t="s">
        <v>721</v>
      </c>
      <c r="B99" s="246">
        <v>380725</v>
      </c>
      <c r="C99" s="246">
        <v>0</v>
      </c>
      <c r="D99" s="2">
        <f>(B99+C99)*0.124-0.02</f>
        <v>47209.88</v>
      </c>
      <c r="E99" s="78">
        <f>(B99+C99)*0.049</f>
        <v>18655.53</v>
      </c>
      <c r="F99" s="78">
        <f>(B99+C99)*0.0524</f>
        <v>19949.990000000002</v>
      </c>
      <c r="G99" s="2">
        <f>+AW99</f>
        <v>33579.949999999997</v>
      </c>
      <c r="H99" s="2">
        <f>(B99+C99)*0.0098</f>
        <v>3731.11</v>
      </c>
      <c r="I99" s="2">
        <f>(AB99)*0.0041219</f>
        <v>1569.31</v>
      </c>
      <c r="J99" s="376">
        <f>SUM(D99:I99)</f>
        <v>124695.77</v>
      </c>
      <c r="K99" s="18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>
        <v>380725</v>
      </c>
      <c r="AC99" s="246"/>
      <c r="AD99" s="246">
        <f t="shared" si="45"/>
        <v>380725</v>
      </c>
      <c r="AE99" s="246"/>
      <c r="AF99" s="283">
        <f>+M99*$AF$12</f>
        <v>0</v>
      </c>
      <c r="AG99" s="283">
        <f>+N99*$AG$12</f>
        <v>0</v>
      </c>
      <c r="AH99" s="283">
        <f>+O99*$AH$12</f>
        <v>0</v>
      </c>
      <c r="AI99" s="283">
        <f>+P99*$AI$12</f>
        <v>0</v>
      </c>
      <c r="AJ99" s="283">
        <f>+Q99*$AJ$12</f>
        <v>0</v>
      </c>
      <c r="AK99" s="283">
        <f>+R99*$AK$12</f>
        <v>0</v>
      </c>
      <c r="AL99" s="283">
        <f>+S99*$AL$12</f>
        <v>0</v>
      </c>
      <c r="AM99" s="283">
        <f>+T99*$AM$12</f>
        <v>0</v>
      </c>
      <c r="AN99" s="283">
        <f>+U99*$AN$12</f>
        <v>0</v>
      </c>
      <c r="AO99" s="283">
        <f>+V99*$AO$12</f>
        <v>0</v>
      </c>
      <c r="AP99" s="283">
        <f>+W99*$AP$12</f>
        <v>0</v>
      </c>
      <c r="AQ99" s="283">
        <f>+X99*$AQ$12</f>
        <v>0</v>
      </c>
      <c r="AR99" s="283">
        <f>+Y99*$AR$12</f>
        <v>0</v>
      </c>
      <c r="AS99" s="283">
        <f>+Z99*$AS$12</f>
        <v>0</v>
      </c>
      <c r="AT99" s="283">
        <f>+AA99*$AT$12</f>
        <v>0</v>
      </c>
      <c r="AU99" s="283">
        <f>+AB99*$AU$12</f>
        <v>33579.949999999997</v>
      </c>
      <c r="AV99" s="283">
        <f>+AC99*$AV$12</f>
        <v>0</v>
      </c>
      <c r="AW99" s="320">
        <f>SUM(AF99:AV99)</f>
        <v>33579.949999999997</v>
      </c>
    </row>
    <row r="100" spans="1:49" s="20" customFormat="1" x14ac:dyDescent="0.2">
      <c r="A100" s="18" t="s">
        <v>65</v>
      </c>
      <c r="B100" s="246">
        <v>2622</v>
      </c>
      <c r="C100" s="246">
        <v>0</v>
      </c>
      <c r="D100" s="2">
        <f>(B100+C100)*0.124-0.01</f>
        <v>325.12</v>
      </c>
      <c r="E100" s="78">
        <f t="shared" si="68"/>
        <v>128.47999999999999</v>
      </c>
      <c r="F100" s="78">
        <f t="shared" si="38"/>
        <v>137.38999999999999</v>
      </c>
      <c r="G100" s="2">
        <f t="shared" si="48"/>
        <v>231.26</v>
      </c>
      <c r="H100" s="2">
        <f t="shared" ref="H100:H122" si="69">(B100+C100)*0.0098</f>
        <v>25.7</v>
      </c>
      <c r="I100" s="2">
        <f t="shared" si="49"/>
        <v>0</v>
      </c>
      <c r="J100" s="376">
        <f t="shared" si="46"/>
        <v>847.95</v>
      </c>
      <c r="K100" s="18"/>
      <c r="L100" s="246"/>
      <c r="M100" s="246"/>
      <c r="N100" s="246"/>
      <c r="O100" s="246">
        <v>2622</v>
      </c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>
        <f t="shared" ref="AD100:AD105" si="70">SUM(L100:AC100)</f>
        <v>2622</v>
      </c>
      <c r="AE100" s="246"/>
      <c r="AF100" s="283">
        <f t="shared" si="50"/>
        <v>0</v>
      </c>
      <c r="AG100" s="283">
        <f t="shared" si="51"/>
        <v>0</v>
      </c>
      <c r="AH100" s="283">
        <f t="shared" si="52"/>
        <v>231.26</v>
      </c>
      <c r="AI100" s="283">
        <f t="shared" si="53"/>
        <v>0</v>
      </c>
      <c r="AJ100" s="283">
        <f t="shared" si="54"/>
        <v>0</v>
      </c>
      <c r="AK100" s="283">
        <f t="shared" si="55"/>
        <v>0</v>
      </c>
      <c r="AL100" s="283">
        <f t="shared" si="56"/>
        <v>0</v>
      </c>
      <c r="AM100" s="283">
        <f t="shared" si="57"/>
        <v>0</v>
      </c>
      <c r="AN100" s="283">
        <f t="shared" si="58"/>
        <v>0</v>
      </c>
      <c r="AO100" s="283">
        <f t="shared" si="59"/>
        <v>0</v>
      </c>
      <c r="AP100" s="283">
        <f t="shared" si="60"/>
        <v>0</v>
      </c>
      <c r="AQ100" s="283">
        <f t="shared" si="61"/>
        <v>0</v>
      </c>
      <c r="AR100" s="283">
        <f t="shared" si="62"/>
        <v>0</v>
      </c>
      <c r="AS100" s="283">
        <f t="shared" si="63"/>
        <v>0</v>
      </c>
      <c r="AT100" s="283">
        <f t="shared" si="64"/>
        <v>0</v>
      </c>
      <c r="AU100" s="283">
        <f t="shared" si="65"/>
        <v>0</v>
      </c>
      <c r="AV100" s="283">
        <f t="shared" si="66"/>
        <v>0</v>
      </c>
      <c r="AW100" s="320">
        <f t="shared" si="67"/>
        <v>231.26</v>
      </c>
    </row>
    <row r="101" spans="1:49" s="20" customFormat="1" x14ac:dyDescent="0.2">
      <c r="A101" s="18" t="s">
        <v>569</v>
      </c>
      <c r="B101" s="246">
        <v>31275</v>
      </c>
      <c r="C101" s="246">
        <v>0</v>
      </c>
      <c r="D101" s="2">
        <f>(B101+C101)*0.124-0.01</f>
        <v>3878.09</v>
      </c>
      <c r="E101" s="78">
        <f t="shared" si="68"/>
        <v>1532.48</v>
      </c>
      <c r="F101" s="78">
        <f t="shared" ref="F101:F107" si="71">(B101+C101)*0.0524</f>
        <v>1638.81</v>
      </c>
      <c r="G101" s="2">
        <f t="shared" si="48"/>
        <v>1225.98</v>
      </c>
      <c r="H101" s="2">
        <f t="shared" si="69"/>
        <v>306.5</v>
      </c>
      <c r="I101" s="2">
        <f t="shared" si="49"/>
        <v>0</v>
      </c>
      <c r="J101" s="376">
        <f t="shared" si="46"/>
        <v>8581.86</v>
      </c>
      <c r="K101" s="18"/>
      <c r="L101" s="246"/>
      <c r="M101" s="246"/>
      <c r="N101" s="246"/>
      <c r="O101" s="246"/>
      <c r="P101" s="246"/>
      <c r="Q101" s="246"/>
      <c r="R101" s="246"/>
      <c r="S101" s="246">
        <v>31275</v>
      </c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>
        <f t="shared" si="70"/>
        <v>31275</v>
      </c>
      <c r="AE101" s="18"/>
      <c r="AF101" s="283">
        <f t="shared" si="50"/>
        <v>0</v>
      </c>
      <c r="AG101" s="283">
        <f t="shared" si="51"/>
        <v>0</v>
      </c>
      <c r="AH101" s="283">
        <f t="shared" si="52"/>
        <v>0</v>
      </c>
      <c r="AI101" s="283">
        <f t="shared" si="53"/>
        <v>0</v>
      </c>
      <c r="AJ101" s="283">
        <f t="shared" si="54"/>
        <v>0</v>
      </c>
      <c r="AK101" s="283">
        <f t="shared" si="55"/>
        <v>0</v>
      </c>
      <c r="AL101" s="283">
        <f t="shared" si="56"/>
        <v>1225.98</v>
      </c>
      <c r="AM101" s="283">
        <f t="shared" si="57"/>
        <v>0</v>
      </c>
      <c r="AN101" s="283">
        <f t="shared" si="58"/>
        <v>0</v>
      </c>
      <c r="AO101" s="283">
        <f t="shared" si="59"/>
        <v>0</v>
      </c>
      <c r="AP101" s="283">
        <f t="shared" si="60"/>
        <v>0</v>
      </c>
      <c r="AQ101" s="283">
        <f t="shared" si="61"/>
        <v>0</v>
      </c>
      <c r="AR101" s="283">
        <f t="shared" si="62"/>
        <v>0</v>
      </c>
      <c r="AS101" s="283">
        <f t="shared" si="63"/>
        <v>0</v>
      </c>
      <c r="AT101" s="283">
        <f t="shared" si="64"/>
        <v>0</v>
      </c>
      <c r="AU101" s="283">
        <f t="shared" si="65"/>
        <v>0</v>
      </c>
      <c r="AV101" s="283">
        <f t="shared" si="66"/>
        <v>0</v>
      </c>
      <c r="AW101" s="320">
        <f t="shared" si="67"/>
        <v>1225.98</v>
      </c>
    </row>
    <row r="102" spans="1:49" s="20" customFormat="1" x14ac:dyDescent="0.2">
      <c r="A102" s="18" t="s">
        <v>441</v>
      </c>
      <c r="B102" s="246">
        <v>1367486</v>
      </c>
      <c r="C102" s="246">
        <v>0</v>
      </c>
      <c r="D102" s="2">
        <f>(B102+C102)*0.124</f>
        <v>169568.26</v>
      </c>
      <c r="E102" s="78">
        <f t="shared" si="68"/>
        <v>67006.81</v>
      </c>
      <c r="F102" s="78">
        <f t="shared" si="71"/>
        <v>71656.27</v>
      </c>
      <c r="G102" s="2">
        <f t="shared" si="48"/>
        <v>100856.79</v>
      </c>
      <c r="H102" s="2">
        <f>(B102+C102)*0.0098+0.01</f>
        <v>13401.37</v>
      </c>
      <c r="I102" s="2">
        <f t="shared" si="49"/>
        <v>0</v>
      </c>
      <c r="J102" s="376">
        <f t="shared" si="46"/>
        <v>422489.5</v>
      </c>
      <c r="K102" s="18"/>
      <c r="L102" s="246"/>
      <c r="M102" s="246"/>
      <c r="N102" s="246"/>
      <c r="O102" s="246">
        <v>754919</v>
      </c>
      <c r="P102" s="246"/>
      <c r="Q102" s="246">
        <v>167750</v>
      </c>
      <c r="R102" s="246"/>
      <c r="S102" s="246"/>
      <c r="T102" s="246"/>
      <c r="U102" s="246"/>
      <c r="V102" s="246"/>
      <c r="W102" s="246">
        <v>209394</v>
      </c>
      <c r="X102" s="246"/>
      <c r="Y102" s="246">
        <v>235423</v>
      </c>
      <c r="Z102" s="246"/>
      <c r="AA102" s="246"/>
      <c r="AB102" s="246"/>
      <c r="AC102" s="246"/>
      <c r="AD102" s="246">
        <f t="shared" si="70"/>
        <v>1367486</v>
      </c>
      <c r="AE102" s="18"/>
      <c r="AF102" s="283">
        <f t="shared" si="50"/>
        <v>0</v>
      </c>
      <c r="AG102" s="283">
        <f t="shared" si="51"/>
        <v>0</v>
      </c>
      <c r="AH102" s="283">
        <f t="shared" si="52"/>
        <v>66583.86</v>
      </c>
      <c r="AI102" s="283">
        <f t="shared" si="53"/>
        <v>0</v>
      </c>
      <c r="AJ102" s="283">
        <f t="shared" si="54"/>
        <v>6575.8</v>
      </c>
      <c r="AK102" s="283">
        <f t="shared" si="55"/>
        <v>0</v>
      </c>
      <c r="AL102" s="283">
        <f t="shared" si="56"/>
        <v>0</v>
      </c>
      <c r="AM102" s="283">
        <f t="shared" si="57"/>
        <v>0</v>
      </c>
      <c r="AN102" s="283">
        <f t="shared" si="58"/>
        <v>0</v>
      </c>
      <c r="AO102" s="283">
        <f t="shared" si="59"/>
        <v>0</v>
      </c>
      <c r="AP102" s="283">
        <f t="shared" si="60"/>
        <v>18468.55</v>
      </c>
      <c r="AQ102" s="283">
        <f t="shared" si="61"/>
        <v>0</v>
      </c>
      <c r="AR102" s="283">
        <f t="shared" si="62"/>
        <v>9228.58</v>
      </c>
      <c r="AS102" s="283">
        <f t="shared" si="63"/>
        <v>0</v>
      </c>
      <c r="AT102" s="283">
        <f t="shared" si="64"/>
        <v>0</v>
      </c>
      <c r="AU102" s="283">
        <f t="shared" si="65"/>
        <v>0</v>
      </c>
      <c r="AV102" s="283">
        <f t="shared" si="66"/>
        <v>0</v>
      </c>
      <c r="AW102" s="320">
        <f t="shared" si="67"/>
        <v>100856.79</v>
      </c>
    </row>
    <row r="103" spans="1:49" x14ac:dyDescent="0.2">
      <c r="A103" s="18" t="s">
        <v>66</v>
      </c>
      <c r="B103" s="246">
        <v>128046</v>
      </c>
      <c r="C103" s="246">
        <v>0</v>
      </c>
      <c r="D103" s="2">
        <f>(B103+C103)*0.124+0.01</f>
        <v>15877.71</v>
      </c>
      <c r="E103" s="78">
        <f t="shared" si="68"/>
        <v>6274.25</v>
      </c>
      <c r="F103" s="78">
        <f t="shared" si="71"/>
        <v>6709.61</v>
      </c>
      <c r="G103" s="2">
        <f t="shared" si="48"/>
        <v>11293.66</v>
      </c>
      <c r="H103" s="2">
        <f t="shared" si="69"/>
        <v>1254.8499999999999</v>
      </c>
      <c r="I103" s="2">
        <f t="shared" si="49"/>
        <v>0</v>
      </c>
      <c r="J103" s="376">
        <f t="shared" si="46"/>
        <v>41410.080000000002</v>
      </c>
      <c r="K103" s="18"/>
      <c r="L103" s="246"/>
      <c r="M103" s="246"/>
      <c r="N103" s="246">
        <v>128046</v>
      </c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>
        <f t="shared" si="70"/>
        <v>128046</v>
      </c>
      <c r="AE103" s="7"/>
      <c r="AF103" s="283">
        <f t="shared" si="50"/>
        <v>0</v>
      </c>
      <c r="AG103" s="283">
        <f t="shared" si="51"/>
        <v>11293.66</v>
      </c>
      <c r="AH103" s="283">
        <f t="shared" si="52"/>
        <v>0</v>
      </c>
      <c r="AI103" s="283">
        <f t="shared" si="53"/>
        <v>0</v>
      </c>
      <c r="AJ103" s="283">
        <f t="shared" si="54"/>
        <v>0</v>
      </c>
      <c r="AK103" s="283">
        <f t="shared" si="55"/>
        <v>0</v>
      </c>
      <c r="AL103" s="283">
        <f t="shared" si="56"/>
        <v>0</v>
      </c>
      <c r="AM103" s="283">
        <f t="shared" si="57"/>
        <v>0</v>
      </c>
      <c r="AN103" s="283">
        <f t="shared" si="58"/>
        <v>0</v>
      </c>
      <c r="AO103" s="283">
        <f t="shared" si="59"/>
        <v>0</v>
      </c>
      <c r="AP103" s="283">
        <f t="shared" si="60"/>
        <v>0</v>
      </c>
      <c r="AQ103" s="283">
        <f t="shared" si="61"/>
        <v>0</v>
      </c>
      <c r="AR103" s="283">
        <f t="shared" si="62"/>
        <v>0</v>
      </c>
      <c r="AS103" s="283">
        <f t="shared" si="63"/>
        <v>0</v>
      </c>
      <c r="AT103" s="283">
        <f t="shared" si="64"/>
        <v>0</v>
      </c>
      <c r="AU103" s="283">
        <f t="shared" si="65"/>
        <v>0</v>
      </c>
      <c r="AV103" s="283">
        <f t="shared" si="66"/>
        <v>0</v>
      </c>
      <c r="AW103" s="320">
        <f t="shared" si="67"/>
        <v>11293.66</v>
      </c>
    </row>
    <row r="104" spans="1:49" x14ac:dyDescent="0.2">
      <c r="A104" s="18" t="s">
        <v>477</v>
      </c>
      <c r="B104" s="246">
        <v>2451279</v>
      </c>
      <c r="C104" s="246">
        <v>196359</v>
      </c>
      <c r="D104" s="2">
        <f>(B104+C104)*0.124-0.03</f>
        <v>328307.08</v>
      </c>
      <c r="E104" s="78">
        <f>(B104+C104)*0.049</f>
        <v>129734.26</v>
      </c>
      <c r="F104" s="78">
        <f t="shared" si="71"/>
        <v>138736.23000000001</v>
      </c>
      <c r="G104" s="2">
        <f t="shared" si="48"/>
        <v>229362.76</v>
      </c>
      <c r="H104" s="2">
        <f>(B104+C104)*0.0098+0.01</f>
        <v>25946.86</v>
      </c>
      <c r="I104" s="2">
        <f t="shared" si="49"/>
        <v>3771.63</v>
      </c>
      <c r="J104" s="376">
        <f t="shared" si="46"/>
        <v>855858.82</v>
      </c>
      <c r="K104" s="18"/>
      <c r="L104" s="246"/>
      <c r="M104" s="246">
        <v>393308</v>
      </c>
      <c r="N104" s="246"/>
      <c r="O104" s="246">
        <v>1225124</v>
      </c>
      <c r="P104" s="246">
        <v>78428</v>
      </c>
      <c r="Q104" s="246"/>
      <c r="R104" s="246"/>
      <c r="S104" s="246"/>
      <c r="T104" s="246"/>
      <c r="U104" s="246"/>
      <c r="V104" s="246"/>
      <c r="W104" s="246"/>
      <c r="X104" s="246">
        <v>29307</v>
      </c>
      <c r="Y104" s="246">
        <v>6448</v>
      </c>
      <c r="Z104" s="246"/>
      <c r="AA104" s="246"/>
      <c r="AB104" s="246">
        <v>915023</v>
      </c>
      <c r="AC104" s="246"/>
      <c r="AD104" s="246">
        <f>SUM(L104:AC104)</f>
        <v>2647638</v>
      </c>
      <c r="AE104" s="1"/>
      <c r="AF104" s="283">
        <f t="shared" si="50"/>
        <v>34689.769999999997</v>
      </c>
      <c r="AG104" s="283">
        <f t="shared" si="51"/>
        <v>0</v>
      </c>
      <c r="AH104" s="283">
        <f t="shared" si="52"/>
        <v>108055.94</v>
      </c>
      <c r="AI104" s="283">
        <f t="shared" si="53"/>
        <v>3074.38</v>
      </c>
      <c r="AJ104" s="283">
        <f t="shared" si="54"/>
        <v>0</v>
      </c>
      <c r="AK104" s="283">
        <f t="shared" si="55"/>
        <v>0</v>
      </c>
      <c r="AL104" s="283">
        <f t="shared" si="56"/>
        <v>0</v>
      </c>
      <c r="AM104" s="283">
        <f t="shared" si="57"/>
        <v>0</v>
      </c>
      <c r="AN104" s="283">
        <f t="shared" si="58"/>
        <v>0</v>
      </c>
      <c r="AO104" s="283">
        <f t="shared" si="59"/>
        <v>0</v>
      </c>
      <c r="AP104" s="283">
        <f t="shared" si="60"/>
        <v>0</v>
      </c>
      <c r="AQ104" s="283">
        <f t="shared" si="61"/>
        <v>2584.88</v>
      </c>
      <c r="AR104" s="283">
        <f t="shared" si="62"/>
        <v>252.76</v>
      </c>
      <c r="AS104" s="283">
        <f t="shared" si="63"/>
        <v>0</v>
      </c>
      <c r="AT104" s="283">
        <f t="shared" si="64"/>
        <v>0</v>
      </c>
      <c r="AU104" s="283">
        <f t="shared" si="65"/>
        <v>80705.03</v>
      </c>
      <c r="AV104" s="283">
        <f t="shared" si="66"/>
        <v>0</v>
      </c>
      <c r="AW104" s="320">
        <f t="shared" si="67"/>
        <v>229362.76</v>
      </c>
    </row>
    <row r="105" spans="1:49" x14ac:dyDescent="0.2">
      <c r="A105" s="18" t="s">
        <v>67</v>
      </c>
      <c r="B105" s="246">
        <v>24701</v>
      </c>
      <c r="C105" s="246">
        <v>0</v>
      </c>
      <c r="D105" s="2">
        <f>(B105+C105)*0.124+0.01</f>
        <v>3062.93</v>
      </c>
      <c r="E105" s="78">
        <f t="shared" si="68"/>
        <v>1210.3499999999999</v>
      </c>
      <c r="F105" s="78">
        <f t="shared" si="71"/>
        <v>1294.33</v>
      </c>
      <c r="G105" s="2">
        <f t="shared" si="48"/>
        <v>980.72</v>
      </c>
      <c r="H105" s="2">
        <f t="shared" si="69"/>
        <v>242.07</v>
      </c>
      <c r="I105" s="2">
        <f t="shared" si="49"/>
        <v>0</v>
      </c>
      <c r="J105" s="376">
        <f t="shared" si="46"/>
        <v>6790.4</v>
      </c>
      <c r="K105" s="18"/>
      <c r="L105" s="246"/>
      <c r="M105" s="246"/>
      <c r="N105" s="246"/>
      <c r="O105" s="246"/>
      <c r="P105" s="246"/>
      <c r="Q105" s="246">
        <v>24447</v>
      </c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>
        <v>254</v>
      </c>
      <c r="AD105" s="246">
        <f t="shared" si="70"/>
        <v>24701</v>
      </c>
      <c r="AE105" s="1"/>
      <c r="AF105" s="283">
        <f t="shared" si="50"/>
        <v>0</v>
      </c>
      <c r="AG105" s="283">
        <f t="shared" si="51"/>
        <v>0</v>
      </c>
      <c r="AH105" s="283">
        <f t="shared" si="52"/>
        <v>0</v>
      </c>
      <c r="AI105" s="283">
        <f t="shared" si="53"/>
        <v>0</v>
      </c>
      <c r="AJ105" s="283">
        <f t="shared" si="54"/>
        <v>958.32</v>
      </c>
      <c r="AK105" s="283">
        <f t="shared" si="55"/>
        <v>0</v>
      </c>
      <c r="AL105" s="283">
        <f t="shared" si="56"/>
        <v>0</v>
      </c>
      <c r="AM105" s="283">
        <f t="shared" si="57"/>
        <v>0</v>
      </c>
      <c r="AN105" s="283">
        <f t="shared" si="58"/>
        <v>0</v>
      </c>
      <c r="AO105" s="283">
        <f t="shared" si="59"/>
        <v>0</v>
      </c>
      <c r="AP105" s="283">
        <f t="shared" si="60"/>
        <v>0</v>
      </c>
      <c r="AQ105" s="283">
        <f t="shared" si="61"/>
        <v>0</v>
      </c>
      <c r="AR105" s="283">
        <f t="shared" si="62"/>
        <v>0</v>
      </c>
      <c r="AS105" s="283">
        <f t="shared" si="63"/>
        <v>0</v>
      </c>
      <c r="AT105" s="283">
        <f t="shared" si="64"/>
        <v>0</v>
      </c>
      <c r="AU105" s="283">
        <f t="shared" si="65"/>
        <v>0</v>
      </c>
      <c r="AV105" s="283">
        <f t="shared" si="66"/>
        <v>22.4</v>
      </c>
      <c r="AW105" s="320">
        <f t="shared" si="67"/>
        <v>980.72</v>
      </c>
    </row>
    <row r="106" spans="1:49" x14ac:dyDescent="0.2">
      <c r="A106" s="18" t="s">
        <v>83</v>
      </c>
      <c r="B106" s="246">
        <v>138338</v>
      </c>
      <c r="C106" s="246">
        <v>39147</v>
      </c>
      <c r="D106" s="2">
        <f>(B106+C106)*0.124</f>
        <v>22008.14</v>
      </c>
      <c r="E106" s="78">
        <f t="shared" ref="E106:E112" si="72">(B106+C106)*0.049</f>
        <v>8696.77</v>
      </c>
      <c r="F106" s="78">
        <f t="shared" si="71"/>
        <v>9300.2099999999991</v>
      </c>
      <c r="G106" s="2">
        <f t="shared" si="48"/>
        <v>15654.18</v>
      </c>
      <c r="H106" s="2">
        <f t="shared" si="69"/>
        <v>1739.35</v>
      </c>
      <c r="I106" s="2">
        <f t="shared" si="49"/>
        <v>0</v>
      </c>
      <c r="J106" s="376">
        <f t="shared" si="46"/>
        <v>57398.65</v>
      </c>
      <c r="K106" s="18"/>
      <c r="L106" s="246"/>
      <c r="M106" s="246"/>
      <c r="N106" s="246"/>
      <c r="O106" s="246">
        <v>177485</v>
      </c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>
        <f>SUM(L106:AC106)</f>
        <v>177485</v>
      </c>
      <c r="AE106" s="7"/>
      <c r="AF106" s="283">
        <f t="shared" si="50"/>
        <v>0</v>
      </c>
      <c r="AG106" s="283">
        <f t="shared" si="51"/>
        <v>0</v>
      </c>
      <c r="AH106" s="283">
        <f t="shared" si="52"/>
        <v>15654.18</v>
      </c>
      <c r="AI106" s="283">
        <f t="shared" si="53"/>
        <v>0</v>
      </c>
      <c r="AJ106" s="283">
        <f t="shared" si="54"/>
        <v>0</v>
      </c>
      <c r="AK106" s="283">
        <f t="shared" si="55"/>
        <v>0</v>
      </c>
      <c r="AL106" s="283">
        <f t="shared" si="56"/>
        <v>0</v>
      </c>
      <c r="AM106" s="283">
        <f t="shared" si="57"/>
        <v>0</v>
      </c>
      <c r="AN106" s="283">
        <f t="shared" si="58"/>
        <v>0</v>
      </c>
      <c r="AO106" s="283">
        <f t="shared" si="59"/>
        <v>0</v>
      </c>
      <c r="AP106" s="283">
        <f t="shared" si="60"/>
        <v>0</v>
      </c>
      <c r="AQ106" s="283">
        <f t="shared" si="61"/>
        <v>0</v>
      </c>
      <c r="AR106" s="283">
        <f t="shared" si="62"/>
        <v>0</v>
      </c>
      <c r="AS106" s="283">
        <f t="shared" si="63"/>
        <v>0</v>
      </c>
      <c r="AT106" s="283">
        <f t="shared" si="64"/>
        <v>0</v>
      </c>
      <c r="AU106" s="283">
        <f t="shared" si="65"/>
        <v>0</v>
      </c>
      <c r="AV106" s="283">
        <f t="shared" si="66"/>
        <v>0</v>
      </c>
      <c r="AW106" s="320">
        <f t="shared" si="67"/>
        <v>15654.18</v>
      </c>
    </row>
    <row r="107" spans="1:49" x14ac:dyDescent="0.2">
      <c r="A107" s="18" t="s">
        <v>352</v>
      </c>
      <c r="B107" s="246">
        <v>369686</v>
      </c>
      <c r="C107" s="246">
        <v>17714</v>
      </c>
      <c r="D107" s="2">
        <f>(B107+C107)*0.124-0.01</f>
        <v>48037.59</v>
      </c>
      <c r="E107" s="78">
        <f t="shared" si="72"/>
        <v>18982.599999999999</v>
      </c>
      <c r="F107" s="78">
        <f t="shared" si="71"/>
        <v>20299.759999999998</v>
      </c>
      <c r="G107" s="2">
        <f t="shared" si="48"/>
        <v>34168.68</v>
      </c>
      <c r="H107" s="2">
        <f t="shared" si="69"/>
        <v>3796.52</v>
      </c>
      <c r="I107" s="2">
        <f t="shared" si="49"/>
        <v>710.55</v>
      </c>
      <c r="J107" s="376">
        <f t="shared" si="46"/>
        <v>125995.7</v>
      </c>
      <c r="K107" s="18"/>
      <c r="L107" s="246"/>
      <c r="M107" s="246"/>
      <c r="N107" s="246"/>
      <c r="O107" s="246">
        <v>158746</v>
      </c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>
        <v>56271</v>
      </c>
      <c r="AA107" s="246"/>
      <c r="AB107" s="246">
        <v>172383</v>
      </c>
      <c r="AC107" s="246"/>
      <c r="AD107" s="246">
        <f>SUM(L107:AC107)</f>
        <v>387400</v>
      </c>
      <c r="AE107" s="7"/>
      <c r="AF107" s="283">
        <f t="shared" si="50"/>
        <v>0</v>
      </c>
      <c r="AG107" s="283">
        <f t="shared" si="51"/>
        <v>0</v>
      </c>
      <c r="AH107" s="283">
        <f t="shared" si="52"/>
        <v>14001.4</v>
      </c>
      <c r="AI107" s="283">
        <f t="shared" si="53"/>
        <v>0</v>
      </c>
      <c r="AJ107" s="283">
        <f t="shared" si="54"/>
        <v>0</v>
      </c>
      <c r="AK107" s="283">
        <f t="shared" si="55"/>
        <v>0</v>
      </c>
      <c r="AL107" s="283">
        <f t="shared" si="56"/>
        <v>0</v>
      </c>
      <c r="AM107" s="283">
        <f t="shared" si="57"/>
        <v>0</v>
      </c>
      <c r="AN107" s="283">
        <f t="shared" si="58"/>
        <v>0</v>
      </c>
      <c r="AO107" s="283">
        <f t="shared" si="59"/>
        <v>0</v>
      </c>
      <c r="AP107" s="283">
        <f t="shared" si="60"/>
        <v>0</v>
      </c>
      <c r="AQ107" s="283">
        <f t="shared" si="61"/>
        <v>0</v>
      </c>
      <c r="AR107" s="283">
        <f t="shared" si="62"/>
        <v>0</v>
      </c>
      <c r="AS107" s="283">
        <f t="shared" si="63"/>
        <v>4963.1000000000004</v>
      </c>
      <c r="AT107" s="283">
        <f t="shared" si="64"/>
        <v>0</v>
      </c>
      <c r="AU107" s="283">
        <f t="shared" si="65"/>
        <v>15204.18</v>
      </c>
      <c r="AV107" s="283">
        <f t="shared" si="66"/>
        <v>0</v>
      </c>
      <c r="AW107" s="320">
        <f t="shared" si="67"/>
        <v>34168.68</v>
      </c>
    </row>
    <row r="108" spans="1:49" s="20" customFormat="1" x14ac:dyDescent="0.2">
      <c r="A108" s="18" t="s">
        <v>365</v>
      </c>
      <c r="B108" s="246">
        <v>731135</v>
      </c>
      <c r="C108" s="246">
        <v>0</v>
      </c>
      <c r="D108" s="2">
        <f>(B108+C108)*0.124-0.01</f>
        <v>90660.73</v>
      </c>
      <c r="E108" s="78">
        <f t="shared" si="72"/>
        <v>35825.620000000003</v>
      </c>
      <c r="F108" s="78">
        <f>(B108+C108)*0.0524</f>
        <v>38311.47</v>
      </c>
      <c r="G108" s="2">
        <f t="shared" si="48"/>
        <v>57280.81</v>
      </c>
      <c r="H108" s="2">
        <f>(B108+C108)*0.0098+0.01</f>
        <v>7165.13</v>
      </c>
      <c r="I108" s="2">
        <f t="shared" si="49"/>
        <v>1644.46</v>
      </c>
      <c r="J108" s="376">
        <f t="shared" si="46"/>
        <v>230888.22</v>
      </c>
      <c r="K108" s="18"/>
      <c r="L108" s="246"/>
      <c r="M108" s="246"/>
      <c r="N108" s="246"/>
      <c r="O108" s="246">
        <v>77306</v>
      </c>
      <c r="P108" s="246">
        <v>147047</v>
      </c>
      <c r="Q108" s="246"/>
      <c r="R108" s="246"/>
      <c r="S108" s="246"/>
      <c r="T108" s="246">
        <v>107824</v>
      </c>
      <c r="U108" s="246"/>
      <c r="V108" s="246"/>
      <c r="W108" s="246"/>
      <c r="X108" s="246"/>
      <c r="Y108" s="246"/>
      <c r="Z108" s="246"/>
      <c r="AA108" s="246"/>
      <c r="AB108" s="246">
        <v>398958</v>
      </c>
      <c r="AC108" s="246"/>
      <c r="AD108" s="246">
        <f t="shared" ref="AD108:AD121" si="73">SUM(L108:AC108)</f>
        <v>731135</v>
      </c>
      <c r="AE108" s="246"/>
      <c r="AF108" s="283">
        <f t="shared" si="50"/>
        <v>0</v>
      </c>
      <c r="AG108" s="283">
        <f t="shared" si="51"/>
        <v>0</v>
      </c>
      <c r="AH108" s="283">
        <f t="shared" si="52"/>
        <v>6818.39</v>
      </c>
      <c r="AI108" s="283">
        <f t="shared" si="53"/>
        <v>5764.24</v>
      </c>
      <c r="AJ108" s="283">
        <f t="shared" si="54"/>
        <v>0</v>
      </c>
      <c r="AK108" s="283">
        <f t="shared" si="55"/>
        <v>0</v>
      </c>
      <c r="AL108" s="283">
        <f t="shared" si="56"/>
        <v>0</v>
      </c>
      <c r="AM108" s="283">
        <f t="shared" si="57"/>
        <v>9510.08</v>
      </c>
      <c r="AN108" s="283">
        <f t="shared" si="58"/>
        <v>0</v>
      </c>
      <c r="AO108" s="283">
        <f t="shared" si="59"/>
        <v>0</v>
      </c>
      <c r="AP108" s="283">
        <f t="shared" si="60"/>
        <v>0</v>
      </c>
      <c r="AQ108" s="283">
        <f t="shared" si="61"/>
        <v>0</v>
      </c>
      <c r="AR108" s="283">
        <f t="shared" si="62"/>
        <v>0</v>
      </c>
      <c r="AS108" s="283">
        <f t="shared" si="63"/>
        <v>0</v>
      </c>
      <c r="AT108" s="283">
        <f t="shared" si="64"/>
        <v>0</v>
      </c>
      <c r="AU108" s="283">
        <f t="shared" si="65"/>
        <v>35188.1</v>
      </c>
      <c r="AV108" s="283">
        <f t="shared" si="66"/>
        <v>0</v>
      </c>
      <c r="AW108" s="320">
        <f t="shared" si="67"/>
        <v>57280.81</v>
      </c>
    </row>
    <row r="109" spans="1:49" x14ac:dyDescent="0.2">
      <c r="A109" s="1" t="s">
        <v>68</v>
      </c>
      <c r="B109" s="7">
        <v>24235</v>
      </c>
      <c r="C109" s="7">
        <v>0</v>
      </c>
      <c r="D109" s="2">
        <f>(B109+C109)*0.124</f>
        <v>3005.14</v>
      </c>
      <c r="E109" s="2">
        <f t="shared" si="72"/>
        <v>1187.52</v>
      </c>
      <c r="F109" s="2">
        <f>(B109+C109)*0.0524</f>
        <v>1269.9100000000001</v>
      </c>
      <c r="G109" s="2">
        <f t="shared" si="48"/>
        <v>2137.5300000000002</v>
      </c>
      <c r="H109" s="2">
        <f t="shared" si="69"/>
        <v>237.5</v>
      </c>
      <c r="I109" s="2">
        <f t="shared" si="49"/>
        <v>0</v>
      </c>
      <c r="J109" s="376">
        <f t="shared" si="46"/>
        <v>7837.6</v>
      </c>
      <c r="K109" s="1"/>
      <c r="L109" s="7"/>
      <c r="M109" s="7"/>
      <c r="N109" s="7"/>
      <c r="O109" s="7">
        <v>24235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>
        <f t="shared" si="73"/>
        <v>24235</v>
      </c>
      <c r="AE109" s="1"/>
      <c r="AF109" s="283">
        <f t="shared" si="50"/>
        <v>0</v>
      </c>
      <c r="AG109" s="283">
        <f t="shared" si="51"/>
        <v>0</v>
      </c>
      <c r="AH109" s="283">
        <f t="shared" si="52"/>
        <v>2137.5300000000002</v>
      </c>
      <c r="AI109" s="283">
        <f t="shared" si="53"/>
        <v>0</v>
      </c>
      <c r="AJ109" s="283">
        <f t="shared" si="54"/>
        <v>0</v>
      </c>
      <c r="AK109" s="283">
        <f t="shared" si="55"/>
        <v>0</v>
      </c>
      <c r="AL109" s="283">
        <f t="shared" si="56"/>
        <v>0</v>
      </c>
      <c r="AM109" s="283">
        <f t="shared" si="57"/>
        <v>0</v>
      </c>
      <c r="AN109" s="283">
        <f t="shared" si="58"/>
        <v>0</v>
      </c>
      <c r="AO109" s="283">
        <f t="shared" si="59"/>
        <v>0</v>
      </c>
      <c r="AP109" s="283">
        <f t="shared" si="60"/>
        <v>0</v>
      </c>
      <c r="AQ109" s="283">
        <f t="shared" si="61"/>
        <v>0</v>
      </c>
      <c r="AR109" s="283">
        <f t="shared" si="62"/>
        <v>0</v>
      </c>
      <c r="AS109" s="283">
        <f t="shared" si="63"/>
        <v>0</v>
      </c>
      <c r="AT109" s="283">
        <f t="shared" si="64"/>
        <v>0</v>
      </c>
      <c r="AU109" s="283">
        <f t="shared" si="65"/>
        <v>0</v>
      </c>
      <c r="AV109" s="283">
        <f t="shared" si="66"/>
        <v>0</v>
      </c>
      <c r="AW109" s="320">
        <f t="shared" si="67"/>
        <v>2137.5300000000002</v>
      </c>
    </row>
    <row r="110" spans="1:49" x14ac:dyDescent="0.2">
      <c r="A110" s="1" t="s">
        <v>69</v>
      </c>
      <c r="B110" s="7">
        <v>272184</v>
      </c>
      <c r="C110" s="7">
        <v>0</v>
      </c>
      <c r="D110" s="2">
        <f>(B110+C110)*0.124</f>
        <v>33750.82</v>
      </c>
      <c r="E110" s="2">
        <f t="shared" si="72"/>
        <v>13337.02</v>
      </c>
      <c r="F110" s="2">
        <f>(B110+C110)*0.0524</f>
        <v>14262.44</v>
      </c>
      <c r="G110" s="2">
        <f t="shared" si="48"/>
        <v>24006.63</v>
      </c>
      <c r="H110" s="2">
        <f t="shared" si="69"/>
        <v>2667.4</v>
      </c>
      <c r="I110" s="2">
        <f t="shared" si="49"/>
        <v>391.99</v>
      </c>
      <c r="J110" s="376">
        <f t="shared" si="46"/>
        <v>88416.3</v>
      </c>
      <c r="K110" s="1"/>
      <c r="L110" s="7"/>
      <c r="M110" s="7"/>
      <c r="N110" s="7">
        <v>47296</v>
      </c>
      <c r="O110" s="7"/>
      <c r="P110" s="7"/>
      <c r="Q110" s="7"/>
      <c r="R110" s="7"/>
      <c r="S110" s="7"/>
      <c r="T110" s="7"/>
      <c r="U110" s="7"/>
      <c r="V110" s="7"/>
      <c r="W110" s="7">
        <v>59962</v>
      </c>
      <c r="X110" s="7">
        <v>69827</v>
      </c>
      <c r="Y110" s="7"/>
      <c r="Z110" s="7"/>
      <c r="AA110" s="7"/>
      <c r="AB110" s="7">
        <v>95099</v>
      </c>
      <c r="AC110" s="7"/>
      <c r="AD110" s="7">
        <f t="shared" si="73"/>
        <v>272184</v>
      </c>
      <c r="AE110" s="1"/>
      <c r="AF110" s="283">
        <f t="shared" si="50"/>
        <v>0</v>
      </c>
      <c r="AG110" s="283">
        <f t="shared" si="51"/>
        <v>4171.51</v>
      </c>
      <c r="AH110" s="283">
        <f t="shared" si="52"/>
        <v>0</v>
      </c>
      <c r="AI110" s="283">
        <f t="shared" si="53"/>
        <v>0</v>
      </c>
      <c r="AJ110" s="283">
        <f t="shared" si="54"/>
        <v>0</v>
      </c>
      <c r="AK110" s="283">
        <f t="shared" si="55"/>
        <v>0</v>
      </c>
      <c r="AL110" s="283">
        <f t="shared" si="56"/>
        <v>0</v>
      </c>
      <c r="AM110" s="283">
        <f t="shared" si="57"/>
        <v>0</v>
      </c>
      <c r="AN110" s="283">
        <f t="shared" si="58"/>
        <v>0</v>
      </c>
      <c r="AO110" s="283">
        <f t="shared" si="59"/>
        <v>0</v>
      </c>
      <c r="AP110" s="283">
        <f t="shared" si="60"/>
        <v>5288.65</v>
      </c>
      <c r="AQ110" s="283">
        <f t="shared" si="61"/>
        <v>6158.74</v>
      </c>
      <c r="AR110" s="283">
        <f t="shared" si="62"/>
        <v>0</v>
      </c>
      <c r="AS110" s="283">
        <f t="shared" si="63"/>
        <v>0</v>
      </c>
      <c r="AT110" s="283">
        <f t="shared" si="64"/>
        <v>0</v>
      </c>
      <c r="AU110" s="283">
        <f t="shared" si="65"/>
        <v>8387.73</v>
      </c>
      <c r="AV110" s="283">
        <f t="shared" si="66"/>
        <v>0</v>
      </c>
      <c r="AW110" s="320">
        <f t="shared" si="67"/>
        <v>24006.63</v>
      </c>
    </row>
    <row r="111" spans="1:49" x14ac:dyDescent="0.2">
      <c r="A111" s="1" t="s">
        <v>570</v>
      </c>
      <c r="B111" s="7">
        <v>5845357</v>
      </c>
      <c r="C111" s="7">
        <v>799119</v>
      </c>
      <c r="D111" s="2">
        <f>(B111+C111)*0.124-0.03</f>
        <v>823914.99</v>
      </c>
      <c r="E111" s="2">
        <f t="shared" si="72"/>
        <v>325579.32</v>
      </c>
      <c r="F111" s="2">
        <f>(B111+C111)*0.0524</f>
        <v>348170.54</v>
      </c>
      <c r="G111" s="2">
        <f t="shared" si="48"/>
        <v>578537.99</v>
      </c>
      <c r="H111" s="2">
        <f>(B111+C111)*0.0098+0.01</f>
        <v>65115.87</v>
      </c>
      <c r="I111" s="2">
        <f t="shared" si="49"/>
        <v>6969.04</v>
      </c>
      <c r="J111" s="376">
        <f t="shared" si="46"/>
        <v>2148287.75</v>
      </c>
      <c r="K111" s="1"/>
      <c r="L111" s="7"/>
      <c r="M111" s="7">
        <v>187147</v>
      </c>
      <c r="N111" s="7"/>
      <c r="O111" s="7">
        <v>4550371</v>
      </c>
      <c r="P111" s="7">
        <v>153159</v>
      </c>
      <c r="Q111" s="7"/>
      <c r="R111" s="7"/>
      <c r="S111" s="7"/>
      <c r="T111" s="7"/>
      <c r="U111" s="7"/>
      <c r="V111" s="7"/>
      <c r="W111" s="7">
        <v>63065</v>
      </c>
      <c r="X111" s="7"/>
      <c r="Y111" s="7"/>
      <c r="Z111" s="7"/>
      <c r="AA111" s="7"/>
      <c r="AB111" s="7">
        <v>1690734</v>
      </c>
      <c r="AC111" s="7"/>
      <c r="AD111" s="7">
        <f>SUM(L111:AC111)</f>
        <v>6644476</v>
      </c>
      <c r="AE111" s="7"/>
      <c r="AF111" s="283">
        <f t="shared" si="50"/>
        <v>16506.37</v>
      </c>
      <c r="AG111" s="283">
        <f t="shared" si="51"/>
        <v>0</v>
      </c>
      <c r="AH111" s="283">
        <f t="shared" si="52"/>
        <v>401342.71999999997</v>
      </c>
      <c r="AI111" s="283">
        <f t="shared" si="53"/>
        <v>6003.83</v>
      </c>
      <c r="AJ111" s="283">
        <f t="shared" si="54"/>
        <v>0</v>
      </c>
      <c r="AK111" s="283">
        <f t="shared" si="55"/>
        <v>0</v>
      </c>
      <c r="AL111" s="283">
        <f t="shared" si="56"/>
        <v>0</v>
      </c>
      <c r="AM111" s="283">
        <f t="shared" si="57"/>
        <v>0</v>
      </c>
      <c r="AN111" s="283">
        <f t="shared" si="58"/>
        <v>0</v>
      </c>
      <c r="AO111" s="283">
        <f t="shared" si="59"/>
        <v>0</v>
      </c>
      <c r="AP111" s="283">
        <f t="shared" si="60"/>
        <v>5562.33</v>
      </c>
      <c r="AQ111" s="283">
        <f t="shared" si="61"/>
        <v>0</v>
      </c>
      <c r="AR111" s="283">
        <f t="shared" si="62"/>
        <v>0</v>
      </c>
      <c r="AS111" s="283">
        <f t="shared" si="63"/>
        <v>0</v>
      </c>
      <c r="AT111" s="283">
        <f t="shared" si="64"/>
        <v>0</v>
      </c>
      <c r="AU111" s="283">
        <f t="shared" si="65"/>
        <v>149122.74</v>
      </c>
      <c r="AV111" s="283">
        <f t="shared" si="66"/>
        <v>0</v>
      </c>
      <c r="AW111" s="320">
        <f t="shared" si="67"/>
        <v>578537.99</v>
      </c>
    </row>
    <row r="112" spans="1:49" x14ac:dyDescent="0.2">
      <c r="A112" s="1" t="s">
        <v>695</v>
      </c>
      <c r="B112" s="7">
        <v>41564</v>
      </c>
      <c r="C112" s="7">
        <v>0</v>
      </c>
      <c r="D112" s="2">
        <f>(B112+C112)*0.124</f>
        <v>5153.9399999999996</v>
      </c>
      <c r="E112" s="2">
        <f t="shared" si="72"/>
        <v>2036.64</v>
      </c>
      <c r="F112" s="2">
        <f>(B112+C112)*0.0524</f>
        <v>2177.9499999999998</v>
      </c>
      <c r="G112" s="2">
        <f>+AW112</f>
        <v>3665.94</v>
      </c>
      <c r="H112" s="2">
        <f>(B112+C112)*0.0098</f>
        <v>407.33</v>
      </c>
      <c r="I112" s="2">
        <f>(AB112)*0.0041219</f>
        <v>0</v>
      </c>
      <c r="J112" s="376">
        <f>SUM(D112:I112)</f>
        <v>13441.8</v>
      </c>
      <c r="K112" s="1"/>
      <c r="L112" s="7"/>
      <c r="M112" s="7"/>
      <c r="N112" s="7"/>
      <c r="O112" s="7">
        <v>41564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>
        <f>SUM(L112:AC112)</f>
        <v>41564</v>
      </c>
      <c r="AE112" s="7"/>
      <c r="AF112" s="283">
        <f>+M112*$AF$12</f>
        <v>0</v>
      </c>
      <c r="AG112" s="283">
        <f>+N112*$AG$12</f>
        <v>0</v>
      </c>
      <c r="AH112" s="283">
        <f>+O112*$AH$12</f>
        <v>3665.94</v>
      </c>
      <c r="AI112" s="283">
        <f>+P112*$AI$12</f>
        <v>0</v>
      </c>
      <c r="AJ112" s="283">
        <f>+Q112*$AJ$12</f>
        <v>0</v>
      </c>
      <c r="AK112" s="283">
        <f>+R112*$AK$12</f>
        <v>0</v>
      </c>
      <c r="AL112" s="283">
        <f>+S112*$AL$12</f>
        <v>0</v>
      </c>
      <c r="AM112" s="283">
        <f>+T112*$AM$12</f>
        <v>0</v>
      </c>
      <c r="AN112" s="283">
        <f>+U112*$AN$12</f>
        <v>0</v>
      </c>
      <c r="AO112" s="283">
        <f>+V112*$AO$12</f>
        <v>0</v>
      </c>
      <c r="AP112" s="283">
        <f>+W112*$AP$12</f>
        <v>0</v>
      </c>
      <c r="AQ112" s="283">
        <f>+X112*$AQ$12</f>
        <v>0</v>
      </c>
      <c r="AR112" s="283">
        <f>+Y112*$AR$12</f>
        <v>0</v>
      </c>
      <c r="AS112" s="283">
        <f>+Z112*$AS$12</f>
        <v>0</v>
      </c>
      <c r="AT112" s="283">
        <f>+AA112*$AT$12</f>
        <v>0</v>
      </c>
      <c r="AU112" s="283">
        <f>+AB112*$AU$12</f>
        <v>0</v>
      </c>
      <c r="AV112" s="283">
        <f>+AC112*$AV$12</f>
        <v>0</v>
      </c>
      <c r="AW112" s="320">
        <f>SUM(AF112:AV112)</f>
        <v>3665.94</v>
      </c>
    </row>
    <row r="113" spans="1:49" x14ac:dyDescent="0.2">
      <c r="A113" s="1" t="s">
        <v>443</v>
      </c>
      <c r="B113" s="7">
        <v>111487</v>
      </c>
      <c r="C113" s="7">
        <v>0</v>
      </c>
      <c r="D113" s="2">
        <f>(B113+C113)*0.124</f>
        <v>13824.39</v>
      </c>
      <c r="E113" s="2">
        <f t="shared" ref="E113:E121" si="74">(B113+C113)*0.049</f>
        <v>5462.86</v>
      </c>
      <c r="F113" s="2">
        <f t="shared" ref="F113:F121" si="75">(B113+C113)*0.0524</f>
        <v>5841.92</v>
      </c>
      <c r="G113" s="2">
        <f t="shared" si="48"/>
        <v>9833.15</v>
      </c>
      <c r="H113" s="2">
        <f>(B113+C113)*0.0098+0.01</f>
        <v>1092.58</v>
      </c>
      <c r="I113" s="2">
        <f t="shared" si="49"/>
        <v>72.400000000000006</v>
      </c>
      <c r="J113" s="376">
        <f t="shared" si="46"/>
        <v>36127.300000000003</v>
      </c>
      <c r="K113" s="1"/>
      <c r="L113" s="7"/>
      <c r="M113" s="7"/>
      <c r="N113" s="7"/>
      <c r="O113" s="7">
        <v>93922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17565</v>
      </c>
      <c r="AC113" s="7"/>
      <c r="AD113" s="7">
        <f t="shared" si="73"/>
        <v>111487</v>
      </c>
      <c r="AF113" s="283">
        <f t="shared" si="50"/>
        <v>0</v>
      </c>
      <c r="AG113" s="283">
        <f t="shared" si="51"/>
        <v>0</v>
      </c>
      <c r="AH113" s="283">
        <f t="shared" si="52"/>
        <v>8283.92</v>
      </c>
      <c r="AI113" s="283">
        <f t="shared" si="53"/>
        <v>0</v>
      </c>
      <c r="AJ113" s="283">
        <f t="shared" si="54"/>
        <v>0</v>
      </c>
      <c r="AK113" s="283">
        <f t="shared" si="55"/>
        <v>0</v>
      </c>
      <c r="AL113" s="283">
        <f t="shared" si="56"/>
        <v>0</v>
      </c>
      <c r="AM113" s="283">
        <f t="shared" si="57"/>
        <v>0</v>
      </c>
      <c r="AN113" s="283">
        <f t="shared" si="58"/>
        <v>0</v>
      </c>
      <c r="AO113" s="283">
        <f t="shared" si="59"/>
        <v>0</v>
      </c>
      <c r="AP113" s="283">
        <f t="shared" si="60"/>
        <v>0</v>
      </c>
      <c r="AQ113" s="283">
        <f t="shared" si="61"/>
        <v>0</v>
      </c>
      <c r="AR113" s="283">
        <f t="shared" si="62"/>
        <v>0</v>
      </c>
      <c r="AS113" s="283">
        <f t="shared" si="63"/>
        <v>0</v>
      </c>
      <c r="AT113" s="283">
        <f t="shared" si="64"/>
        <v>0</v>
      </c>
      <c r="AU113" s="283">
        <f t="shared" si="65"/>
        <v>1549.23</v>
      </c>
      <c r="AV113" s="283">
        <f t="shared" si="66"/>
        <v>0</v>
      </c>
      <c r="AW113" s="320">
        <f t="shared" si="67"/>
        <v>9833.15</v>
      </c>
    </row>
    <row r="114" spans="1:49" x14ac:dyDescent="0.2">
      <c r="A114" s="18" t="s">
        <v>744</v>
      </c>
      <c r="B114" s="7">
        <v>-1468</v>
      </c>
      <c r="C114" s="7"/>
      <c r="D114" s="2">
        <f>(B114+C114)*0.124</f>
        <v>-182.03</v>
      </c>
      <c r="E114" s="2">
        <f>(B114+C114)*0.049</f>
        <v>-71.930000000000007</v>
      </c>
      <c r="F114" s="2">
        <f>(B114+C114)*0.0524</f>
        <v>-76.92</v>
      </c>
      <c r="G114" s="2">
        <f>+AW114</f>
        <v>-129.47999999999999</v>
      </c>
      <c r="H114" s="2">
        <f>(B114+C114)*0.0098</f>
        <v>-14.39</v>
      </c>
      <c r="I114" s="2">
        <f>(AB114)*0.0041219</f>
        <v>0</v>
      </c>
      <c r="J114" s="376">
        <f>SUM(D114:I114)</f>
        <v>-474.75</v>
      </c>
      <c r="K114" s="1"/>
      <c r="L114" s="7"/>
      <c r="M114" s="7"/>
      <c r="N114" s="7"/>
      <c r="O114" s="7">
        <v>-1468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>
        <f>SUM(L114:AC114)</f>
        <v>-1468</v>
      </c>
      <c r="AF114" s="283">
        <f>+M114*$AF$12</f>
        <v>0</v>
      </c>
      <c r="AG114" s="283">
        <f>+N114*$AG$12</f>
        <v>0</v>
      </c>
      <c r="AH114" s="283">
        <f>+O114*$AH$12</f>
        <v>-129.47999999999999</v>
      </c>
      <c r="AI114" s="283">
        <f>+P114*$AI$12</f>
        <v>0</v>
      </c>
      <c r="AJ114" s="283">
        <f>+Q114*$AJ$12</f>
        <v>0</v>
      </c>
      <c r="AK114" s="283">
        <f>+R114*$AK$12</f>
        <v>0</v>
      </c>
      <c r="AL114" s="283">
        <f>+S114*$AL$12</f>
        <v>0</v>
      </c>
      <c r="AM114" s="283">
        <f>+T114*$AM$12</f>
        <v>0</v>
      </c>
      <c r="AN114" s="283">
        <f>+U114*$AN$12</f>
        <v>0</v>
      </c>
      <c r="AO114" s="283">
        <f>+V114*$AO$12</f>
        <v>0</v>
      </c>
      <c r="AP114" s="283">
        <f>+W114*$AP$12</f>
        <v>0</v>
      </c>
      <c r="AQ114" s="283">
        <f>+X114*$AQ$12</f>
        <v>0</v>
      </c>
      <c r="AR114" s="283">
        <f>+Y114*$AR$12</f>
        <v>0</v>
      </c>
      <c r="AS114" s="283">
        <f>+Z114*$AS$12</f>
        <v>0</v>
      </c>
      <c r="AT114" s="283">
        <f>+AA114*$AT$12</f>
        <v>0</v>
      </c>
      <c r="AU114" s="283">
        <f>+AB114*$AU$12</f>
        <v>0</v>
      </c>
      <c r="AV114" s="283">
        <f>+AC114*$AV$12</f>
        <v>0</v>
      </c>
      <c r="AW114" s="320">
        <f>SUM(AF114:AV114)</f>
        <v>-129.47999999999999</v>
      </c>
    </row>
    <row r="115" spans="1:49" x14ac:dyDescent="0.2">
      <c r="A115" s="1" t="s">
        <v>493</v>
      </c>
      <c r="B115" s="7">
        <v>286</v>
      </c>
      <c r="C115" s="7">
        <v>0</v>
      </c>
      <c r="D115" s="2">
        <f>(B115+C115)*0.124</f>
        <v>35.46</v>
      </c>
      <c r="E115" s="2">
        <f>(B115+C115)*0.049</f>
        <v>14.01</v>
      </c>
      <c r="F115" s="2">
        <f>(B115+C115)*0.0524</f>
        <v>14.99</v>
      </c>
      <c r="G115" s="2">
        <f t="shared" si="48"/>
        <v>25.23</v>
      </c>
      <c r="H115" s="2">
        <f t="shared" si="69"/>
        <v>2.8</v>
      </c>
      <c r="I115" s="2">
        <f t="shared" si="49"/>
        <v>0</v>
      </c>
      <c r="J115" s="376">
        <f t="shared" si="46"/>
        <v>92.49</v>
      </c>
      <c r="K115" s="1"/>
      <c r="L115" s="7"/>
      <c r="M115" s="7"/>
      <c r="N115" s="7"/>
      <c r="O115" s="7">
        <v>286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f>SUM(L115:AC115)</f>
        <v>286</v>
      </c>
      <c r="AF115" s="283">
        <f t="shared" si="50"/>
        <v>0</v>
      </c>
      <c r="AG115" s="283">
        <f t="shared" si="51"/>
        <v>0</v>
      </c>
      <c r="AH115" s="283">
        <f t="shared" si="52"/>
        <v>25.23</v>
      </c>
      <c r="AI115" s="283">
        <f t="shared" si="53"/>
        <v>0</v>
      </c>
      <c r="AJ115" s="283">
        <f t="shared" si="54"/>
        <v>0</v>
      </c>
      <c r="AK115" s="283">
        <f t="shared" si="55"/>
        <v>0</v>
      </c>
      <c r="AL115" s="283">
        <f t="shared" si="56"/>
        <v>0</v>
      </c>
      <c r="AM115" s="283">
        <f t="shared" si="57"/>
        <v>0</v>
      </c>
      <c r="AN115" s="283">
        <f t="shared" si="58"/>
        <v>0</v>
      </c>
      <c r="AO115" s="283">
        <f t="shared" si="59"/>
        <v>0</v>
      </c>
      <c r="AP115" s="283">
        <f t="shared" si="60"/>
        <v>0</v>
      </c>
      <c r="AQ115" s="283">
        <f t="shared" si="61"/>
        <v>0</v>
      </c>
      <c r="AR115" s="283">
        <f t="shared" si="62"/>
        <v>0</v>
      </c>
      <c r="AS115" s="283">
        <f t="shared" si="63"/>
        <v>0</v>
      </c>
      <c r="AT115" s="283">
        <f t="shared" si="64"/>
        <v>0</v>
      </c>
      <c r="AU115" s="283">
        <f t="shared" si="65"/>
        <v>0</v>
      </c>
      <c r="AV115" s="283">
        <f t="shared" si="66"/>
        <v>0</v>
      </c>
      <c r="AW115" s="320">
        <f t="shared" si="67"/>
        <v>25.23</v>
      </c>
    </row>
    <row r="116" spans="1:49" x14ac:dyDescent="0.2">
      <c r="A116" s="1" t="s">
        <v>84</v>
      </c>
      <c r="B116" s="7">
        <v>4993</v>
      </c>
      <c r="C116" s="7">
        <v>21400</v>
      </c>
      <c r="D116" s="2">
        <f>(B116+C116)*0.124</f>
        <v>3272.73</v>
      </c>
      <c r="E116" s="2">
        <f t="shared" si="74"/>
        <v>1293.26</v>
      </c>
      <c r="F116" s="2">
        <f t="shared" si="75"/>
        <v>1382.99</v>
      </c>
      <c r="G116" s="2">
        <f t="shared" si="48"/>
        <v>2083.21</v>
      </c>
      <c r="H116" s="2">
        <f t="shared" si="69"/>
        <v>258.64999999999998</v>
      </c>
      <c r="I116" s="2">
        <f t="shared" si="49"/>
        <v>0</v>
      </c>
      <c r="J116" s="376">
        <f t="shared" si="46"/>
        <v>8290.84</v>
      </c>
      <c r="K116" s="1"/>
      <c r="L116" s="7"/>
      <c r="M116" s="7"/>
      <c r="N116" s="7"/>
      <c r="O116" s="7"/>
      <c r="P116" s="7"/>
      <c r="Q116" s="7">
        <v>4993</v>
      </c>
      <c r="R116" s="7"/>
      <c r="S116" s="7"/>
      <c r="T116" s="7">
        <v>21400</v>
      </c>
      <c r="U116" s="7"/>
      <c r="V116" s="7"/>
      <c r="W116" s="7"/>
      <c r="X116" s="7"/>
      <c r="Y116" s="7"/>
      <c r="Z116" s="7"/>
      <c r="AA116" s="7"/>
      <c r="AB116" s="7"/>
      <c r="AC116" s="7"/>
      <c r="AD116" s="7">
        <f t="shared" si="73"/>
        <v>26393</v>
      </c>
      <c r="AF116" s="283">
        <f t="shared" si="50"/>
        <v>0</v>
      </c>
      <c r="AG116" s="283">
        <f t="shared" si="51"/>
        <v>0</v>
      </c>
      <c r="AH116" s="283">
        <f t="shared" si="52"/>
        <v>0</v>
      </c>
      <c r="AI116" s="283">
        <f t="shared" si="53"/>
        <v>0</v>
      </c>
      <c r="AJ116" s="283">
        <f t="shared" si="54"/>
        <v>195.73</v>
      </c>
      <c r="AK116" s="283">
        <f t="shared" si="55"/>
        <v>0</v>
      </c>
      <c r="AL116" s="283">
        <f t="shared" si="56"/>
        <v>0</v>
      </c>
      <c r="AM116" s="283">
        <f t="shared" si="57"/>
        <v>1887.48</v>
      </c>
      <c r="AN116" s="283">
        <f t="shared" si="58"/>
        <v>0</v>
      </c>
      <c r="AO116" s="283">
        <f t="shared" si="59"/>
        <v>0</v>
      </c>
      <c r="AP116" s="283">
        <f t="shared" si="60"/>
        <v>0</v>
      </c>
      <c r="AQ116" s="283">
        <f t="shared" si="61"/>
        <v>0</v>
      </c>
      <c r="AR116" s="283">
        <f t="shared" si="62"/>
        <v>0</v>
      </c>
      <c r="AS116" s="283">
        <f t="shared" si="63"/>
        <v>0</v>
      </c>
      <c r="AT116" s="283">
        <f t="shared" si="64"/>
        <v>0</v>
      </c>
      <c r="AU116" s="283">
        <f t="shared" si="65"/>
        <v>0</v>
      </c>
      <c r="AV116" s="283">
        <f t="shared" si="66"/>
        <v>0</v>
      </c>
      <c r="AW116" s="320">
        <f t="shared" si="67"/>
        <v>2083.21</v>
      </c>
    </row>
    <row r="117" spans="1:49" x14ac:dyDescent="0.2">
      <c r="A117" s="1" t="s">
        <v>476</v>
      </c>
      <c r="B117" s="7">
        <v>128</v>
      </c>
      <c r="C117" s="7">
        <v>0</v>
      </c>
      <c r="D117" s="2">
        <f>(B117+C117)*0.124+0.01</f>
        <v>15.88</v>
      </c>
      <c r="E117" s="2">
        <f>(B117+C117)*0.049</f>
        <v>6.27</v>
      </c>
      <c r="F117" s="2">
        <f>(B117+C117)*0.0524</f>
        <v>6.71</v>
      </c>
      <c r="G117" s="2">
        <f t="shared" si="48"/>
        <v>11.29</v>
      </c>
      <c r="H117" s="2">
        <f t="shared" si="69"/>
        <v>1.25</v>
      </c>
      <c r="I117" s="2">
        <f t="shared" si="49"/>
        <v>0</v>
      </c>
      <c r="J117" s="376">
        <f t="shared" si="46"/>
        <v>41.4</v>
      </c>
      <c r="K117" s="1"/>
      <c r="L117" s="7"/>
      <c r="M117" s="7"/>
      <c r="N117" s="7"/>
      <c r="O117" s="7">
        <v>128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>
        <f t="shared" si="73"/>
        <v>128</v>
      </c>
      <c r="AF117" s="283">
        <f t="shared" si="50"/>
        <v>0</v>
      </c>
      <c r="AG117" s="283">
        <f t="shared" si="51"/>
        <v>0</v>
      </c>
      <c r="AH117" s="283">
        <f t="shared" si="52"/>
        <v>11.29</v>
      </c>
      <c r="AI117" s="283">
        <f t="shared" si="53"/>
        <v>0</v>
      </c>
      <c r="AJ117" s="283">
        <f t="shared" si="54"/>
        <v>0</v>
      </c>
      <c r="AK117" s="283">
        <f t="shared" si="55"/>
        <v>0</v>
      </c>
      <c r="AL117" s="283">
        <f t="shared" si="56"/>
        <v>0</v>
      </c>
      <c r="AM117" s="283">
        <f t="shared" si="57"/>
        <v>0</v>
      </c>
      <c r="AN117" s="283">
        <f t="shared" si="58"/>
        <v>0</v>
      </c>
      <c r="AO117" s="283">
        <f t="shared" si="59"/>
        <v>0</v>
      </c>
      <c r="AP117" s="283">
        <f t="shared" si="60"/>
        <v>0</v>
      </c>
      <c r="AQ117" s="283">
        <f t="shared" si="61"/>
        <v>0</v>
      </c>
      <c r="AR117" s="283">
        <f t="shared" si="62"/>
        <v>0</v>
      </c>
      <c r="AS117" s="283">
        <f t="shared" si="63"/>
        <v>0</v>
      </c>
      <c r="AT117" s="283">
        <f t="shared" si="64"/>
        <v>0</v>
      </c>
      <c r="AU117" s="283">
        <f t="shared" si="65"/>
        <v>0</v>
      </c>
      <c r="AV117" s="283">
        <f t="shared" si="66"/>
        <v>0</v>
      </c>
      <c r="AW117" s="320">
        <f t="shared" si="67"/>
        <v>11.29</v>
      </c>
    </row>
    <row r="118" spans="1:49" x14ac:dyDescent="0.2">
      <c r="A118" s="18" t="s">
        <v>571</v>
      </c>
      <c r="B118" s="246">
        <v>912935</v>
      </c>
      <c r="C118" s="246">
        <v>0</v>
      </c>
      <c r="D118" s="2">
        <f>(B118+C118)*0.124-0.01</f>
        <v>113203.93</v>
      </c>
      <c r="E118" s="78">
        <f>(B118+C118)*0.049</f>
        <v>44733.82</v>
      </c>
      <c r="F118" s="78">
        <f>(B118+C118)*0.0524</f>
        <v>47837.79</v>
      </c>
      <c r="G118" s="2">
        <f t="shared" si="48"/>
        <v>80520.87</v>
      </c>
      <c r="H118" s="2">
        <f t="shared" si="69"/>
        <v>8946.76</v>
      </c>
      <c r="I118" s="2">
        <f t="shared" si="49"/>
        <v>1118.8900000000001</v>
      </c>
      <c r="J118" s="376">
        <f t="shared" si="46"/>
        <v>296362.06</v>
      </c>
      <c r="K118" s="18"/>
      <c r="L118" s="246"/>
      <c r="M118" s="246"/>
      <c r="N118" s="246"/>
      <c r="O118" s="246">
        <v>641485</v>
      </c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>
        <v>271450</v>
      </c>
      <c r="AC118" s="246"/>
      <c r="AD118" s="246">
        <f>SUM(L118:AC118)</f>
        <v>912935</v>
      </c>
      <c r="AF118" s="283">
        <f t="shared" si="50"/>
        <v>0</v>
      </c>
      <c r="AG118" s="283">
        <f t="shared" si="51"/>
        <v>0</v>
      </c>
      <c r="AH118" s="283">
        <f t="shared" si="52"/>
        <v>56578.98</v>
      </c>
      <c r="AI118" s="283">
        <f t="shared" si="53"/>
        <v>0</v>
      </c>
      <c r="AJ118" s="283">
        <f t="shared" si="54"/>
        <v>0</v>
      </c>
      <c r="AK118" s="283">
        <f t="shared" si="55"/>
        <v>0</v>
      </c>
      <c r="AL118" s="283">
        <f t="shared" si="56"/>
        <v>0</v>
      </c>
      <c r="AM118" s="283">
        <f t="shared" si="57"/>
        <v>0</v>
      </c>
      <c r="AN118" s="283">
        <f t="shared" si="58"/>
        <v>0</v>
      </c>
      <c r="AO118" s="283">
        <f t="shared" si="59"/>
        <v>0</v>
      </c>
      <c r="AP118" s="283">
        <f t="shared" si="60"/>
        <v>0</v>
      </c>
      <c r="AQ118" s="283">
        <f t="shared" si="61"/>
        <v>0</v>
      </c>
      <c r="AR118" s="283">
        <f t="shared" si="62"/>
        <v>0</v>
      </c>
      <c r="AS118" s="283">
        <f t="shared" si="63"/>
        <v>0</v>
      </c>
      <c r="AT118" s="283">
        <f t="shared" si="64"/>
        <v>0</v>
      </c>
      <c r="AU118" s="283">
        <f t="shared" si="65"/>
        <v>23941.89</v>
      </c>
      <c r="AV118" s="283">
        <f t="shared" si="66"/>
        <v>0</v>
      </c>
      <c r="AW118" s="320">
        <f t="shared" si="67"/>
        <v>80520.87</v>
      </c>
    </row>
    <row r="119" spans="1:49" x14ac:dyDescent="0.2">
      <c r="A119" s="18" t="s">
        <v>785</v>
      </c>
      <c r="B119" s="7"/>
      <c r="C119" s="7"/>
      <c r="D119" s="2">
        <f>(B119+C119)*0.124</f>
        <v>0</v>
      </c>
      <c r="E119" s="2">
        <f>(B119+C119)*0.049</f>
        <v>0</v>
      </c>
      <c r="F119" s="2">
        <f>(B119+C119)*0.0524</f>
        <v>0</v>
      </c>
      <c r="G119" s="2">
        <f>+AW119</f>
        <v>0</v>
      </c>
      <c r="H119" s="2">
        <f>(B119+C119)*0.0098</f>
        <v>0</v>
      </c>
      <c r="I119" s="2">
        <f>(AB119)*0.0041219</f>
        <v>0</v>
      </c>
      <c r="J119" s="376">
        <f>SUM(D119:I119)</f>
        <v>0</v>
      </c>
      <c r="K119" s="1"/>
      <c r="L119" s="7"/>
      <c r="M119" s="7"/>
      <c r="N119" s="7">
        <v>-519423</v>
      </c>
      <c r="O119" s="7">
        <v>519423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>
        <f>SUM(L119:AC119)</f>
        <v>0</v>
      </c>
      <c r="AF119" s="283">
        <f>+M119*$AF$12</f>
        <v>0</v>
      </c>
      <c r="AG119" s="283">
        <f>+N119*$AG$12</f>
        <v>-45813.11</v>
      </c>
      <c r="AH119" s="283">
        <f>+O119*$AH$12</f>
        <v>45813.11</v>
      </c>
      <c r="AI119" s="283">
        <f>+P119*$AI$12</f>
        <v>0</v>
      </c>
      <c r="AJ119" s="283">
        <f>+Q119*$AJ$12</f>
        <v>0</v>
      </c>
      <c r="AK119" s="283">
        <f>+R119*$AK$12</f>
        <v>0</v>
      </c>
      <c r="AL119" s="283">
        <f>+S119*$AL$12</f>
        <v>0</v>
      </c>
      <c r="AM119" s="283">
        <f>+T119*$AM$12</f>
        <v>0</v>
      </c>
      <c r="AN119" s="283">
        <f>+U119*$AN$12</f>
        <v>0</v>
      </c>
      <c r="AO119" s="283">
        <f>+V119*$AO$12</f>
        <v>0</v>
      </c>
      <c r="AP119" s="283">
        <f>+W119*$AP$12</f>
        <v>0</v>
      </c>
      <c r="AQ119" s="283">
        <f>+X119*$AQ$12</f>
        <v>0</v>
      </c>
      <c r="AR119" s="283">
        <f>+Y119*$AR$12</f>
        <v>0</v>
      </c>
      <c r="AS119" s="283">
        <f>+Z119*$AS$12</f>
        <v>0</v>
      </c>
      <c r="AT119" s="283">
        <f>+AA119*$AT$12</f>
        <v>0</v>
      </c>
      <c r="AU119" s="283">
        <f>+AB119*$AU$12</f>
        <v>0</v>
      </c>
      <c r="AV119" s="283">
        <f>+AC119*$AV$12</f>
        <v>0</v>
      </c>
      <c r="AW119" s="320">
        <f>SUM(AF119:AV119)</f>
        <v>0</v>
      </c>
    </row>
    <row r="120" spans="1:49" x14ac:dyDescent="0.2">
      <c r="A120" s="18" t="s">
        <v>70</v>
      </c>
      <c r="B120" s="246">
        <v>164253</v>
      </c>
      <c r="C120" s="246">
        <v>0</v>
      </c>
      <c r="D120" s="2">
        <f>(B120+C120)*0.124</f>
        <v>20367.37</v>
      </c>
      <c r="E120" s="78">
        <f t="shared" si="74"/>
        <v>8048.4</v>
      </c>
      <c r="F120" s="78">
        <f t="shared" si="75"/>
        <v>8606.86</v>
      </c>
      <c r="G120" s="2">
        <f t="shared" si="48"/>
        <v>14487.11</v>
      </c>
      <c r="H120" s="2">
        <f t="shared" si="69"/>
        <v>1609.68</v>
      </c>
      <c r="I120" s="2">
        <f t="shared" si="49"/>
        <v>677.03</v>
      </c>
      <c r="J120" s="376">
        <f>SUM(D120:I120)</f>
        <v>53796.45</v>
      </c>
      <c r="K120" s="18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7">
        <v>164253</v>
      </c>
      <c r="AC120" s="246"/>
      <c r="AD120" s="246">
        <f t="shared" si="73"/>
        <v>164253</v>
      </c>
      <c r="AF120" s="283">
        <f t="shared" si="50"/>
        <v>0</v>
      </c>
      <c r="AG120" s="283">
        <f t="shared" si="51"/>
        <v>0</v>
      </c>
      <c r="AH120" s="283">
        <f t="shared" si="52"/>
        <v>0</v>
      </c>
      <c r="AI120" s="283">
        <f t="shared" si="53"/>
        <v>0</v>
      </c>
      <c r="AJ120" s="283">
        <f t="shared" si="54"/>
        <v>0</v>
      </c>
      <c r="AK120" s="283">
        <f t="shared" si="55"/>
        <v>0</v>
      </c>
      <c r="AL120" s="283">
        <f t="shared" si="56"/>
        <v>0</v>
      </c>
      <c r="AM120" s="283">
        <f t="shared" si="57"/>
        <v>0</v>
      </c>
      <c r="AN120" s="283">
        <f t="shared" si="58"/>
        <v>0</v>
      </c>
      <c r="AO120" s="283">
        <f t="shared" si="59"/>
        <v>0</v>
      </c>
      <c r="AP120" s="283">
        <f t="shared" si="60"/>
        <v>0</v>
      </c>
      <c r="AQ120" s="283">
        <f t="shared" si="61"/>
        <v>0</v>
      </c>
      <c r="AR120" s="283">
        <f t="shared" si="62"/>
        <v>0</v>
      </c>
      <c r="AS120" s="283">
        <f t="shared" si="63"/>
        <v>0</v>
      </c>
      <c r="AT120" s="283">
        <f t="shared" si="64"/>
        <v>0</v>
      </c>
      <c r="AU120" s="283">
        <f t="shared" si="65"/>
        <v>14487.11</v>
      </c>
      <c r="AV120" s="283">
        <f t="shared" si="66"/>
        <v>0</v>
      </c>
      <c r="AW120" s="320">
        <f t="shared" si="67"/>
        <v>14487.11</v>
      </c>
    </row>
    <row r="121" spans="1:49" x14ac:dyDescent="0.2">
      <c r="A121" s="1" t="s">
        <v>71</v>
      </c>
      <c r="B121" s="7">
        <v>241685</v>
      </c>
      <c r="C121" s="7">
        <v>0</v>
      </c>
      <c r="D121" s="2">
        <f>(B121+C121)*0.124-0.02</f>
        <v>29968.92</v>
      </c>
      <c r="E121" s="2">
        <f t="shared" si="74"/>
        <v>11842.57</v>
      </c>
      <c r="F121" s="2">
        <f t="shared" si="75"/>
        <v>12664.29</v>
      </c>
      <c r="G121" s="2">
        <f t="shared" si="48"/>
        <v>21208.14</v>
      </c>
      <c r="H121" s="2">
        <f>(B121+C121)*0.0098+0.01</f>
        <v>2368.52</v>
      </c>
      <c r="I121" s="2">
        <f t="shared" si="49"/>
        <v>0</v>
      </c>
      <c r="J121" s="376">
        <f>SUM(D121:I121)</f>
        <v>78052.44</v>
      </c>
      <c r="K121" s="1"/>
      <c r="L121" s="7"/>
      <c r="M121" s="7"/>
      <c r="N121" s="7">
        <v>156452</v>
      </c>
      <c r="O121" s="7"/>
      <c r="P121" s="7"/>
      <c r="Q121" s="7"/>
      <c r="R121" s="7">
        <v>2214</v>
      </c>
      <c r="S121" s="7"/>
      <c r="T121" s="7"/>
      <c r="U121" s="7"/>
      <c r="V121" s="7"/>
      <c r="W121" s="7"/>
      <c r="X121" s="7">
        <v>83019</v>
      </c>
      <c r="Y121" s="7"/>
      <c r="Z121" s="7"/>
      <c r="AA121" s="7"/>
      <c r="AB121" s="7"/>
      <c r="AC121" s="7"/>
      <c r="AD121" s="7">
        <f t="shared" si="73"/>
        <v>241685</v>
      </c>
      <c r="AF121" s="283">
        <f t="shared" si="50"/>
        <v>0</v>
      </c>
      <c r="AG121" s="283">
        <f t="shared" si="51"/>
        <v>13799.07</v>
      </c>
      <c r="AH121" s="283">
        <f t="shared" si="52"/>
        <v>0</v>
      </c>
      <c r="AI121" s="283">
        <f t="shared" si="53"/>
        <v>0</v>
      </c>
      <c r="AJ121" s="283">
        <f t="shared" si="54"/>
        <v>0</v>
      </c>
      <c r="AK121" s="283">
        <f t="shared" si="55"/>
        <v>86.79</v>
      </c>
      <c r="AL121" s="283">
        <f t="shared" si="56"/>
        <v>0</v>
      </c>
      <c r="AM121" s="283">
        <f t="shared" si="57"/>
        <v>0</v>
      </c>
      <c r="AN121" s="283">
        <f t="shared" si="58"/>
        <v>0</v>
      </c>
      <c r="AO121" s="283">
        <f t="shared" si="59"/>
        <v>0</v>
      </c>
      <c r="AP121" s="283">
        <f t="shared" si="60"/>
        <v>0</v>
      </c>
      <c r="AQ121" s="283">
        <f t="shared" si="61"/>
        <v>7322.28</v>
      </c>
      <c r="AR121" s="283">
        <f t="shared" si="62"/>
        <v>0</v>
      </c>
      <c r="AS121" s="283">
        <f t="shared" si="63"/>
        <v>0</v>
      </c>
      <c r="AT121" s="283">
        <f t="shared" si="64"/>
        <v>0</v>
      </c>
      <c r="AU121" s="283">
        <f t="shared" si="65"/>
        <v>0</v>
      </c>
      <c r="AV121" s="283">
        <f t="shared" si="66"/>
        <v>0</v>
      </c>
      <c r="AW121" s="320">
        <f t="shared" si="67"/>
        <v>21208.14</v>
      </c>
    </row>
    <row r="122" spans="1:49" x14ac:dyDescent="0.2">
      <c r="A122" s="1" t="s">
        <v>363</v>
      </c>
      <c r="B122" s="7">
        <v>148160</v>
      </c>
      <c r="C122" s="7">
        <v>0</v>
      </c>
      <c r="D122" s="2">
        <f>(B122+C122)*0.124</f>
        <v>18371.84</v>
      </c>
      <c r="E122" s="2">
        <f>(B122+C122)*0.049</f>
        <v>7259.84</v>
      </c>
      <c r="F122" s="2">
        <f>(B122+C122)*0.0524</f>
        <v>7763.58</v>
      </c>
      <c r="G122" s="2">
        <f t="shared" si="48"/>
        <v>13067.71</v>
      </c>
      <c r="H122" s="2">
        <f t="shared" si="69"/>
        <v>1451.97</v>
      </c>
      <c r="I122" s="2">
        <f t="shared" si="49"/>
        <v>0</v>
      </c>
      <c r="J122" s="376">
        <f>SUM(D122:I122)</f>
        <v>47914.94</v>
      </c>
      <c r="K122" s="1"/>
      <c r="L122" s="7"/>
      <c r="M122" s="7"/>
      <c r="N122" s="7"/>
      <c r="O122" s="7">
        <v>148160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>
        <f>SUM(L122:AC122)</f>
        <v>148160</v>
      </c>
      <c r="AF122" s="283">
        <f t="shared" si="50"/>
        <v>0</v>
      </c>
      <c r="AG122" s="283">
        <f t="shared" si="51"/>
        <v>0</v>
      </c>
      <c r="AH122" s="283">
        <f t="shared" si="52"/>
        <v>13067.71</v>
      </c>
      <c r="AI122" s="283">
        <f t="shared" si="53"/>
        <v>0</v>
      </c>
      <c r="AJ122" s="283">
        <f t="shared" si="54"/>
        <v>0</v>
      </c>
      <c r="AK122" s="283">
        <f t="shared" si="55"/>
        <v>0</v>
      </c>
      <c r="AL122" s="283">
        <f t="shared" si="56"/>
        <v>0</v>
      </c>
      <c r="AM122" s="283">
        <f t="shared" si="57"/>
        <v>0</v>
      </c>
      <c r="AN122" s="283">
        <f t="shared" si="58"/>
        <v>0</v>
      </c>
      <c r="AO122" s="283">
        <f t="shared" si="59"/>
        <v>0</v>
      </c>
      <c r="AP122" s="283">
        <f t="shared" si="60"/>
        <v>0</v>
      </c>
      <c r="AQ122" s="283">
        <f t="shared" si="61"/>
        <v>0</v>
      </c>
      <c r="AR122" s="283">
        <f t="shared" si="62"/>
        <v>0</v>
      </c>
      <c r="AS122" s="283">
        <f t="shared" si="63"/>
        <v>0</v>
      </c>
      <c r="AT122" s="283">
        <f t="shared" si="64"/>
        <v>0</v>
      </c>
      <c r="AU122" s="283">
        <f t="shared" si="65"/>
        <v>0</v>
      </c>
      <c r="AV122" s="283">
        <f t="shared" si="66"/>
        <v>0</v>
      </c>
      <c r="AW122" s="320">
        <f t="shared" si="67"/>
        <v>13067.71</v>
      </c>
    </row>
    <row r="123" spans="1:49" x14ac:dyDescent="0.2">
      <c r="A123" s="10"/>
      <c r="B123" s="32"/>
      <c r="C123" s="32"/>
      <c r="D123" s="33"/>
      <c r="E123" s="33"/>
      <c r="F123" s="33"/>
      <c r="G123" s="33"/>
      <c r="H123" s="33"/>
      <c r="I123" s="33"/>
      <c r="J123" s="377"/>
      <c r="K123" s="90"/>
      <c r="L123" s="90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W123" s="320"/>
    </row>
    <row r="124" spans="1:49" ht="13.5" thickBot="1" x14ac:dyDescent="0.25">
      <c r="A124" s="128" t="s">
        <v>72</v>
      </c>
      <c r="B124" s="7">
        <f t="shared" ref="B124:J124" si="76">SUM(B12:B123)</f>
        <v>70081843</v>
      </c>
      <c r="C124" s="7">
        <f t="shared" si="76"/>
        <v>20337870</v>
      </c>
      <c r="D124" s="2">
        <f t="shared" si="76"/>
        <v>11232761.109999999</v>
      </c>
      <c r="E124" s="2">
        <f t="shared" si="76"/>
        <v>4430597.54</v>
      </c>
      <c r="F124" s="2">
        <f t="shared" si="76"/>
        <v>4738029.24</v>
      </c>
      <c r="G124" s="2">
        <f t="shared" si="76"/>
        <v>7645584.8499999996</v>
      </c>
      <c r="H124" s="2">
        <f t="shared" si="76"/>
        <v>886121.38</v>
      </c>
      <c r="I124" s="2">
        <f t="shared" si="76"/>
        <v>63915.1</v>
      </c>
      <c r="J124" s="378">
        <f t="shared" si="76"/>
        <v>28997009.219999999</v>
      </c>
      <c r="K124" s="7"/>
      <c r="L124" s="114" t="s">
        <v>73</v>
      </c>
      <c r="M124" s="37">
        <f t="shared" ref="M124:AD124" si="77">SUM(M12:M123)</f>
        <v>3040069</v>
      </c>
      <c r="N124" s="37">
        <f t="shared" si="77"/>
        <v>341111</v>
      </c>
      <c r="O124" s="37">
        <f t="shared" si="77"/>
        <v>60579924</v>
      </c>
      <c r="P124" s="37">
        <f t="shared" si="77"/>
        <v>2010500</v>
      </c>
      <c r="Q124" s="37">
        <f t="shared" si="77"/>
        <v>2145650</v>
      </c>
      <c r="R124" s="37">
        <f t="shared" si="77"/>
        <v>32447</v>
      </c>
      <c r="S124" s="37">
        <f t="shared" si="77"/>
        <v>101387</v>
      </c>
      <c r="T124" s="37">
        <f t="shared" si="77"/>
        <v>1357619</v>
      </c>
      <c r="U124" s="37">
        <f t="shared" si="77"/>
        <v>340057</v>
      </c>
      <c r="V124" s="37">
        <f t="shared" si="77"/>
        <v>166110</v>
      </c>
      <c r="W124" s="37">
        <f t="shared" si="77"/>
        <v>1466059</v>
      </c>
      <c r="X124" s="37">
        <f t="shared" si="77"/>
        <v>286648</v>
      </c>
      <c r="Y124" s="37">
        <f t="shared" si="77"/>
        <v>2168120</v>
      </c>
      <c r="Z124" s="37">
        <f t="shared" si="77"/>
        <v>260843</v>
      </c>
      <c r="AA124" s="37">
        <f t="shared" si="77"/>
        <v>24993</v>
      </c>
      <c r="AB124" s="37">
        <f t="shared" si="77"/>
        <v>15521823</v>
      </c>
      <c r="AC124" s="37">
        <f t="shared" si="77"/>
        <v>576540</v>
      </c>
      <c r="AD124" s="37">
        <f t="shared" si="77"/>
        <v>90419900</v>
      </c>
      <c r="AF124" s="321">
        <f t="shared" ref="AF124:AW124" si="78">SUM(AF13:AF123)</f>
        <v>268134.08</v>
      </c>
      <c r="AG124" s="321">
        <f t="shared" si="78"/>
        <v>30086</v>
      </c>
      <c r="AH124" s="321">
        <f t="shared" si="78"/>
        <v>5343149.28</v>
      </c>
      <c r="AI124" s="321">
        <f t="shared" si="78"/>
        <v>78811.600000000006</v>
      </c>
      <c r="AJ124" s="321">
        <f t="shared" si="78"/>
        <v>84102.86</v>
      </c>
      <c r="AK124" s="321">
        <f t="shared" si="78"/>
        <v>1271.92</v>
      </c>
      <c r="AL124" s="321">
        <f t="shared" si="78"/>
        <v>3974.37</v>
      </c>
      <c r="AM124" s="321">
        <f t="shared" si="78"/>
        <v>119741.99</v>
      </c>
      <c r="AN124" s="321">
        <f t="shared" si="78"/>
        <v>26037.58</v>
      </c>
      <c r="AO124" s="321">
        <f t="shared" si="78"/>
        <v>6511.5</v>
      </c>
      <c r="AP124" s="321">
        <f t="shared" si="78"/>
        <v>129306.39</v>
      </c>
      <c r="AQ124" s="321">
        <f t="shared" si="78"/>
        <v>25282.35</v>
      </c>
      <c r="AR124" s="321">
        <f t="shared" si="78"/>
        <v>84990.29</v>
      </c>
      <c r="AS124" s="321">
        <f t="shared" si="78"/>
        <v>23006.35</v>
      </c>
      <c r="AT124" s="321">
        <f t="shared" si="78"/>
        <v>979.73</v>
      </c>
      <c r="AU124" s="321">
        <f t="shared" si="78"/>
        <v>1368499.33</v>
      </c>
      <c r="AV124" s="321">
        <f t="shared" si="78"/>
        <v>50850.82</v>
      </c>
      <c r="AW124" s="321">
        <f t="shared" si="78"/>
        <v>7644736.4400000004</v>
      </c>
    </row>
    <row r="125" spans="1:49" x14ac:dyDescent="0.2">
      <c r="A125" s="128" t="s">
        <v>74</v>
      </c>
      <c r="B125" s="7">
        <f>C124</f>
        <v>20337870</v>
      </c>
      <c r="C125" s="7"/>
      <c r="D125" s="2"/>
      <c r="E125" s="2"/>
      <c r="F125" s="2"/>
      <c r="G125" s="2"/>
      <c r="H125" s="2"/>
      <c r="I125" s="2"/>
      <c r="J125" s="378"/>
      <c r="K125" s="1"/>
      <c r="L125" s="7"/>
      <c r="M125" s="7"/>
      <c r="N125" s="7"/>
      <c r="O125" s="7"/>
      <c r="P125" s="7"/>
      <c r="Q125" s="7"/>
      <c r="R125" s="7"/>
      <c r="S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W125" s="320"/>
    </row>
    <row r="126" spans="1:49" ht="13.5" thickBot="1" x14ac:dyDescent="0.25">
      <c r="A126" s="129" t="s">
        <v>12</v>
      </c>
      <c r="B126" s="34">
        <f>B124+B125</f>
        <v>90419713</v>
      </c>
      <c r="C126" s="35"/>
      <c r="D126" s="36">
        <f t="shared" ref="D126:J126" si="79">D124</f>
        <v>11232761.109999999</v>
      </c>
      <c r="E126" s="36">
        <f t="shared" si="79"/>
        <v>4430597.54</v>
      </c>
      <c r="F126" s="36">
        <f t="shared" si="79"/>
        <v>4738029.24</v>
      </c>
      <c r="G126" s="36">
        <f t="shared" si="79"/>
        <v>7645584.8499999996</v>
      </c>
      <c r="H126" s="36">
        <f t="shared" si="79"/>
        <v>886121.38</v>
      </c>
      <c r="I126" s="36">
        <f t="shared" si="79"/>
        <v>63915.1</v>
      </c>
      <c r="J126" s="379">
        <f t="shared" si="79"/>
        <v>28997009.219999999</v>
      </c>
      <c r="K126" s="1"/>
      <c r="L126" s="23" t="s">
        <v>75</v>
      </c>
      <c r="M126" s="8">
        <f>M124*0.0882</f>
        <v>268134.09000000003</v>
      </c>
      <c r="N126" s="8">
        <f>N124*0.0882</f>
        <v>30085.99</v>
      </c>
      <c r="O126" s="8">
        <f>O124*0.0882</f>
        <v>5343149.3</v>
      </c>
      <c r="P126" s="8">
        <f>P124*0.0392</f>
        <v>78811.600000000006</v>
      </c>
      <c r="Q126" s="8">
        <f>Q124*0.0392</f>
        <v>84109.48</v>
      </c>
      <c r="R126" s="8">
        <f>R124*0.0392</f>
        <v>1271.92</v>
      </c>
      <c r="S126" s="8">
        <f>S124*0.0392</f>
        <v>3974.37</v>
      </c>
      <c r="T126" s="8">
        <f>T124*0.0882</f>
        <v>119742</v>
      </c>
      <c r="U126" s="8">
        <f>U124*0.0882</f>
        <v>29993.03</v>
      </c>
      <c r="V126" s="8">
        <f>V124*0.0392</f>
        <v>6511.51</v>
      </c>
      <c r="W126" s="8">
        <f>W124*0.0882</f>
        <v>129306.4</v>
      </c>
      <c r="X126" s="8">
        <f>X124*0.0882</f>
        <v>25282.35</v>
      </c>
      <c r="Y126" s="8">
        <f>Y124*0.0392</f>
        <v>84990.3</v>
      </c>
      <c r="Z126" s="8">
        <f>Z124*0.0882</f>
        <v>23006.35</v>
      </c>
      <c r="AA126" s="8">
        <f>AA124*0.0392</f>
        <v>979.73</v>
      </c>
      <c r="AB126" s="8">
        <f>AB124*0.0882</f>
        <v>1369024.79</v>
      </c>
      <c r="AC126" s="8">
        <f>AC124*0.0882</f>
        <v>50850.83</v>
      </c>
      <c r="AW126" s="320"/>
    </row>
    <row r="127" spans="1:49" x14ac:dyDescent="0.2">
      <c r="A127" s="1"/>
      <c r="B127" s="7" t="s">
        <v>500</v>
      </c>
      <c r="C127" s="1"/>
      <c r="D127" s="1"/>
      <c r="E127" s="1"/>
      <c r="F127" s="1"/>
      <c r="G127" s="1"/>
      <c r="H127" s="1"/>
      <c r="I127" s="1"/>
      <c r="J127" s="1"/>
      <c r="K127" s="1"/>
      <c r="L127" s="22" t="s">
        <v>76</v>
      </c>
      <c r="M127" s="8">
        <f t="shared" ref="M127:V127" si="80">M124*0.0098</f>
        <v>29792.68</v>
      </c>
      <c r="N127" s="8">
        <f t="shared" si="80"/>
        <v>3342.89</v>
      </c>
      <c r="O127" s="8">
        <f t="shared" si="80"/>
        <v>593683.26</v>
      </c>
      <c r="P127" s="8">
        <f t="shared" si="80"/>
        <v>19702.900000000001</v>
      </c>
      <c r="Q127" s="8">
        <f t="shared" si="80"/>
        <v>21027.37</v>
      </c>
      <c r="R127" s="8">
        <f t="shared" si="80"/>
        <v>317.98</v>
      </c>
      <c r="S127" s="8">
        <f t="shared" si="80"/>
        <v>993.59</v>
      </c>
      <c r="T127" s="8">
        <f t="shared" si="80"/>
        <v>13304.67</v>
      </c>
      <c r="U127" s="8">
        <f t="shared" si="80"/>
        <v>3332.56</v>
      </c>
      <c r="V127" s="8">
        <f t="shared" si="80"/>
        <v>1627.88</v>
      </c>
      <c r="W127" s="8">
        <f t="shared" ref="W127:AC127" si="81">W124*0.0098</f>
        <v>14367.38</v>
      </c>
      <c r="X127" s="8">
        <f t="shared" si="81"/>
        <v>2809.15</v>
      </c>
      <c r="Y127" s="8">
        <f t="shared" si="81"/>
        <v>21247.58</v>
      </c>
      <c r="Z127" s="8">
        <f t="shared" si="81"/>
        <v>2556.2600000000002</v>
      </c>
      <c r="AA127" s="8">
        <f t="shared" si="81"/>
        <v>244.93</v>
      </c>
      <c r="AB127" s="8">
        <f t="shared" si="81"/>
        <v>152113.87</v>
      </c>
      <c r="AC127" s="8">
        <f t="shared" si="81"/>
        <v>5650.09</v>
      </c>
      <c r="AW127" s="320"/>
    </row>
    <row r="128" spans="1:49" hidden="1" x14ac:dyDescent="0.2">
      <c r="A128" s="1"/>
      <c r="B128" s="1"/>
      <c r="C128" s="1"/>
      <c r="D128" s="1"/>
      <c r="E128" s="1"/>
      <c r="F128" s="1"/>
      <c r="G128" s="24" t="s">
        <v>77</v>
      </c>
      <c r="H128" s="2">
        <v>0</v>
      </c>
      <c r="I128" s="2"/>
      <c r="J128" s="2">
        <f>'s6, s6a'!L28</f>
        <v>7239.65</v>
      </c>
      <c r="K128" s="2"/>
      <c r="L128" s="312" t="s">
        <v>657</v>
      </c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13"/>
      <c r="Y128" s="313"/>
      <c r="Z128" s="313"/>
      <c r="AA128" s="313"/>
      <c r="AB128" s="8">
        <f>AB124*0.0041219-64.29</f>
        <v>63915.11</v>
      </c>
      <c r="AC128" s="313"/>
    </row>
    <row r="129" spans="1:31" hidden="1" x14ac:dyDescent="0.2">
      <c r="A129" s="1"/>
      <c r="B129" s="1"/>
      <c r="C129" s="1"/>
      <c r="D129" s="1"/>
      <c r="E129" s="1"/>
      <c r="F129" s="2"/>
      <c r="H129" s="1"/>
      <c r="I129" s="1"/>
      <c r="J129" s="2"/>
      <c r="K129" s="1"/>
    </row>
    <row r="130" spans="1:31" hidden="1" x14ac:dyDescent="0.2">
      <c r="A130" s="1"/>
      <c r="B130" s="1"/>
      <c r="C130" s="1"/>
      <c r="D130" s="1"/>
      <c r="E130" s="1"/>
      <c r="F130" s="1"/>
      <c r="G130" s="5" t="s">
        <v>78</v>
      </c>
      <c r="H130" s="1"/>
      <c r="I130" s="1"/>
      <c r="J130" s="279">
        <f>20401387.89+8595621.33</f>
        <v>28997009.219999999</v>
      </c>
      <c r="K130" s="1"/>
      <c r="L130" t="s">
        <v>568</v>
      </c>
      <c r="M130" s="8">
        <v>297926.76</v>
      </c>
      <c r="N130" s="8">
        <v>33428.89</v>
      </c>
      <c r="O130" s="278">
        <v>5937075.8700000001</v>
      </c>
      <c r="P130" s="8">
        <v>98514.49</v>
      </c>
      <c r="Q130" s="8">
        <v>105422.91</v>
      </c>
      <c r="R130" s="8">
        <v>1589.9</v>
      </c>
      <c r="S130" s="8">
        <v>4967.97</v>
      </c>
      <c r="T130" s="8">
        <v>133484.39000000001</v>
      </c>
      <c r="U130" s="8">
        <v>29309.51</v>
      </c>
      <c r="V130" s="8">
        <v>8139.37</v>
      </c>
      <c r="W130" s="8">
        <v>143673.76</v>
      </c>
      <c r="X130" s="8">
        <v>28091.51</v>
      </c>
      <c r="Y130" s="278">
        <v>106237.87</v>
      </c>
      <c r="Z130" s="8">
        <v>25562.61</v>
      </c>
      <c r="AA130" s="8">
        <v>1224.6600000000001</v>
      </c>
      <c r="AB130" s="8">
        <v>1520554.85</v>
      </c>
      <c r="AC130" s="8">
        <v>56500.91</v>
      </c>
      <c r="AD130" s="8"/>
      <c r="AE130" s="8"/>
    </row>
    <row r="131" spans="1:31" hidden="1" x14ac:dyDescent="0.2">
      <c r="A131" s="1"/>
      <c r="B131" s="1"/>
      <c r="C131" s="1"/>
      <c r="D131" s="1"/>
      <c r="E131" s="1"/>
      <c r="F131" s="1"/>
      <c r="H131" s="1"/>
      <c r="I131" s="1"/>
      <c r="J131" s="2"/>
      <c r="K131" s="1"/>
      <c r="M131" s="313" t="s">
        <v>726</v>
      </c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6" t="s">
        <v>662</v>
      </c>
      <c r="AB131" s="8">
        <v>63915.1</v>
      </c>
      <c r="AC131" s="313"/>
    </row>
    <row r="132" spans="1:31" hidden="1" x14ac:dyDescent="0.2">
      <c r="A132" s="1"/>
      <c r="B132" s="1"/>
      <c r="C132" s="1"/>
      <c r="D132" s="1"/>
      <c r="E132" s="1">
        <f>ST12.65+_ST5+ST5.35</f>
        <v>20401387.890000001</v>
      </c>
      <c r="F132" s="1"/>
      <c r="G132" s="5" t="s">
        <v>79</v>
      </c>
      <c r="H132" s="1"/>
      <c r="I132" s="1"/>
      <c r="J132" s="2">
        <f>+J126+J128-J130</f>
        <v>7239.65</v>
      </c>
      <c r="K132" s="1"/>
      <c r="L132" s="7" t="s">
        <v>311</v>
      </c>
      <c r="M132" s="8">
        <f>M126+M127-M130</f>
        <v>0.01</v>
      </c>
      <c r="N132" s="8">
        <f t="shared" ref="N132:AC132" si="82">N126+N127-N130</f>
        <v>-0.01</v>
      </c>
      <c r="O132" s="8">
        <f t="shared" si="82"/>
        <v>-243.31</v>
      </c>
      <c r="P132" s="8">
        <f t="shared" si="82"/>
        <v>0.01</v>
      </c>
      <c r="Q132" s="8">
        <f t="shared" si="82"/>
        <v>-286.06</v>
      </c>
      <c r="R132" s="8">
        <f t="shared" si="82"/>
        <v>0</v>
      </c>
      <c r="S132" s="8">
        <f t="shared" si="82"/>
        <v>-0.01</v>
      </c>
      <c r="T132" s="8">
        <f t="shared" si="82"/>
        <v>-437.72</v>
      </c>
      <c r="U132" s="8">
        <f t="shared" si="82"/>
        <v>4016.08</v>
      </c>
      <c r="V132" s="8">
        <f t="shared" si="82"/>
        <v>0.02</v>
      </c>
      <c r="W132" s="8">
        <f t="shared" si="82"/>
        <v>0.02</v>
      </c>
      <c r="X132" s="8">
        <f t="shared" si="82"/>
        <v>-0.01</v>
      </c>
      <c r="Y132" s="8">
        <f t="shared" si="82"/>
        <v>0.01</v>
      </c>
      <c r="Z132" s="8">
        <f t="shared" si="82"/>
        <v>0</v>
      </c>
      <c r="AA132" s="8">
        <f t="shared" si="82"/>
        <v>0</v>
      </c>
      <c r="AB132" s="8">
        <f t="shared" si="82"/>
        <v>583.80999999999995</v>
      </c>
      <c r="AC132" s="8">
        <f t="shared" si="82"/>
        <v>0.01</v>
      </c>
    </row>
    <row r="133" spans="1:31" hidden="1" x14ac:dyDescent="0.2">
      <c r="A133" s="1"/>
      <c r="B133" s="1"/>
      <c r="C133" s="1"/>
      <c r="D133" s="1" t="s">
        <v>499</v>
      </c>
      <c r="E133" s="1">
        <v>20401387.890000001</v>
      </c>
      <c r="F133" s="1"/>
      <c r="G133" s="1"/>
      <c r="H133" s="1"/>
      <c r="I133" s="1"/>
      <c r="J133" s="1"/>
      <c r="K133" s="1"/>
      <c r="L133" s="7"/>
      <c r="AA133" s="315" t="s">
        <v>661</v>
      </c>
      <c r="AB133" s="8">
        <f>+AB128-AB131</f>
        <v>0.01</v>
      </c>
    </row>
    <row r="134" spans="1:31" hidden="1" x14ac:dyDescent="0.2">
      <c r="E134" s="223">
        <f>E132-E133</f>
        <v>0</v>
      </c>
      <c r="G134" s="11"/>
      <c r="H134" s="11"/>
      <c r="I134" s="11"/>
      <c r="Q134" s="265" t="s">
        <v>713</v>
      </c>
      <c r="R134" s="295"/>
      <c r="U134" s="265" t="s">
        <v>769</v>
      </c>
      <c r="V134" s="265"/>
    </row>
    <row r="135" spans="1:31" hidden="1" x14ac:dyDescent="0.2">
      <c r="G135" s="11"/>
      <c r="Q135" s="265" t="s">
        <v>714</v>
      </c>
      <c r="R135" s="295"/>
      <c r="U135" s="265" t="s">
        <v>696</v>
      </c>
      <c r="V135" s="265"/>
      <c r="Z135" s="265" t="s">
        <v>722</v>
      </c>
      <c r="AA135" s="265"/>
      <c r="AB135">
        <v>4.2059999999999997E-3</v>
      </c>
      <c r="AC135" t="s">
        <v>658</v>
      </c>
    </row>
    <row r="136" spans="1:31" hidden="1" x14ac:dyDescent="0.2">
      <c r="Z136" s="265" t="s">
        <v>723</v>
      </c>
      <c r="AA136" s="265"/>
      <c r="AB136">
        <f>0.004206*2%</f>
        <v>8.4120000000000001E-5</v>
      </c>
      <c r="AC136" t="s">
        <v>659</v>
      </c>
    </row>
    <row r="137" spans="1:31" hidden="1" x14ac:dyDescent="0.2">
      <c r="AB137" s="314">
        <f>+AB135-AB136</f>
        <v>4.1219000000000004E-3</v>
      </c>
      <c r="AC137" t="s">
        <v>660</v>
      </c>
    </row>
    <row r="138" spans="1:31" hidden="1" x14ac:dyDescent="0.2"/>
    <row r="139" spans="1:31" hidden="1" x14ac:dyDescent="0.2">
      <c r="G139" t="s">
        <v>82</v>
      </c>
    </row>
    <row r="140" spans="1:31" hidden="1" x14ac:dyDescent="0.2">
      <c r="H140" s="11"/>
      <c r="I140" s="11"/>
      <c r="K140" s="1" t="s">
        <v>80</v>
      </c>
    </row>
    <row r="141" spans="1:31" hidden="1" x14ac:dyDescent="0.2"/>
    <row r="142" spans="1:31" hidden="1" x14ac:dyDescent="0.2">
      <c r="H142" s="11"/>
      <c r="I142" s="11"/>
    </row>
    <row r="143" spans="1:31" hidden="1" x14ac:dyDescent="0.2"/>
    <row r="144" spans="1:3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55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9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203</v>
      </c>
    </row>
    <row r="2" spans="1:6" ht="15.75" x14ac:dyDescent="0.25">
      <c r="A2" s="112" t="str">
        <f>ReportMonth</f>
        <v>APRIL 2004</v>
      </c>
      <c r="B2" s="1"/>
      <c r="C2" s="1"/>
      <c r="D2" s="1"/>
      <c r="E2" s="1"/>
    </row>
    <row r="3" spans="1:6" s="85" customFormat="1" ht="15.75" x14ac:dyDescent="0.25">
      <c r="A3" s="66" t="s">
        <v>204</v>
      </c>
      <c r="B3" s="66"/>
      <c r="C3" s="43"/>
      <c r="D3" s="42"/>
      <c r="E3" s="43"/>
      <c r="F3" s="43"/>
    </row>
    <row r="4" spans="1:6" ht="15.75" x14ac:dyDescent="0.25">
      <c r="A4" s="42" t="s">
        <v>205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9" t="s">
        <v>206</v>
      </c>
    </row>
    <row r="7" spans="1:6" x14ac:dyDescent="0.2">
      <c r="A7" s="1"/>
      <c r="B7" s="1"/>
      <c r="C7" s="119" t="s">
        <v>165</v>
      </c>
      <c r="D7" s="119" t="s">
        <v>206</v>
      </c>
      <c r="E7" s="119" t="s">
        <v>165</v>
      </c>
      <c r="F7" s="130" t="s">
        <v>207</v>
      </c>
    </row>
    <row r="8" spans="1:6" x14ac:dyDescent="0.2">
      <c r="A8" s="109" t="s">
        <v>13</v>
      </c>
      <c r="B8" s="97" t="s">
        <v>208</v>
      </c>
      <c r="C8" s="97" t="s">
        <v>129</v>
      </c>
      <c r="D8" s="97" t="s">
        <v>208</v>
      </c>
      <c r="E8" s="97" t="s">
        <v>209</v>
      </c>
      <c r="F8" s="61" t="s">
        <v>73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210</v>
      </c>
      <c r="B10" s="7">
        <v>346237</v>
      </c>
      <c r="C10" s="2">
        <f t="shared" ref="C10:C31" si="0">B10*0.0098</f>
        <v>3393.12</v>
      </c>
      <c r="D10" s="7">
        <v>328489</v>
      </c>
      <c r="E10" s="2">
        <f>D10*0.02</f>
        <v>6569.78</v>
      </c>
      <c r="F10" s="11">
        <f>C10+E10</f>
        <v>9962.9</v>
      </c>
    </row>
    <row r="11" spans="1:6" x14ac:dyDescent="0.2">
      <c r="A11" s="1" t="s">
        <v>211</v>
      </c>
      <c r="B11" s="7">
        <v>5809945</v>
      </c>
      <c r="C11" s="2">
        <f t="shared" si="0"/>
        <v>56937.46</v>
      </c>
      <c r="D11" s="7">
        <v>5586240</v>
      </c>
      <c r="E11" s="2">
        <f t="shared" ref="E11:E29" si="1">D11*0.02</f>
        <v>111724.8</v>
      </c>
      <c r="F11" s="11">
        <f t="shared" ref="F11:F27" si="2">C11+E11</f>
        <v>168662.26</v>
      </c>
    </row>
    <row r="12" spans="1:6" x14ac:dyDescent="0.2">
      <c r="A12" s="1" t="s">
        <v>605</v>
      </c>
      <c r="B12" s="7">
        <v>2035152</v>
      </c>
      <c r="C12" s="2">
        <f>B12*0.0098</f>
        <v>19944.490000000002</v>
      </c>
      <c r="D12" s="7">
        <v>1729602</v>
      </c>
      <c r="E12" s="2">
        <f>D12*0.02</f>
        <v>34592.04</v>
      </c>
      <c r="F12" s="11">
        <f>C12+E12</f>
        <v>54536.53</v>
      </c>
    </row>
    <row r="13" spans="1:6" x14ac:dyDescent="0.2">
      <c r="A13" s="1" t="s">
        <v>212</v>
      </c>
      <c r="B13" s="7">
        <v>520423</v>
      </c>
      <c r="C13" s="2">
        <f>B13*0.0098-0.01</f>
        <v>5100.1400000000003</v>
      </c>
      <c r="D13" s="7">
        <v>377284</v>
      </c>
      <c r="E13" s="2">
        <f t="shared" si="1"/>
        <v>7545.68</v>
      </c>
      <c r="F13" s="11">
        <f t="shared" si="2"/>
        <v>12645.82</v>
      </c>
    </row>
    <row r="14" spans="1:6" s="20" customFormat="1" x14ac:dyDescent="0.2">
      <c r="A14" s="18" t="s">
        <v>456</v>
      </c>
      <c r="B14" s="246">
        <v>2041415</v>
      </c>
      <c r="C14" s="2">
        <f t="shared" si="0"/>
        <v>20005.87</v>
      </c>
      <c r="D14" s="7">
        <v>2041415</v>
      </c>
      <c r="E14" s="78">
        <f t="shared" si="1"/>
        <v>40828.300000000003</v>
      </c>
      <c r="F14" s="247">
        <f>C14+E14</f>
        <v>60834.17</v>
      </c>
    </row>
    <row r="15" spans="1:6" x14ac:dyDescent="0.2">
      <c r="A15" s="1" t="s">
        <v>213</v>
      </c>
      <c r="B15" s="7">
        <v>3831784</v>
      </c>
      <c r="C15" s="2">
        <f t="shared" si="0"/>
        <v>37551.480000000003</v>
      </c>
      <c r="D15" s="7">
        <v>3137961</v>
      </c>
      <c r="E15" s="2">
        <f t="shared" si="1"/>
        <v>62759.22</v>
      </c>
      <c r="F15" s="11">
        <f t="shared" si="2"/>
        <v>100310.7</v>
      </c>
    </row>
    <row r="16" spans="1:6" x14ac:dyDescent="0.2">
      <c r="A16" s="1" t="s">
        <v>602</v>
      </c>
      <c r="B16" s="7">
        <v>792218</v>
      </c>
      <c r="C16" s="2">
        <f t="shared" si="0"/>
        <v>7763.74</v>
      </c>
      <c r="D16" s="7">
        <v>792218</v>
      </c>
      <c r="E16" s="2">
        <f t="shared" si="1"/>
        <v>15844.36</v>
      </c>
      <c r="F16" s="11">
        <f>C16+E16</f>
        <v>23608.1</v>
      </c>
    </row>
    <row r="17" spans="1:6" x14ac:dyDescent="0.2">
      <c r="A17" s="1" t="s">
        <v>214</v>
      </c>
      <c r="B17" s="7">
        <v>2156574</v>
      </c>
      <c r="C17" s="2">
        <f t="shared" si="0"/>
        <v>21134.43</v>
      </c>
      <c r="D17" s="7">
        <v>2120874</v>
      </c>
      <c r="E17" s="2">
        <f t="shared" si="1"/>
        <v>42417.48</v>
      </c>
      <c r="F17" s="11">
        <f t="shared" si="2"/>
        <v>63551.91</v>
      </c>
    </row>
    <row r="18" spans="1:6" x14ac:dyDescent="0.2">
      <c r="A18" s="1" t="s">
        <v>215</v>
      </c>
      <c r="B18" s="7">
        <v>2213358</v>
      </c>
      <c r="C18" s="2">
        <f t="shared" si="0"/>
        <v>21690.91</v>
      </c>
      <c r="D18" s="7">
        <v>2213358</v>
      </c>
      <c r="E18" s="2">
        <f t="shared" si="1"/>
        <v>44267.16</v>
      </c>
      <c r="F18" s="11">
        <f t="shared" si="2"/>
        <v>65958.070000000007</v>
      </c>
    </row>
    <row r="19" spans="1:6" x14ac:dyDescent="0.2">
      <c r="A19" s="1" t="s">
        <v>585</v>
      </c>
      <c r="B19" s="7">
        <v>299453</v>
      </c>
      <c r="C19" s="2">
        <f>B19*0.0098</f>
        <v>2934.64</v>
      </c>
      <c r="D19" s="7">
        <v>299453</v>
      </c>
      <c r="E19" s="2">
        <f>D19*0.02</f>
        <v>5989.06</v>
      </c>
      <c r="F19" s="11">
        <f>C19+E19</f>
        <v>8923.7000000000007</v>
      </c>
    </row>
    <row r="20" spans="1:6" x14ac:dyDescent="0.2">
      <c r="A20" s="1" t="s">
        <v>464</v>
      </c>
      <c r="B20" s="7">
        <v>55032</v>
      </c>
      <c r="C20" s="2">
        <f t="shared" si="0"/>
        <v>539.30999999999995</v>
      </c>
      <c r="D20" s="7"/>
      <c r="E20" s="2">
        <f t="shared" si="1"/>
        <v>0</v>
      </c>
      <c r="F20" s="11">
        <f>C20+E20</f>
        <v>539.30999999999995</v>
      </c>
    </row>
    <row r="21" spans="1:6" x14ac:dyDescent="0.2">
      <c r="A21" s="1" t="s">
        <v>354</v>
      </c>
      <c r="B21" s="7">
        <v>15936</v>
      </c>
      <c r="C21" s="2">
        <f t="shared" si="0"/>
        <v>156.16999999999999</v>
      </c>
      <c r="D21" s="7">
        <v>15936</v>
      </c>
      <c r="E21" s="2">
        <f t="shared" si="1"/>
        <v>318.72000000000003</v>
      </c>
      <c r="F21" s="11">
        <f>C21+E21</f>
        <v>474.89</v>
      </c>
    </row>
    <row r="22" spans="1:6" x14ac:dyDescent="0.2">
      <c r="A22" s="1" t="s">
        <v>465</v>
      </c>
      <c r="B22" s="7">
        <v>193296</v>
      </c>
      <c r="C22" s="2">
        <f t="shared" si="0"/>
        <v>1894.3</v>
      </c>
      <c r="D22" s="7">
        <v>88856</v>
      </c>
      <c r="E22" s="2">
        <f t="shared" si="1"/>
        <v>1777.12</v>
      </c>
      <c r="F22" s="247">
        <f t="shared" si="2"/>
        <v>3671.42</v>
      </c>
    </row>
    <row r="23" spans="1:6" s="20" customFormat="1" x14ac:dyDescent="0.2">
      <c r="A23" s="18" t="s">
        <v>216</v>
      </c>
      <c r="B23" s="246">
        <v>2032702</v>
      </c>
      <c r="C23" s="2">
        <f t="shared" si="0"/>
        <v>19920.48</v>
      </c>
      <c r="D23" s="7">
        <v>1899516</v>
      </c>
      <c r="E23" s="78">
        <f t="shared" si="1"/>
        <v>37990.32</v>
      </c>
      <c r="F23" s="247">
        <f t="shared" si="2"/>
        <v>57910.8</v>
      </c>
    </row>
    <row r="24" spans="1:6" s="20" customFormat="1" x14ac:dyDescent="0.2">
      <c r="A24" s="18" t="s">
        <v>606</v>
      </c>
      <c r="B24" s="246">
        <v>77557</v>
      </c>
      <c r="C24" s="2">
        <f t="shared" si="0"/>
        <v>760.06</v>
      </c>
      <c r="D24" s="7">
        <v>77557</v>
      </c>
      <c r="E24" s="78">
        <f t="shared" si="1"/>
        <v>1551.14</v>
      </c>
      <c r="F24" s="247">
        <f>C24+E24</f>
        <v>2311.1999999999998</v>
      </c>
    </row>
    <row r="25" spans="1:6" s="20" customFormat="1" x14ac:dyDescent="0.2">
      <c r="A25" s="18" t="s">
        <v>217</v>
      </c>
      <c r="B25" s="246">
        <v>363327</v>
      </c>
      <c r="C25" s="2">
        <f t="shared" si="0"/>
        <v>3560.6</v>
      </c>
      <c r="D25" s="7">
        <v>363327</v>
      </c>
      <c r="E25" s="78">
        <f t="shared" si="1"/>
        <v>7266.54</v>
      </c>
      <c r="F25" s="247">
        <f t="shared" si="2"/>
        <v>10827.14</v>
      </c>
    </row>
    <row r="26" spans="1:6" x14ac:dyDescent="0.2">
      <c r="A26" s="1" t="s">
        <v>463</v>
      </c>
      <c r="B26" s="7">
        <v>5604</v>
      </c>
      <c r="C26" s="2">
        <f t="shared" si="0"/>
        <v>54.92</v>
      </c>
      <c r="D26" s="7"/>
      <c r="E26" s="2">
        <f t="shared" si="1"/>
        <v>0</v>
      </c>
      <c r="F26" s="247">
        <f>C26+E26</f>
        <v>54.92</v>
      </c>
    </row>
    <row r="27" spans="1:6" x14ac:dyDescent="0.2">
      <c r="A27" s="1" t="s">
        <v>65</v>
      </c>
      <c r="B27" s="7">
        <v>434808</v>
      </c>
      <c r="C27" s="2">
        <f t="shared" si="0"/>
        <v>4261.12</v>
      </c>
      <c r="D27" s="7">
        <v>434808</v>
      </c>
      <c r="E27" s="2">
        <f t="shared" si="1"/>
        <v>8696.16</v>
      </c>
      <c r="F27" s="11">
        <f t="shared" si="2"/>
        <v>12957.28</v>
      </c>
    </row>
    <row r="28" spans="1:6" x14ac:dyDescent="0.2">
      <c r="A28" s="1" t="s">
        <v>355</v>
      </c>
      <c r="B28" s="7">
        <v>8927814</v>
      </c>
      <c r="C28" s="2">
        <f t="shared" si="0"/>
        <v>87492.58</v>
      </c>
      <c r="D28" s="7">
        <v>7679658</v>
      </c>
      <c r="E28" s="2">
        <f t="shared" si="1"/>
        <v>153593.16</v>
      </c>
      <c r="F28" s="11">
        <f>C28+E28</f>
        <v>241085.74</v>
      </c>
    </row>
    <row r="29" spans="1:6" x14ac:dyDescent="0.2">
      <c r="A29" s="1" t="s">
        <v>478</v>
      </c>
      <c r="B29" s="7">
        <v>2024532</v>
      </c>
      <c r="C29" s="2">
        <f t="shared" si="0"/>
        <v>19840.41</v>
      </c>
      <c r="D29" s="7">
        <v>1797186</v>
      </c>
      <c r="E29" s="2">
        <f t="shared" si="1"/>
        <v>35943.72</v>
      </c>
      <c r="F29" s="11">
        <f>C29+E29</f>
        <v>55784.13</v>
      </c>
    </row>
    <row r="30" spans="1:6" x14ac:dyDescent="0.2">
      <c r="A30" s="1" t="s">
        <v>494</v>
      </c>
      <c r="B30" s="7">
        <v>2161362</v>
      </c>
      <c r="C30" s="2">
        <f t="shared" si="0"/>
        <v>21181.35</v>
      </c>
      <c r="D30" s="7">
        <v>2012262</v>
      </c>
      <c r="E30" s="2">
        <f>D30*0.02</f>
        <v>40245.24</v>
      </c>
      <c r="F30" s="11">
        <f>C30+E30</f>
        <v>61426.59</v>
      </c>
    </row>
    <row r="31" spans="1:6" x14ac:dyDescent="0.2">
      <c r="A31" s="1" t="s">
        <v>218</v>
      </c>
      <c r="B31" s="7">
        <v>27911</v>
      </c>
      <c r="C31" s="2">
        <f t="shared" si="0"/>
        <v>273.52999999999997</v>
      </c>
      <c r="D31" s="7">
        <v>19909</v>
      </c>
      <c r="E31" s="2">
        <f>D31*0.02</f>
        <v>398.18</v>
      </c>
      <c r="F31" s="11">
        <f>C31+E31</f>
        <v>671.71</v>
      </c>
    </row>
    <row r="32" spans="1:6" x14ac:dyDescent="0.2">
      <c r="A32" s="1" t="s">
        <v>219</v>
      </c>
      <c r="B32" s="7">
        <v>1332985</v>
      </c>
      <c r="C32" s="2">
        <f>B32*0.0098+0.01</f>
        <v>13063.26</v>
      </c>
      <c r="D32" s="7">
        <v>1330022</v>
      </c>
      <c r="E32" s="2">
        <f>D32*0.02-0.01</f>
        <v>26600.43</v>
      </c>
      <c r="F32" s="11">
        <f>C32+E32</f>
        <v>39663.69</v>
      </c>
    </row>
    <row r="34" spans="1:6" ht="22.5" customHeight="1" thickBot="1" x14ac:dyDescent="0.25">
      <c r="A34" s="1" t="s">
        <v>12</v>
      </c>
      <c r="B34" s="34">
        <f>SUM(B9:B33)</f>
        <v>37699425</v>
      </c>
      <c r="C34" s="132">
        <f>SUM(C9:C33)</f>
        <v>369454.37</v>
      </c>
      <c r="D34" s="34">
        <f>SUM(D9:D33)</f>
        <v>34345931</v>
      </c>
      <c r="E34" s="132">
        <f>SUM(E9:E33)</f>
        <v>686918.61</v>
      </c>
      <c r="F34" s="132">
        <f>SUM(F10:F32)</f>
        <v>1056372.98</v>
      </c>
    </row>
    <row r="35" spans="1:6" ht="28.5" hidden="1" customHeight="1" x14ac:dyDescent="0.2">
      <c r="A35" s="1" t="s">
        <v>220</v>
      </c>
      <c r="B35" s="133">
        <f>SUM(C34+E34)</f>
        <v>1056372.98</v>
      </c>
      <c r="C35" s="1"/>
      <c r="D35" s="1"/>
      <c r="E35" s="1"/>
      <c r="F35" s="1"/>
    </row>
    <row r="36" spans="1:6" ht="21.75" hidden="1" customHeight="1" x14ac:dyDescent="0.2">
      <c r="A36" s="9" t="s">
        <v>221</v>
      </c>
      <c r="B36" s="2">
        <v>1056372.98</v>
      </c>
      <c r="C36" s="1"/>
      <c r="D36" s="1"/>
      <c r="E36" s="1"/>
      <c r="F36" s="1"/>
    </row>
    <row r="37" spans="1:6" hidden="1" x14ac:dyDescent="0.2">
      <c r="A37" s="9" t="s">
        <v>222</v>
      </c>
      <c r="B37" s="2">
        <f>B36-B35</f>
        <v>0</v>
      </c>
      <c r="C37" s="1"/>
      <c r="D37" s="1"/>
      <c r="E37" s="1"/>
      <c r="F37" s="1"/>
    </row>
    <row r="38" spans="1:6" hidden="1" x14ac:dyDescent="0.2"/>
    <row r="39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2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"/>
    </sheetView>
  </sheetViews>
  <sheetFormatPr defaultRowHeight="12.75" x14ac:dyDescent="0.2"/>
  <cols>
    <col min="1" max="1" width="18.28515625" customWidth="1"/>
    <col min="2" max="2" width="10.28515625" customWidth="1"/>
    <col min="3" max="3" width="13" customWidth="1"/>
    <col min="4" max="4" width="11.5703125" customWidth="1"/>
    <col min="5" max="5" width="10" customWidth="1"/>
    <col min="6" max="6" width="10.140625" customWidth="1"/>
    <col min="7" max="7" width="13.28515625" hidden="1" customWidth="1"/>
    <col min="8" max="8" width="12.42578125" hidden="1" customWidth="1"/>
    <col min="9" max="9" width="10.85546875" customWidth="1"/>
    <col min="10" max="10" width="10" hidden="1" customWidth="1"/>
    <col min="11" max="11" width="9.42578125" customWidth="1"/>
    <col min="12" max="12" width="9.28515625" hidden="1" customWidth="1"/>
    <col min="13" max="13" width="11.140625" hidden="1" customWidth="1"/>
    <col min="14" max="14" width="10.42578125" hidden="1" customWidth="1"/>
    <col min="15" max="15" width="10.85546875" customWidth="1"/>
    <col min="16" max="16" width="12" hidden="1" customWidth="1"/>
    <col min="17" max="17" width="11.28515625" customWidth="1"/>
    <col min="18" max="18" width="11" customWidth="1"/>
    <col min="19" max="19" width="15.85546875" hidden="1" customWidth="1"/>
    <col min="20" max="20" width="12.140625" customWidth="1"/>
    <col min="21" max="21" width="14.42578125" hidden="1" customWidth="1"/>
  </cols>
  <sheetData>
    <row r="1" spans="1:22" ht="15.75" x14ac:dyDescent="0.25">
      <c r="A1" s="63" t="s">
        <v>223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x14ac:dyDescent="0.25">
      <c r="A2" s="116" t="str">
        <f>ReportMonth</f>
        <v>APRIL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x14ac:dyDescent="0.25">
      <c r="A3" s="66" t="s">
        <v>224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5" spans="1:22" x14ac:dyDescent="0.2">
      <c r="A5" s="1"/>
      <c r="B5" s="6" t="s">
        <v>225</v>
      </c>
      <c r="M5" s="6" t="s">
        <v>34</v>
      </c>
      <c r="N5" s="6" t="s">
        <v>35</v>
      </c>
      <c r="P5" s="96" t="s">
        <v>226</v>
      </c>
      <c r="Q5" s="1"/>
      <c r="R5" s="1"/>
      <c r="S5" s="6" t="s">
        <v>227</v>
      </c>
      <c r="T5" s="1"/>
      <c r="U5" s="1"/>
      <c r="V5" s="1"/>
    </row>
    <row r="6" spans="1:22" x14ac:dyDescent="0.2">
      <c r="A6" s="1"/>
      <c r="B6" s="6" t="s">
        <v>228</v>
      </c>
      <c r="C6" s="6" t="s">
        <v>23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  <c r="I6" s="6" t="s">
        <v>28</v>
      </c>
      <c r="J6" s="6" t="s">
        <v>30</v>
      </c>
      <c r="K6" s="6" t="s">
        <v>31</v>
      </c>
      <c r="L6" s="6" t="s">
        <v>32</v>
      </c>
      <c r="M6" s="1"/>
      <c r="N6" s="1"/>
      <c r="O6" s="6" t="s">
        <v>36</v>
      </c>
      <c r="P6" s="96" t="s">
        <v>229</v>
      </c>
      <c r="Q6" s="5" t="s">
        <v>12</v>
      </c>
      <c r="R6" s="5" t="s">
        <v>12</v>
      </c>
      <c r="S6" s="6" t="s">
        <v>230</v>
      </c>
      <c r="T6" s="5" t="s">
        <v>231</v>
      </c>
      <c r="U6" s="1"/>
      <c r="V6" s="1"/>
    </row>
    <row r="7" spans="1:22" x14ac:dyDescent="0.2">
      <c r="A7" s="1"/>
      <c r="B7" s="38" t="s">
        <v>19</v>
      </c>
      <c r="C7" s="38" t="s">
        <v>19</v>
      </c>
      <c r="D7" s="38" t="s">
        <v>233</v>
      </c>
      <c r="E7" s="38" t="s">
        <v>232</v>
      </c>
      <c r="F7" s="38" t="s">
        <v>232</v>
      </c>
      <c r="G7" s="38" t="s">
        <v>232</v>
      </c>
      <c r="H7" s="38" t="s">
        <v>232</v>
      </c>
      <c r="I7" s="38" t="s">
        <v>232</v>
      </c>
      <c r="J7" s="38" t="s">
        <v>232</v>
      </c>
      <c r="K7" s="38" t="s">
        <v>232</v>
      </c>
      <c r="L7" s="38" t="s">
        <v>232</v>
      </c>
      <c r="M7" s="38" t="s">
        <v>232</v>
      </c>
      <c r="N7" s="38" t="s">
        <v>232</v>
      </c>
      <c r="O7" s="38" t="s">
        <v>232</v>
      </c>
      <c r="P7" s="38" t="s">
        <v>232</v>
      </c>
      <c r="Q7" s="97" t="s">
        <v>101</v>
      </c>
      <c r="R7" s="97" t="s">
        <v>234</v>
      </c>
      <c r="S7" s="38" t="s">
        <v>235</v>
      </c>
      <c r="T7" s="40" t="s">
        <v>236</v>
      </c>
      <c r="U7" s="1"/>
      <c r="V7" s="1"/>
    </row>
    <row r="8" spans="1:22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</row>
    <row r="9" spans="1:22" ht="15" customHeight="1" x14ac:dyDescent="0.2">
      <c r="A9" s="1" t="s">
        <v>238</v>
      </c>
      <c r="B9" s="268">
        <v>151.76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SUM(B9+C9+E9+F9+G9+H9+I9+J9+K9+L9+M9+N9+O9+P9)</f>
        <v>151.76</v>
      </c>
      <c r="R9" s="2">
        <f>D9</f>
        <v>0</v>
      </c>
      <c r="S9" s="2">
        <f>E9</f>
        <v>0</v>
      </c>
      <c r="T9" s="2">
        <f>SUM(Q9:S9)</f>
        <v>151.76</v>
      </c>
      <c r="U9" s="1"/>
      <c r="V9" s="1"/>
    </row>
    <row r="10" spans="1:22" x14ac:dyDescent="0.2">
      <c r="A10" s="1" t="s">
        <v>237</v>
      </c>
      <c r="B10" s="2"/>
      <c r="C10" s="268">
        <v>166.05</v>
      </c>
      <c r="D10" s="268">
        <v>338.88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ref="Q10:Q21" si="0">SUM(B10+C10+E10+F10+G10+H10+I10+J10+K10+L10+M10+N10+O10+P10)</f>
        <v>166.05</v>
      </c>
      <c r="R10" s="2">
        <f>D10</f>
        <v>338.88</v>
      </c>
      <c r="S10" s="2">
        <f>E10</f>
        <v>0</v>
      </c>
      <c r="T10" s="2">
        <f t="shared" ref="T10:T21" si="1">SUM(Q10:S10)</f>
        <v>504.93</v>
      </c>
      <c r="U10" s="1"/>
      <c r="V10" s="1"/>
    </row>
    <row r="11" spans="1:22" x14ac:dyDescent="0.2">
      <c r="A11" s="1" t="s">
        <v>717</v>
      </c>
      <c r="B11" s="2"/>
      <c r="C11" s="268">
        <v>78.739999999999995</v>
      </c>
      <c r="D11" s="268">
        <v>160.69999999999999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78.739999999999995</v>
      </c>
      <c r="R11" s="2">
        <f t="shared" ref="R11:R21" si="2">D11</f>
        <v>160.69999999999999</v>
      </c>
      <c r="S11" s="2"/>
      <c r="T11" s="2">
        <f>SUM(Q11:S11)</f>
        <v>239.44</v>
      </c>
      <c r="U11" s="1"/>
      <c r="V11" s="1"/>
    </row>
    <row r="12" spans="1:22" x14ac:dyDescent="0.2">
      <c r="A12" s="1" t="s">
        <v>716</v>
      </c>
      <c r="B12" s="2"/>
      <c r="C12" s="268">
        <v>185.71</v>
      </c>
      <c r="D12" s="372">
        <v>379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185.71</v>
      </c>
      <c r="R12" s="2">
        <f t="shared" si="2"/>
        <v>379</v>
      </c>
      <c r="S12" s="2"/>
      <c r="T12" s="2">
        <f>SUM(Q12:S12)</f>
        <v>564.71</v>
      </c>
      <c r="U12" s="1"/>
      <c r="V12" s="1"/>
    </row>
    <row r="13" spans="1:22" x14ac:dyDescent="0.2">
      <c r="A13" s="1" t="s">
        <v>240</v>
      </c>
      <c r="B13" s="2"/>
      <c r="C13" s="268">
        <v>97.68</v>
      </c>
      <c r="D13" s="38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97.68</v>
      </c>
      <c r="R13" s="2">
        <f t="shared" si="2"/>
        <v>0</v>
      </c>
      <c r="S13" s="2"/>
      <c r="T13" s="2">
        <f t="shared" si="1"/>
        <v>97.68</v>
      </c>
      <c r="U13" s="1"/>
      <c r="V13" s="1"/>
    </row>
    <row r="14" spans="1:22" x14ac:dyDescent="0.2">
      <c r="A14" s="1" t="s">
        <v>241</v>
      </c>
      <c r="B14" s="2"/>
      <c r="C14" s="372">
        <f>760.06+2934.64+156.17+16950.1+54745.15+20005.87+30752.02+20784.57+21690.91+870.79+3560.6+18615.26+3618.64+4261.12+75260.65+17612.42+19720.17+195.11+13034.22</f>
        <v>325528.46999999997</v>
      </c>
      <c r="D14" s="372">
        <f>1551.14+5989.06+318.72+34592.04+111724.8+40828.3+62759.22+42417.48+44267.16+1777.12+7266.54+37990.32+7384.98+8696.16+153593.16+35943.72+40245.24+398.18+26600.43</f>
        <v>664343.77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325528.46999999997</v>
      </c>
      <c r="R14" s="2">
        <f t="shared" si="2"/>
        <v>664343.77</v>
      </c>
      <c r="S14" s="2">
        <v>0</v>
      </c>
      <c r="T14" s="2">
        <f t="shared" si="1"/>
        <v>989872.24</v>
      </c>
      <c r="U14" s="1"/>
      <c r="V14" s="1"/>
    </row>
    <row r="15" spans="1:22" x14ac:dyDescent="0.2">
      <c r="A15" s="1" t="s">
        <v>574</v>
      </c>
      <c r="B15" s="2"/>
      <c r="C15" s="268">
        <f>7763.74+2867.43</f>
        <v>10631.17</v>
      </c>
      <c r="D15" s="268">
        <f>15844.36+5851.9</f>
        <v>21696.26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 t="shared" si="0"/>
        <v>10631.17</v>
      </c>
      <c r="R15" s="2">
        <f t="shared" si="2"/>
        <v>21696.26</v>
      </c>
      <c r="S15" s="2"/>
      <c r="T15" s="2">
        <f t="shared" si="1"/>
        <v>32327.43</v>
      </c>
      <c r="U15" s="1"/>
      <c r="V15" s="1"/>
    </row>
    <row r="16" spans="1:22" x14ac:dyDescent="0.2">
      <c r="A16" s="1" t="s">
        <v>564</v>
      </c>
      <c r="B16" s="2"/>
      <c r="C16" s="2"/>
      <c r="D16" s="2"/>
      <c r="E16" s="268">
        <f>76.25+306.63</f>
        <v>382.88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0"/>
        <v>382.88</v>
      </c>
      <c r="R16" s="2">
        <f t="shared" si="2"/>
        <v>0</v>
      </c>
      <c r="S16" s="2"/>
      <c r="T16" s="2">
        <f t="shared" si="1"/>
        <v>382.88</v>
      </c>
      <c r="U16" s="1"/>
      <c r="V16" s="1"/>
    </row>
    <row r="17" spans="1:22" x14ac:dyDescent="0.2">
      <c r="A17" s="2" t="s">
        <v>239</v>
      </c>
      <c r="B17" s="2"/>
      <c r="C17" s="2"/>
      <c r="D17" s="2"/>
      <c r="E17" s="2"/>
      <c r="F17" s="268">
        <f>107.58+757.98</f>
        <v>865.56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 t="shared" si="0"/>
        <v>865.56</v>
      </c>
      <c r="R17" s="2">
        <f t="shared" si="2"/>
        <v>0</v>
      </c>
      <c r="S17" s="2"/>
      <c r="T17" s="2">
        <f t="shared" si="1"/>
        <v>865.56</v>
      </c>
      <c r="U17" s="1"/>
      <c r="V17" s="1"/>
    </row>
    <row r="18" spans="1:22" x14ac:dyDescent="0.2">
      <c r="A18" s="1" t="s">
        <v>718</v>
      </c>
      <c r="B18" s="2"/>
      <c r="C18" s="2"/>
      <c r="D18" s="2"/>
      <c r="E18" s="2"/>
      <c r="F18" s="2"/>
      <c r="G18" s="2"/>
      <c r="H18" s="2"/>
      <c r="I18" s="268">
        <v>29.45</v>
      </c>
      <c r="J18" s="2"/>
      <c r="K18" s="2"/>
      <c r="L18" s="2"/>
      <c r="M18" s="2"/>
      <c r="N18" s="2"/>
      <c r="O18" s="2"/>
      <c r="P18" s="2"/>
      <c r="Q18" s="2">
        <f t="shared" si="0"/>
        <v>29.45</v>
      </c>
      <c r="R18" s="2">
        <f t="shared" si="2"/>
        <v>0</v>
      </c>
      <c r="S18" s="2"/>
      <c r="T18" s="2">
        <f>SUM(Q18:S18)</f>
        <v>29.45</v>
      </c>
      <c r="U18" s="1"/>
      <c r="V18" s="1"/>
    </row>
    <row r="19" spans="1:22" x14ac:dyDescent="0.2">
      <c r="A19" s="1" t="s">
        <v>573</v>
      </c>
      <c r="B19" s="2"/>
      <c r="C19" s="2"/>
      <c r="D19" s="2"/>
      <c r="E19" s="2"/>
      <c r="F19" s="2"/>
      <c r="G19" s="2"/>
      <c r="H19" s="2"/>
      <c r="I19" s="2"/>
      <c r="J19" s="2"/>
      <c r="K19" s="268">
        <v>54.92</v>
      </c>
      <c r="L19" s="2"/>
      <c r="M19" s="2"/>
      <c r="N19" s="2"/>
      <c r="O19" s="2"/>
      <c r="P19" s="2"/>
      <c r="Q19" s="2">
        <f t="shared" si="0"/>
        <v>54.92</v>
      </c>
      <c r="R19" s="2">
        <f t="shared" si="2"/>
        <v>0</v>
      </c>
      <c r="S19" s="2"/>
      <c r="T19" s="2">
        <f t="shared" si="1"/>
        <v>54.92</v>
      </c>
      <c r="U19" s="1"/>
      <c r="V19" s="1"/>
    </row>
    <row r="20" spans="1:22" x14ac:dyDescent="0.2">
      <c r="A20" s="1" t="s">
        <v>243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8">
        <f>539.31+2994.39+2192.31+6540.12+349.86+1023.51+1305.22+308.7+12231.93+2227.99+1461.18+29.04</f>
        <v>31203.56</v>
      </c>
      <c r="P20" s="2"/>
      <c r="Q20" s="2">
        <f t="shared" si="0"/>
        <v>31203.56</v>
      </c>
      <c r="R20" s="2">
        <f t="shared" si="2"/>
        <v>0</v>
      </c>
      <c r="S20" s="2"/>
      <c r="T20" s="2">
        <f t="shared" si="1"/>
        <v>31203.56</v>
      </c>
      <c r="U20" s="1"/>
      <c r="V20" s="1"/>
    </row>
    <row r="21" spans="1:22" x14ac:dyDescent="0.2">
      <c r="A21" s="1" t="s">
        <v>242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68">
        <v>78.42</v>
      </c>
      <c r="P21" s="2"/>
      <c r="Q21" s="2">
        <f t="shared" si="0"/>
        <v>78.42</v>
      </c>
      <c r="R21" s="2">
        <f t="shared" si="2"/>
        <v>0</v>
      </c>
      <c r="S21" s="2"/>
      <c r="T21" s="2">
        <f t="shared" si="1"/>
        <v>78.42</v>
      </c>
      <c r="U21" s="1"/>
      <c r="V21" s="1"/>
    </row>
    <row r="22" spans="1:22" x14ac:dyDescent="0.2">
      <c r="U22" s="1"/>
      <c r="V22" s="1"/>
    </row>
    <row r="23" spans="1:22" ht="25.5" customHeight="1" thickBot="1" x14ac:dyDescent="0.25">
      <c r="A23" s="21" t="s">
        <v>244</v>
      </c>
      <c r="B23" s="36">
        <f t="shared" ref="B23:T23" si="3">SUM(B8:B22)</f>
        <v>151.76</v>
      </c>
      <c r="C23" s="36">
        <f t="shared" si="3"/>
        <v>336687.82</v>
      </c>
      <c r="D23" s="36">
        <f t="shared" si="3"/>
        <v>686918.61</v>
      </c>
      <c r="E23" s="36">
        <f t="shared" si="3"/>
        <v>382.88</v>
      </c>
      <c r="F23" s="36">
        <f t="shared" si="3"/>
        <v>865.56</v>
      </c>
      <c r="G23" s="36">
        <f t="shared" si="3"/>
        <v>0</v>
      </c>
      <c r="H23" s="36">
        <f t="shared" si="3"/>
        <v>0</v>
      </c>
      <c r="I23" s="36">
        <f t="shared" si="3"/>
        <v>29.45</v>
      </c>
      <c r="J23" s="36">
        <f t="shared" si="3"/>
        <v>0</v>
      </c>
      <c r="K23" s="36">
        <f t="shared" si="3"/>
        <v>54.92</v>
      </c>
      <c r="L23" s="36">
        <f t="shared" si="3"/>
        <v>0</v>
      </c>
      <c r="M23" s="36">
        <f t="shared" si="3"/>
        <v>0</v>
      </c>
      <c r="N23" s="36">
        <f t="shared" si="3"/>
        <v>0</v>
      </c>
      <c r="O23" s="36">
        <f t="shared" si="3"/>
        <v>31281.98</v>
      </c>
      <c r="P23" s="36">
        <f t="shared" si="3"/>
        <v>0</v>
      </c>
      <c r="Q23" s="36">
        <f t="shared" si="3"/>
        <v>369454.37</v>
      </c>
      <c r="R23" s="36">
        <f t="shared" si="3"/>
        <v>686918.61</v>
      </c>
      <c r="S23" s="36">
        <f t="shared" si="3"/>
        <v>0</v>
      </c>
      <c r="T23" s="36">
        <f t="shared" si="3"/>
        <v>1056372.98</v>
      </c>
      <c r="U23" s="2">
        <f>SUM(B23:P23)</f>
        <v>1056372.98</v>
      </c>
      <c r="V23" s="1"/>
    </row>
    <row r="24" spans="1:2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33">
        <f>'s5'!F34</f>
        <v>1056372.98</v>
      </c>
      <c r="V24" s="1"/>
    </row>
    <row r="25" spans="1:22" hidden="1" x14ac:dyDescent="0.2">
      <c r="A25" s="1"/>
      <c r="B25" s="7"/>
      <c r="C25" s="256"/>
      <c r="D25" s="9"/>
      <c r="E25" s="9"/>
      <c r="F25" s="9"/>
      <c r="G25" s="1"/>
      <c r="H25" s="1"/>
      <c r="I25" s="14"/>
      <c r="J25" s="9"/>
      <c r="K25" s="9"/>
      <c r="L25" s="9"/>
      <c r="M25" s="14"/>
      <c r="N25" s="9"/>
      <c r="O25" s="2"/>
      <c r="P25" s="1"/>
      <c r="Q25" s="2"/>
      <c r="R25" s="2"/>
      <c r="S25" s="1"/>
      <c r="T25" s="2">
        <f>T23-U23</f>
        <v>0</v>
      </c>
      <c r="U25" s="133">
        <f>U23-U24</f>
        <v>0</v>
      </c>
      <c r="V25" s="1"/>
    </row>
    <row r="26" spans="1:2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1"/>
      <c r="V27" s="1"/>
    </row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20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7" width="11.7109375" customWidth="1"/>
    <col min="8" max="8" width="15.7109375" customWidth="1"/>
    <col min="9" max="10" width="12" customWidth="1"/>
    <col min="11" max="11" width="11.85546875" hidden="1" customWidth="1"/>
    <col min="12" max="12" width="12.5703125" customWidth="1"/>
    <col min="14" max="14" width="18.7109375" customWidth="1"/>
    <col min="15" max="15" width="15.7109375" customWidth="1"/>
    <col min="16" max="16" width="12.7109375" customWidth="1"/>
    <col min="17" max="17" width="18.42578125" customWidth="1"/>
    <col min="18" max="18" width="14.85546875" customWidth="1"/>
    <col min="19" max="19" width="15.7109375" customWidth="1"/>
    <col min="20" max="21" width="16.28515625" customWidth="1"/>
    <col min="22" max="22" width="16.28515625" hidden="1" customWidth="1"/>
    <col min="23" max="23" width="14.7109375" hidden="1" customWidth="1"/>
    <col min="24" max="24" width="12.42578125" customWidth="1"/>
    <col min="25" max="26" width="10.7109375" customWidth="1"/>
    <col min="31" max="31" width="10" customWidth="1"/>
    <col min="32" max="32" width="11.7109375" customWidth="1"/>
    <col min="33" max="34" width="12.5703125" customWidth="1"/>
    <col min="35" max="35" width="11.5703125" customWidth="1"/>
  </cols>
  <sheetData>
    <row r="1" spans="1:35" ht="15.75" x14ac:dyDescent="0.25">
      <c r="A1" s="110" t="s">
        <v>245</v>
      </c>
      <c r="B1" s="68"/>
      <c r="N1" s="68" t="s">
        <v>356</v>
      </c>
      <c r="O1" s="68"/>
      <c r="AD1" s="16"/>
      <c r="AE1" s="5"/>
      <c r="AF1" s="5"/>
      <c r="AG1" s="5"/>
      <c r="AH1" s="5"/>
    </row>
    <row r="2" spans="1:35" ht="15.75" x14ac:dyDescent="0.25">
      <c r="A2" s="121" t="str">
        <f>ReportMonth</f>
        <v>APRIL 2004</v>
      </c>
      <c r="B2" s="68" t="s">
        <v>86</v>
      </c>
      <c r="N2" s="122" t="str">
        <f>ReportMonth</f>
        <v>APRIL 2004</v>
      </c>
      <c r="O2" s="68" t="s">
        <v>86</v>
      </c>
      <c r="AD2" s="16"/>
      <c r="AE2" s="5"/>
      <c r="AF2" s="5"/>
      <c r="AG2" s="5"/>
      <c r="AH2" s="5"/>
    </row>
    <row r="3" spans="1:35" ht="21.75" customHeight="1" x14ac:dyDescent="0.25">
      <c r="A3" s="66" t="s">
        <v>246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N3" s="95" t="s">
        <v>247</v>
      </c>
      <c r="O3" s="43"/>
      <c r="P3" s="43"/>
      <c r="Q3" s="43"/>
      <c r="R3" s="43"/>
      <c r="S3" s="43"/>
      <c r="T3" s="43"/>
      <c r="U3" s="43"/>
      <c r="V3" s="43"/>
      <c r="AD3" s="16"/>
      <c r="AE3" s="5"/>
      <c r="AF3" s="5"/>
      <c r="AG3" s="5"/>
      <c r="AH3" s="5"/>
      <c r="AI3" s="24"/>
    </row>
    <row r="4" spans="1:35" ht="27" customHeight="1" x14ac:dyDescent="0.2">
      <c r="S4" s="24" t="s">
        <v>341</v>
      </c>
      <c r="T4" s="120"/>
      <c r="U4" s="120"/>
      <c r="V4" s="120" t="s">
        <v>249</v>
      </c>
      <c r="AD4" s="16"/>
      <c r="AE4" s="5"/>
      <c r="AF4" s="5"/>
      <c r="AG4" s="5"/>
      <c r="AH4" s="5"/>
      <c r="AI4" s="24"/>
    </row>
    <row r="5" spans="1:35" x14ac:dyDescent="0.2">
      <c r="B5" s="6" t="s">
        <v>251</v>
      </c>
      <c r="C5" s="29"/>
      <c r="D5" s="29"/>
      <c r="E5" s="29"/>
      <c r="F5" s="29"/>
      <c r="G5" s="29" t="s">
        <v>504</v>
      </c>
      <c r="H5" s="29"/>
      <c r="I5" s="29"/>
      <c r="J5" s="29"/>
      <c r="L5" s="29" t="s">
        <v>12</v>
      </c>
      <c r="M5" s="29"/>
      <c r="N5" s="29"/>
      <c r="O5" s="123" t="s">
        <v>252</v>
      </c>
      <c r="Q5" s="119" t="s">
        <v>253</v>
      </c>
      <c r="R5" s="6"/>
      <c r="S5" s="5" t="s">
        <v>254</v>
      </c>
      <c r="T5" s="5" t="s">
        <v>254</v>
      </c>
      <c r="U5" s="5" t="s">
        <v>342</v>
      </c>
      <c r="V5" s="5" t="s">
        <v>502</v>
      </c>
      <c r="W5" s="24" t="s">
        <v>248</v>
      </c>
      <c r="X5" s="16"/>
    </row>
    <row r="6" spans="1:35" ht="12" customHeight="1" x14ac:dyDescent="0.2">
      <c r="B6" s="39" t="s">
        <v>255</v>
      </c>
      <c r="C6" s="39" t="s">
        <v>256</v>
      </c>
      <c r="D6" s="39" t="s">
        <v>257</v>
      </c>
      <c r="E6" s="39" t="s">
        <v>607</v>
      </c>
      <c r="F6" s="39" t="s">
        <v>586</v>
      </c>
      <c r="G6" s="39" t="s">
        <v>505</v>
      </c>
      <c r="H6" s="39" t="s">
        <v>258</v>
      </c>
      <c r="I6" s="39" t="s">
        <v>575</v>
      </c>
      <c r="J6" s="39" t="s">
        <v>368</v>
      </c>
      <c r="K6" s="6" t="s">
        <v>572</v>
      </c>
      <c r="L6" s="92" t="s">
        <v>5</v>
      </c>
      <c r="M6" s="29"/>
      <c r="N6" s="29"/>
      <c r="O6" s="124" t="s">
        <v>209</v>
      </c>
      <c r="P6" s="6" t="s">
        <v>148</v>
      </c>
      <c r="Q6" s="124" t="s">
        <v>260</v>
      </c>
      <c r="R6" s="124" t="s">
        <v>261</v>
      </c>
      <c r="S6" s="138" t="s">
        <v>262</v>
      </c>
      <c r="T6" s="138" t="s">
        <v>8</v>
      </c>
      <c r="U6" s="138" t="s">
        <v>343</v>
      </c>
      <c r="V6" s="123" t="s">
        <v>263</v>
      </c>
      <c r="W6" s="61" t="s">
        <v>250</v>
      </c>
      <c r="AH6" s="24"/>
    </row>
    <row r="7" spans="1:35" x14ac:dyDescent="0.2">
      <c r="B7" s="38" t="s">
        <v>264</v>
      </c>
      <c r="C7" s="38" t="s">
        <v>264</v>
      </c>
      <c r="D7" s="38" t="s">
        <v>265</v>
      </c>
      <c r="E7" s="38" t="s">
        <v>466</v>
      </c>
      <c r="F7" s="38" t="s">
        <v>266</v>
      </c>
      <c r="G7" s="38" t="s">
        <v>264</v>
      </c>
      <c r="H7" s="38" t="s">
        <v>266</v>
      </c>
      <c r="I7" s="38" t="s">
        <v>576</v>
      </c>
      <c r="J7" s="38" t="s">
        <v>369</v>
      </c>
      <c r="K7" s="39" t="s">
        <v>267</v>
      </c>
      <c r="L7" s="38" t="s">
        <v>12</v>
      </c>
      <c r="M7" s="29"/>
      <c r="N7" s="29"/>
      <c r="O7" s="139" t="s">
        <v>268</v>
      </c>
      <c r="P7" s="140" t="s">
        <v>259</v>
      </c>
      <c r="Q7" s="139" t="s">
        <v>340</v>
      </c>
      <c r="R7" s="139" t="s">
        <v>269</v>
      </c>
      <c r="S7" s="141" t="s">
        <v>150</v>
      </c>
      <c r="T7" s="141" t="s">
        <v>10</v>
      </c>
      <c r="U7" s="141" t="s">
        <v>150</v>
      </c>
      <c r="V7" s="125" t="s">
        <v>270</v>
      </c>
      <c r="X7" s="6"/>
      <c r="Y7" s="6"/>
      <c r="Z7" s="6"/>
      <c r="AB7" s="5"/>
    </row>
    <row r="8" spans="1:35" ht="30" customHeight="1" x14ac:dyDescent="0.2">
      <c r="A8" s="16" t="s">
        <v>131</v>
      </c>
      <c r="B8" s="7"/>
      <c r="C8" s="7">
        <v>8924</v>
      </c>
      <c r="D8" s="7">
        <v>8007</v>
      </c>
      <c r="E8" s="7"/>
      <c r="F8" s="7"/>
      <c r="G8" s="7"/>
      <c r="H8" s="7"/>
      <c r="I8" s="7"/>
      <c r="J8" s="7"/>
      <c r="K8" s="7"/>
      <c r="L8" s="7">
        <f t="shared" ref="L8:L22" si="0">SUM(B8:J8)</f>
        <v>16931</v>
      </c>
      <c r="N8" s="16" t="s">
        <v>131</v>
      </c>
      <c r="O8" s="2">
        <f>SUM(AvCaGals*0.0196)</f>
        <v>331.85</v>
      </c>
      <c r="P8" s="15"/>
      <c r="Q8" s="31">
        <f>AvCaBase/AVGAS10.5</f>
        <v>7.3000999999999996E-2</v>
      </c>
      <c r="R8" s="100">
        <f>CAP*AvCaPer</f>
        <v>331.85</v>
      </c>
      <c r="S8" s="2">
        <f>AvCaBase-AvCaDed</f>
        <v>0</v>
      </c>
      <c r="T8" s="100"/>
      <c r="U8" s="100">
        <f t="shared" ref="U8:U24" si="1">S8+T8</f>
        <v>0</v>
      </c>
      <c r="V8" s="100"/>
      <c r="X8" s="2"/>
      <c r="Y8" s="2"/>
      <c r="Z8" s="2"/>
      <c r="AB8" s="1"/>
      <c r="AC8" s="2"/>
      <c r="AD8" s="2"/>
      <c r="AE8" s="2"/>
      <c r="AF8" s="11"/>
      <c r="AG8" s="2"/>
      <c r="AH8" s="2"/>
    </row>
    <row r="9" spans="1:35" x14ac:dyDescent="0.2">
      <c r="A9" s="16" t="s">
        <v>132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N9" s="16" t="s">
        <v>132</v>
      </c>
      <c r="O9" s="2">
        <f>SUM(AvChGals*0.0196)</f>
        <v>0</v>
      </c>
      <c r="P9" s="15"/>
      <c r="Q9" s="31">
        <f>AvChBase/AVGAS10.5</f>
        <v>0</v>
      </c>
      <c r="R9" s="100">
        <f>CAP*AvChPer</f>
        <v>0</v>
      </c>
      <c r="S9" s="2">
        <f>AvChBase-AvChDed</f>
        <v>0</v>
      </c>
      <c r="T9" s="100"/>
      <c r="U9" s="100">
        <f t="shared" si="1"/>
        <v>0</v>
      </c>
      <c r="V9" s="100"/>
      <c r="X9" s="2"/>
      <c r="Y9" s="2"/>
      <c r="Z9" s="2"/>
      <c r="AB9" s="1"/>
      <c r="AC9" s="2"/>
      <c r="AD9" s="2"/>
      <c r="AE9" s="2"/>
      <c r="AF9" s="11"/>
      <c r="AG9" s="2"/>
      <c r="AH9" s="2"/>
    </row>
    <row r="10" spans="1:35" x14ac:dyDescent="0.2">
      <c r="A10" s="16" t="s">
        <v>133</v>
      </c>
      <c r="B10" s="7">
        <v>118632</v>
      </c>
      <c r="C10" s="7"/>
      <c r="D10" s="7"/>
      <c r="E10" s="7">
        <v>6808</v>
      </c>
      <c r="F10" s="7"/>
      <c r="G10" s="7"/>
      <c r="H10" s="7"/>
      <c r="I10" s="7"/>
      <c r="J10" s="7">
        <v>7308</v>
      </c>
      <c r="K10" s="7"/>
      <c r="L10" s="7">
        <f t="shared" si="0"/>
        <v>132748</v>
      </c>
      <c r="N10" s="16" t="s">
        <v>133</v>
      </c>
      <c r="O10" s="2">
        <f>SUM(AvClGals*0.0196)+0.01</f>
        <v>2601.87</v>
      </c>
      <c r="P10" s="15"/>
      <c r="Q10" s="31">
        <f>AvClBase/AVGAS10.5</f>
        <v>0.57236699999999996</v>
      </c>
      <c r="R10" s="100">
        <f>CAP*AvClPer</f>
        <v>2601.87</v>
      </c>
      <c r="S10" s="2">
        <f>AvClBase-AvClDed</f>
        <v>0</v>
      </c>
      <c r="T10" s="100"/>
      <c r="U10" s="100">
        <f t="shared" si="1"/>
        <v>0</v>
      </c>
      <c r="V10" s="100"/>
      <c r="X10" s="2"/>
      <c r="Y10" s="2"/>
      <c r="Z10" s="2"/>
      <c r="AB10" s="1"/>
      <c r="AC10" s="2"/>
      <c r="AD10" s="2"/>
      <c r="AE10" s="2"/>
      <c r="AF10" s="11"/>
      <c r="AG10" s="2"/>
      <c r="AH10" s="2"/>
    </row>
    <row r="11" spans="1:35" x14ac:dyDescent="0.2">
      <c r="A11" s="16" t="s">
        <v>134</v>
      </c>
      <c r="B11" s="7"/>
      <c r="C11" s="7">
        <v>16685</v>
      </c>
      <c r="D11" s="7">
        <v>11974</v>
      </c>
      <c r="E11" s="7"/>
      <c r="F11" s="7"/>
      <c r="G11" s="7"/>
      <c r="H11" s="7"/>
      <c r="I11" s="7"/>
      <c r="J11" s="7"/>
      <c r="K11" s="7"/>
      <c r="L11" s="7">
        <f t="shared" si="0"/>
        <v>28659</v>
      </c>
      <c r="N11" s="16" t="s">
        <v>134</v>
      </c>
      <c r="O11" s="78">
        <f>SUM(AvDoGals*0.0196)</f>
        <v>561.72</v>
      </c>
      <c r="P11" s="15">
        <v>0</v>
      </c>
      <c r="Q11" s="31">
        <f>AvDoBase/AVGAS10.5</f>
        <v>0.123569</v>
      </c>
      <c r="R11" s="100">
        <f>CAP*AvDoPer</f>
        <v>561.72</v>
      </c>
      <c r="S11" s="2">
        <f>AvDoBase-AvDoDed</f>
        <v>0</v>
      </c>
      <c r="T11" s="100">
        <f>957.92+1334.8</f>
        <v>2292.7199999999998</v>
      </c>
      <c r="U11" s="100">
        <f t="shared" si="1"/>
        <v>2292.7199999999998</v>
      </c>
      <c r="V11" s="100"/>
      <c r="X11" s="2"/>
      <c r="Y11" s="2"/>
      <c r="Z11" s="2"/>
      <c r="AB11" s="1"/>
      <c r="AC11" s="2"/>
      <c r="AD11" s="2"/>
      <c r="AE11" s="2"/>
      <c r="AF11" s="11"/>
      <c r="AG11" s="2"/>
      <c r="AH11" s="2"/>
    </row>
    <row r="12" spans="1:35" x14ac:dyDescent="0.2">
      <c r="A12" s="16" t="s">
        <v>135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N12" s="16" t="s">
        <v>135</v>
      </c>
      <c r="O12" s="2">
        <f>SUM(AvElGals*0.0196)</f>
        <v>0</v>
      </c>
      <c r="P12" s="15"/>
      <c r="Q12" s="31">
        <f>AvElBase/AVGAS10.5</f>
        <v>0</v>
      </c>
      <c r="R12" s="100">
        <f>CAP*AvElPer</f>
        <v>0</v>
      </c>
      <c r="S12" s="2">
        <f>AvElBase-AvElDed</f>
        <v>0</v>
      </c>
      <c r="T12" s="100">
        <f>AvElGals*0.08</f>
        <v>0</v>
      </c>
      <c r="U12" s="100">
        <f t="shared" si="1"/>
        <v>0</v>
      </c>
      <c r="V12" s="100"/>
      <c r="X12" s="2"/>
      <c r="Y12" s="2"/>
      <c r="Z12" s="2"/>
      <c r="AB12" s="1"/>
      <c r="AC12" s="2"/>
      <c r="AD12" s="2"/>
      <c r="AE12" s="2"/>
      <c r="AF12" s="11"/>
      <c r="AG12" s="2"/>
      <c r="AH12" s="2"/>
    </row>
    <row r="13" spans="1:35" x14ac:dyDescent="0.2">
      <c r="A13" s="16" t="s">
        <v>136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N13" s="16" t="s">
        <v>136</v>
      </c>
      <c r="O13" s="2">
        <f>SUM(AvEsGals*0.0196)</f>
        <v>0</v>
      </c>
      <c r="P13" s="15"/>
      <c r="Q13" s="31">
        <f>AvEsBase/AVGAS10.5</f>
        <v>0</v>
      </c>
      <c r="R13" s="100">
        <f>CAP*AvEsPer</f>
        <v>0</v>
      </c>
      <c r="S13" s="2">
        <f>AvEsBase-AvEsDed</f>
        <v>0</v>
      </c>
      <c r="T13" s="100"/>
      <c r="U13" s="100">
        <f t="shared" si="1"/>
        <v>0</v>
      </c>
      <c r="V13" s="100"/>
      <c r="X13" s="2"/>
      <c r="Y13" s="2"/>
      <c r="Z13" s="2"/>
      <c r="AB13" s="1"/>
      <c r="AC13" s="2"/>
      <c r="AD13" s="2"/>
      <c r="AE13" s="2"/>
      <c r="AF13" s="11"/>
      <c r="AG13" s="2"/>
      <c r="AH13" s="2"/>
    </row>
    <row r="14" spans="1:35" x14ac:dyDescent="0.2">
      <c r="A14" s="16" t="s">
        <v>137</v>
      </c>
      <c r="B14" s="7"/>
      <c r="C14" s="7"/>
      <c r="D14" s="7"/>
      <c r="E14" s="7"/>
      <c r="F14" s="7">
        <v>4653</v>
      </c>
      <c r="G14" s="7"/>
      <c r="H14" s="7"/>
      <c r="I14" s="7"/>
      <c r="J14" s="7"/>
      <c r="K14" s="7"/>
      <c r="L14" s="7">
        <f t="shared" si="0"/>
        <v>4653</v>
      </c>
      <c r="N14" s="16" t="s">
        <v>137</v>
      </c>
      <c r="O14" s="2">
        <f>SUM(AvEuGals*0.0196)</f>
        <v>91.2</v>
      </c>
      <c r="P14" s="15"/>
      <c r="Q14" s="31">
        <f>AvEuBase/AVGAS10.5</f>
        <v>2.0062E-2</v>
      </c>
      <c r="R14" s="100">
        <f>CAP*AvEuPer</f>
        <v>91.2</v>
      </c>
      <c r="S14" s="2">
        <f>AvEuBase-AvEuDed</f>
        <v>0</v>
      </c>
      <c r="T14" s="100"/>
      <c r="U14" s="100">
        <f t="shared" si="1"/>
        <v>0</v>
      </c>
      <c r="V14" s="100"/>
      <c r="X14" s="2"/>
      <c r="Y14" s="2"/>
      <c r="Z14" s="2"/>
      <c r="AB14" s="1"/>
      <c r="AC14" s="2"/>
      <c r="AD14" s="2"/>
      <c r="AE14" s="2"/>
      <c r="AF14" s="11"/>
      <c r="AG14" s="2"/>
      <c r="AH14" s="2"/>
    </row>
    <row r="15" spans="1:35" x14ac:dyDescent="0.2">
      <c r="A15" s="16" t="s">
        <v>138</v>
      </c>
      <c r="B15" s="7"/>
      <c r="C15" s="7">
        <v>5014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5014</v>
      </c>
      <c r="N15" s="16" t="s">
        <v>138</v>
      </c>
      <c r="O15" s="2">
        <f>SUM(AvHuGals*0.0196)</f>
        <v>98.27</v>
      </c>
      <c r="P15" s="15"/>
      <c r="Q15" s="31">
        <f>AvHuBase/AVGAS10.5</f>
        <v>2.1617999999999998E-2</v>
      </c>
      <c r="R15" s="100">
        <f>CAP*AvHuPer</f>
        <v>98.27</v>
      </c>
      <c r="S15" s="2">
        <f>AvHuBase-AvHuDed</f>
        <v>0</v>
      </c>
      <c r="T15" s="100">
        <f>AvHuGals*0.08</f>
        <v>401.12</v>
      </c>
      <c r="U15" s="100">
        <f t="shared" si="1"/>
        <v>401.12</v>
      </c>
      <c r="V15" s="100"/>
      <c r="X15" s="2"/>
      <c r="Y15" s="2"/>
      <c r="Z15" s="2"/>
      <c r="AB15" s="1"/>
      <c r="AC15" s="2"/>
      <c r="AD15" s="2"/>
      <c r="AE15" s="2"/>
      <c r="AF15" s="11"/>
      <c r="AG15" s="2"/>
      <c r="AH15" s="2"/>
    </row>
    <row r="16" spans="1:35" x14ac:dyDescent="0.2">
      <c r="A16" s="16" t="s">
        <v>139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N16" s="16" t="s">
        <v>139</v>
      </c>
      <c r="O16" s="2">
        <f>SUM(AvLaGals*0.0196)</f>
        <v>0</v>
      </c>
      <c r="P16" s="15"/>
      <c r="Q16" s="31">
        <f>AvLaBase/AVGAS10.5</f>
        <v>0</v>
      </c>
      <c r="R16" s="100">
        <f>CAP*AvLaPer</f>
        <v>0</v>
      </c>
      <c r="S16" s="2">
        <f>AvLaBase-AvLaDed</f>
        <v>0</v>
      </c>
      <c r="T16" s="100"/>
      <c r="U16" s="100">
        <f t="shared" si="1"/>
        <v>0</v>
      </c>
      <c r="V16" s="100"/>
      <c r="X16" s="2"/>
      <c r="Y16" s="2"/>
      <c r="Z16" s="2"/>
      <c r="AB16" s="1"/>
      <c r="AC16" s="2"/>
      <c r="AD16" s="2"/>
      <c r="AE16" s="2"/>
      <c r="AF16" s="11"/>
      <c r="AG16" s="2"/>
      <c r="AH16" s="2"/>
    </row>
    <row r="17" spans="1:35" x14ac:dyDescent="0.2">
      <c r="A17" s="16" t="s">
        <v>140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N17" s="16" t="s">
        <v>140</v>
      </c>
      <c r="O17" s="2">
        <f>SUM(AvLiGals*0.0196)</f>
        <v>0</v>
      </c>
      <c r="P17" s="15"/>
      <c r="Q17" s="31">
        <f>AvLiBase/AVGAS10.5</f>
        <v>0</v>
      </c>
      <c r="R17" s="100">
        <f>CAP*AvLiPer</f>
        <v>0</v>
      </c>
      <c r="S17" s="2">
        <f>AvLiBase-AvLiDed</f>
        <v>0</v>
      </c>
      <c r="T17" s="100"/>
      <c r="U17" s="100">
        <f t="shared" si="1"/>
        <v>0</v>
      </c>
      <c r="V17" s="100"/>
      <c r="X17" s="2"/>
      <c r="Y17" s="2"/>
      <c r="Z17" s="2"/>
      <c r="AB17" s="1"/>
      <c r="AC17" s="2"/>
      <c r="AD17" s="2"/>
      <c r="AE17" s="2"/>
      <c r="AF17" s="11"/>
      <c r="AG17" s="2"/>
      <c r="AH17" s="2"/>
    </row>
    <row r="18" spans="1:35" x14ac:dyDescent="0.2">
      <c r="A18" s="16" t="s">
        <v>141</v>
      </c>
      <c r="B18" s="7"/>
      <c r="C18" s="7"/>
      <c r="D18" s="7"/>
      <c r="E18" s="7"/>
      <c r="F18" s="7"/>
      <c r="G18" s="7"/>
      <c r="H18" s="7"/>
      <c r="I18" s="7">
        <v>1517</v>
      </c>
      <c r="J18" s="7"/>
      <c r="K18" s="7"/>
      <c r="L18" s="7">
        <f t="shared" si="0"/>
        <v>1517</v>
      </c>
      <c r="N18" s="16" t="s">
        <v>141</v>
      </c>
      <c r="O18" s="2">
        <f>SUM(AvLyGals*0.0196)</f>
        <v>29.73</v>
      </c>
      <c r="P18" s="15"/>
      <c r="Q18" s="31">
        <f>AvLyBase/AVGAS10.5</f>
        <v>6.5399999999999998E-3</v>
      </c>
      <c r="R18" s="100">
        <f>CAP*AvLyPer</f>
        <v>29.73</v>
      </c>
      <c r="S18" s="2">
        <f>AvLyBase-AvLyDed</f>
        <v>0</v>
      </c>
      <c r="T18" s="100"/>
      <c r="U18" s="100">
        <f t="shared" si="1"/>
        <v>0</v>
      </c>
      <c r="V18" s="100"/>
      <c r="X18" s="2"/>
      <c r="Y18" s="2"/>
      <c r="Z18" s="2"/>
      <c r="AB18" s="1"/>
      <c r="AC18" s="2"/>
      <c r="AD18" s="2"/>
      <c r="AE18" s="2"/>
      <c r="AF18" s="11"/>
      <c r="AG18" s="2"/>
      <c r="AH18" s="2"/>
    </row>
    <row r="19" spans="1:35" x14ac:dyDescent="0.2">
      <c r="A19" s="16" t="s">
        <v>142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N19" s="16" t="s">
        <v>142</v>
      </c>
      <c r="O19" s="2">
        <f>SUM(AvMiGals*0.0196)</f>
        <v>0</v>
      </c>
      <c r="P19" s="15"/>
      <c r="Q19" s="31">
        <f>AvMiBase/AVGAS10.5</f>
        <v>0</v>
      </c>
      <c r="R19" s="100">
        <f>CAP*AvMiPer</f>
        <v>0</v>
      </c>
      <c r="S19" s="2">
        <f>AvMiBase-AvMiDed</f>
        <v>0</v>
      </c>
      <c r="T19" s="100"/>
      <c r="U19" s="100">
        <f t="shared" si="1"/>
        <v>0</v>
      </c>
      <c r="V19" s="100"/>
      <c r="X19" s="2"/>
      <c r="Y19" s="2"/>
      <c r="Z19" s="2"/>
      <c r="AB19" s="1"/>
      <c r="AC19" s="2"/>
      <c r="AD19" s="2"/>
      <c r="AE19" s="2"/>
      <c r="AF19" s="11"/>
      <c r="AG19" s="2"/>
      <c r="AH19" s="2"/>
    </row>
    <row r="20" spans="1:35" x14ac:dyDescent="0.2">
      <c r="A20" s="16" t="s">
        <v>143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N20" s="16" t="s">
        <v>143</v>
      </c>
      <c r="O20" s="2">
        <f>SUM(AvNyGals*0.0196)</f>
        <v>0</v>
      </c>
      <c r="P20" s="15"/>
      <c r="Q20" s="31">
        <f>AvNyBase/AVGAS10.5</f>
        <v>0</v>
      </c>
      <c r="R20" s="100">
        <f>CAP*AvNyPer</f>
        <v>0</v>
      </c>
      <c r="S20" s="2">
        <f>AvNyBase-AvNyDed</f>
        <v>0</v>
      </c>
      <c r="T20" s="100"/>
      <c r="U20" s="100">
        <f t="shared" si="1"/>
        <v>0</v>
      </c>
      <c r="V20" s="100"/>
      <c r="X20" s="2"/>
      <c r="Y20" s="2"/>
      <c r="Z20" s="2"/>
      <c r="AB20" s="1"/>
      <c r="AC20" s="2"/>
      <c r="AD20" s="2"/>
      <c r="AE20" s="2"/>
      <c r="AF20" s="11"/>
      <c r="AG20" s="2"/>
      <c r="AH20" s="2"/>
    </row>
    <row r="21" spans="1:35" x14ac:dyDescent="0.2">
      <c r="A21" s="16" t="s">
        <v>144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N21" s="16" t="s">
        <v>144</v>
      </c>
      <c r="O21" s="2">
        <f>SUM(AvPeGals*0.0196)</f>
        <v>0</v>
      </c>
      <c r="P21" s="15"/>
      <c r="Q21" s="31">
        <f>AvPeBase/AVGAS10.5</f>
        <v>0</v>
      </c>
      <c r="R21" s="100">
        <f>CAP*AvPePer</f>
        <v>0</v>
      </c>
      <c r="S21" s="2">
        <f>AvPeBase-AvPeDed</f>
        <v>0</v>
      </c>
      <c r="T21" s="100"/>
      <c r="U21" s="100">
        <f t="shared" si="1"/>
        <v>0</v>
      </c>
      <c r="V21" s="100"/>
      <c r="X21" s="2"/>
      <c r="Y21" s="2"/>
      <c r="Z21" s="2"/>
      <c r="AB21" s="1"/>
      <c r="AC21" s="2"/>
      <c r="AD21" s="2"/>
      <c r="AE21" s="2"/>
      <c r="AF21" s="11"/>
      <c r="AG21" s="2"/>
      <c r="AH21" s="2"/>
    </row>
    <row r="22" spans="1:35" x14ac:dyDescent="0.2">
      <c r="A22" s="16" t="s">
        <v>145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N22" s="16" t="s">
        <v>145</v>
      </c>
      <c r="O22" s="2">
        <f>SUM(AvStGals*0.0196)</f>
        <v>0</v>
      </c>
      <c r="P22" s="15"/>
      <c r="Q22" s="31">
        <f>AvStBase/AVGAS10.5</f>
        <v>0</v>
      </c>
      <c r="R22" s="100">
        <f>CAP*AvStPer</f>
        <v>0</v>
      </c>
      <c r="S22" s="2">
        <f>AvStBase-AvStDed</f>
        <v>0</v>
      </c>
      <c r="T22" s="100"/>
      <c r="U22" s="100">
        <f t="shared" si="1"/>
        <v>0</v>
      </c>
      <c r="V22" s="100"/>
      <c r="X22" s="2"/>
      <c r="Y22" s="2"/>
      <c r="Z22" s="2"/>
      <c r="AB22" s="1"/>
      <c r="AC22" s="2"/>
      <c r="AD22" s="2"/>
      <c r="AE22" s="2"/>
      <c r="AF22" s="11"/>
      <c r="AG22" s="2"/>
      <c r="AH22" s="2"/>
    </row>
    <row r="23" spans="1:35" x14ac:dyDescent="0.2">
      <c r="A23" s="16" t="s">
        <v>146</v>
      </c>
      <c r="B23" s="7"/>
      <c r="C23" s="7">
        <v>7977</v>
      </c>
      <c r="D23" s="7">
        <v>7900</v>
      </c>
      <c r="E23" s="7"/>
      <c r="F23" s="7"/>
      <c r="G23" s="7">
        <v>8677</v>
      </c>
      <c r="H23" s="7">
        <v>9040</v>
      </c>
      <c r="I23" s="7"/>
      <c r="J23" s="7"/>
      <c r="K23" s="7"/>
      <c r="L23" s="7">
        <f>SUM(B23:K23)</f>
        <v>33594</v>
      </c>
      <c r="N23" s="16" t="s">
        <v>146</v>
      </c>
      <c r="O23" s="2">
        <f>SUM(AvWaGals*0.0196)</f>
        <v>658.44</v>
      </c>
      <c r="P23" s="15"/>
      <c r="Q23" s="31">
        <f>AvWaBase/AVGAS10.5</f>
        <v>0.144845</v>
      </c>
      <c r="R23" s="100">
        <f>CAP*AvWaPer</f>
        <v>658.44</v>
      </c>
      <c r="S23" s="2">
        <f>AvWaBase-AvWaDed</f>
        <v>0</v>
      </c>
      <c r="T23" s="100"/>
      <c r="U23" s="100">
        <f t="shared" si="1"/>
        <v>0</v>
      </c>
      <c r="V23" s="100"/>
      <c r="X23" s="2"/>
      <c r="Y23" s="2"/>
      <c r="Z23" s="2"/>
      <c r="AB23" s="1"/>
      <c r="AC23" s="2"/>
      <c r="AD23" s="2"/>
      <c r="AE23" s="2"/>
      <c r="AF23" s="11"/>
      <c r="AG23" s="2"/>
      <c r="AH23" s="2"/>
    </row>
    <row r="24" spans="1:35" x14ac:dyDescent="0.2">
      <c r="A24" s="16" t="s">
        <v>147</v>
      </c>
      <c r="B24" s="7"/>
      <c r="C24" s="7"/>
      <c r="D24" s="7">
        <v>8813</v>
      </c>
      <c r="E24" s="7"/>
      <c r="F24" s="7"/>
      <c r="G24" s="7"/>
      <c r="H24" s="7"/>
      <c r="I24" s="7"/>
      <c r="J24" s="7"/>
      <c r="K24" s="7"/>
      <c r="L24" s="7">
        <f>SUM(B24:J24)</f>
        <v>8813</v>
      </c>
      <c r="N24" s="16" t="s">
        <v>147</v>
      </c>
      <c r="O24" s="33">
        <f>SUM(AvWhGals*0.0196)</f>
        <v>172.73</v>
      </c>
      <c r="P24" s="48"/>
      <c r="Q24" s="49">
        <f>AvWhBase/AVGAS10.5</f>
        <v>3.7997999999999997E-2</v>
      </c>
      <c r="R24" s="101">
        <f>CAP*AvWhPer</f>
        <v>172.73</v>
      </c>
      <c r="S24" s="33">
        <f>AvWhBase-AvWhDed</f>
        <v>0</v>
      </c>
      <c r="T24" s="101"/>
      <c r="U24" s="101">
        <f t="shared" si="1"/>
        <v>0</v>
      </c>
      <c r="V24" s="101"/>
      <c r="W24" s="94"/>
      <c r="X24" s="2"/>
      <c r="Y24" s="2"/>
      <c r="Z24" s="2"/>
      <c r="AB24" s="1"/>
      <c r="AC24" s="2"/>
      <c r="AD24" s="2"/>
      <c r="AE24" s="33"/>
      <c r="AF24" s="94"/>
      <c r="AG24" s="33"/>
      <c r="AH24" s="2"/>
    </row>
    <row r="25" spans="1:35" ht="24" customHeight="1" thickBot="1" x14ac:dyDescent="0.25">
      <c r="A25" s="93" t="s">
        <v>12</v>
      </c>
      <c r="B25" s="34">
        <f>SUM(B8:B24)</f>
        <v>118632</v>
      </c>
      <c r="C25" s="34">
        <f>SUM(C8:C24)</f>
        <v>38600</v>
      </c>
      <c r="D25" s="34">
        <f t="shared" ref="D25:K25" si="2">SUM(D8:D24)</f>
        <v>36694</v>
      </c>
      <c r="E25" s="34">
        <f t="shared" si="2"/>
        <v>6808</v>
      </c>
      <c r="F25" s="34">
        <v>4653</v>
      </c>
      <c r="G25" s="34">
        <f t="shared" si="2"/>
        <v>8677</v>
      </c>
      <c r="H25" s="34">
        <f t="shared" si="2"/>
        <v>9040</v>
      </c>
      <c r="I25" s="34">
        <f t="shared" si="2"/>
        <v>1517</v>
      </c>
      <c r="J25" s="34">
        <f t="shared" si="2"/>
        <v>7308</v>
      </c>
      <c r="K25" s="34">
        <f t="shared" si="2"/>
        <v>0</v>
      </c>
      <c r="L25" s="34">
        <f>SUM(L8:L24)</f>
        <v>231929</v>
      </c>
      <c r="M25" s="7"/>
      <c r="N25" s="16" t="s">
        <v>12</v>
      </c>
      <c r="O25" s="134">
        <f>SUM(AvCaBase:AvWhBase)</f>
        <v>4545.8100000000004</v>
      </c>
      <c r="P25" s="135">
        <f>'s4'!E11</f>
        <v>4545.8100000000004</v>
      </c>
      <c r="Q25" s="47">
        <f>SUM(Q8:Q24)</f>
        <v>1</v>
      </c>
      <c r="R25" s="136">
        <f>SUM(AvCaDed:AvWhDed)</f>
        <v>4545.8100000000004</v>
      </c>
      <c r="S25" s="134">
        <f>SUM(S8:S24)</f>
        <v>0</v>
      </c>
      <c r="T25" s="46">
        <f>SUM(T8:T24)</f>
        <v>2693.84</v>
      </c>
      <c r="U25" s="46">
        <f>SUM(U8:U24)</f>
        <v>2693.84</v>
      </c>
      <c r="V25" s="46">
        <f>SUM(V8:V24)</f>
        <v>0</v>
      </c>
      <c r="W25" s="81">
        <f>AVGAS10.5-CAP+AV_OPT</f>
        <v>2693.84</v>
      </c>
      <c r="AB25" s="2"/>
      <c r="AC25" s="14"/>
      <c r="AD25" s="2"/>
      <c r="AE25" s="2"/>
      <c r="AF25" s="2"/>
      <c r="AG25" s="2"/>
      <c r="AH25" s="2"/>
      <c r="AI25" s="11"/>
    </row>
    <row r="26" spans="1:35" x14ac:dyDescent="0.2">
      <c r="D26" s="7"/>
      <c r="E26" s="7"/>
      <c r="F26" s="7"/>
      <c r="G26" s="7"/>
    </row>
    <row r="27" spans="1:35" hidden="1" x14ac:dyDescent="0.2">
      <c r="L27" s="7"/>
      <c r="S27" s="99"/>
      <c r="T27" s="99"/>
      <c r="U27" s="99"/>
      <c r="V27" s="99">
        <f>AH25</f>
        <v>0</v>
      </c>
      <c r="X27" s="4"/>
      <c r="Y27" s="4"/>
      <c r="Z27" s="4"/>
    </row>
    <row r="28" spans="1:35" hidden="1" x14ac:dyDescent="0.2">
      <c r="A28" t="s">
        <v>271</v>
      </c>
      <c r="B28" s="44">
        <v>2325.19</v>
      </c>
      <c r="C28" s="44">
        <v>2492.48</v>
      </c>
      <c r="D28" s="44">
        <f>957.92+719.2</f>
        <v>1677.12</v>
      </c>
      <c r="E28" s="44">
        <v>133.44</v>
      </c>
      <c r="F28" s="44">
        <v>91.2</v>
      </c>
      <c r="G28" s="44">
        <v>170.07</v>
      </c>
      <c r="H28" s="44">
        <v>177.18</v>
      </c>
      <c r="I28" s="44">
        <v>29.73</v>
      </c>
      <c r="J28" s="44">
        <v>143.24</v>
      </c>
      <c r="K28" s="44">
        <v>0</v>
      </c>
      <c r="L28" s="45">
        <f>SUM(B28:K28)</f>
        <v>7239.65</v>
      </c>
      <c r="N28" s="280">
        <v>0</v>
      </c>
      <c r="Q28">
        <f>CAP+AV_OPT</f>
        <v>7239.65</v>
      </c>
      <c r="X28" s="9"/>
      <c r="Y28" s="9"/>
      <c r="Z28" s="9"/>
      <c r="AB28" s="2"/>
    </row>
    <row r="29" spans="1:35" hidden="1" x14ac:dyDescent="0.2">
      <c r="Q29" s="25"/>
      <c r="R29" s="17">
        <f>AvDeduct-CAP</f>
        <v>0</v>
      </c>
    </row>
    <row r="30" spans="1:35" hidden="1" x14ac:dyDescent="0.2">
      <c r="T30" s="11"/>
      <c r="U30" s="11"/>
      <c r="V30" s="11">
        <f>AH25</f>
        <v>0</v>
      </c>
    </row>
    <row r="32" spans="1:35" ht="8.25" hidden="1" customHeight="1" x14ac:dyDescent="0.2">
      <c r="P32">
        <f>AVGAS10.5+AV_OPT</f>
        <v>7239.65</v>
      </c>
    </row>
    <row r="33" spans="14:15" hidden="1" x14ac:dyDescent="0.2">
      <c r="N33" s="382">
        <v>7239.65</v>
      </c>
    </row>
    <row r="34" spans="14:15" hidden="1" x14ac:dyDescent="0.2"/>
    <row r="35" spans="14:15" hidden="1" x14ac:dyDescent="0.2">
      <c r="N35" s="277">
        <f>Q28-N33</f>
        <v>0</v>
      </c>
      <c r="O35" s="2"/>
    </row>
    <row r="36" spans="14:15" hidden="1" x14ac:dyDescent="0.2"/>
    <row r="37" spans="14:15" hidden="1" x14ac:dyDescent="0.2"/>
    <row r="38" spans="14:15" hidden="1" x14ac:dyDescent="0.2"/>
    <row r="39" spans="14:15" hidden="1" x14ac:dyDescent="0.2"/>
    <row r="40" spans="14:15" hidden="1" x14ac:dyDescent="0.2"/>
    <row r="41" spans="14:15" hidden="1" x14ac:dyDescent="0.2"/>
    <row r="42" spans="14:15" hidden="1" x14ac:dyDescent="0.2"/>
    <row r="43" spans="14:15" hidden="1" x14ac:dyDescent="0.2"/>
    <row r="44" spans="14:15" hidden="1" x14ac:dyDescent="0.2"/>
    <row r="45" spans="14:15" hidden="1" x14ac:dyDescent="0.2"/>
    <row r="46" spans="14:15" hidden="1" x14ac:dyDescent="0.2"/>
    <row r="47" spans="14:15" hidden="1" x14ac:dyDescent="0.2"/>
    <row r="48" spans="14:15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</sheetData>
  <phoneticPr fontId="0" type="noConversion"/>
  <printOptions horizontalCentered="1"/>
  <pageMargins left="0.75" right="0.75" top="1" bottom="1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255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2.140625" customWidth="1"/>
    <col min="3" max="3" width="12.2851562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2" max="22" width="11.5703125" hidden="1" customWidth="1"/>
  </cols>
  <sheetData>
    <row r="1" spans="1:49" ht="15.75" x14ac:dyDescent="0.25">
      <c r="A1" s="63" t="s">
        <v>272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49" ht="15.75" x14ac:dyDescent="0.25">
      <c r="A2" s="116" t="str">
        <f>ReportMonth</f>
        <v>APRIL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49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49" ht="15" x14ac:dyDescent="0.2">
      <c r="A4" s="87" t="s">
        <v>444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49" ht="15" x14ac:dyDescent="0.2">
      <c r="A5" s="87" t="s">
        <v>273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49" ht="15" x14ac:dyDescent="0.2">
      <c r="A6" s="87" t="s">
        <v>274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49" ht="29.25" customHeight="1" x14ac:dyDescent="0.25">
      <c r="A7" s="126" t="str">
        <f>CONCATENATE("FEES COLLECTED IN ",ReportMonth," FOR ",ActivityMonth," TRANSACTIONS")</f>
        <v>FEES COLLECTED IN APRIL 2004 FOR APRIL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49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49" ht="12.75" customHeight="1" x14ac:dyDescent="0.2">
      <c r="A9" s="1"/>
      <c r="B9" s="6" t="s">
        <v>275</v>
      </c>
      <c r="C9" s="50" t="s">
        <v>276</v>
      </c>
      <c r="D9" s="52" t="s">
        <v>277</v>
      </c>
      <c r="E9" s="52"/>
      <c r="F9" s="52" t="s">
        <v>278</v>
      </c>
      <c r="G9" s="52"/>
      <c r="H9" s="52" t="s">
        <v>279</v>
      </c>
      <c r="I9" s="52"/>
      <c r="J9" s="52" t="s">
        <v>280</v>
      </c>
      <c r="K9" s="52"/>
      <c r="L9" s="52" t="s">
        <v>281</v>
      </c>
      <c r="M9" s="52"/>
      <c r="N9" s="52" t="s">
        <v>282</v>
      </c>
      <c r="O9" s="52"/>
      <c r="P9" s="52" t="s">
        <v>283</v>
      </c>
      <c r="Q9" s="52"/>
      <c r="R9" s="50" t="s">
        <v>284</v>
      </c>
      <c r="S9" s="57" t="s">
        <v>285</v>
      </c>
      <c r="T9" s="5" t="s">
        <v>112</v>
      </c>
    </row>
    <row r="10" spans="1:49" x14ac:dyDescent="0.2">
      <c r="A10" s="1"/>
      <c r="B10" s="6" t="s">
        <v>286</v>
      </c>
      <c r="C10" s="50" t="s">
        <v>286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287</v>
      </c>
    </row>
    <row r="11" spans="1:49" x14ac:dyDescent="0.2">
      <c r="A11" s="109" t="s">
        <v>13</v>
      </c>
      <c r="B11" s="38" t="s">
        <v>288</v>
      </c>
      <c r="C11" s="51" t="s">
        <v>289</v>
      </c>
      <c r="D11" s="54" t="s">
        <v>290</v>
      </c>
      <c r="E11" s="55" t="s">
        <v>291</v>
      </c>
      <c r="F11" s="54" t="s">
        <v>290</v>
      </c>
      <c r="G11" s="56" t="s">
        <v>291</v>
      </c>
      <c r="H11" s="56" t="s">
        <v>290</v>
      </c>
      <c r="I11" s="56" t="s">
        <v>291</v>
      </c>
      <c r="J11" s="54" t="s">
        <v>290</v>
      </c>
      <c r="K11" s="56" t="s">
        <v>291</v>
      </c>
      <c r="L11" s="54" t="s">
        <v>290</v>
      </c>
      <c r="M11" s="55" t="s">
        <v>291</v>
      </c>
      <c r="N11" s="54" t="s">
        <v>290</v>
      </c>
      <c r="O11" s="56" t="s">
        <v>291</v>
      </c>
      <c r="P11" s="54" t="s">
        <v>290</v>
      </c>
      <c r="Q11" s="56" t="s">
        <v>291</v>
      </c>
      <c r="R11" s="56"/>
      <c r="S11" s="58" t="s">
        <v>5</v>
      </c>
      <c r="T11" s="5" t="s">
        <v>292</v>
      </c>
    </row>
    <row r="12" spans="1:49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49" x14ac:dyDescent="0.2">
      <c r="A13" s="1" t="s">
        <v>102</v>
      </c>
      <c r="B13" s="2">
        <v>8170.93</v>
      </c>
      <c r="C13" s="78">
        <v>103.45</v>
      </c>
      <c r="D13" s="7">
        <v>188098</v>
      </c>
      <c r="E13" s="7"/>
      <c r="F13" s="7"/>
      <c r="G13" s="7"/>
      <c r="H13" s="7"/>
      <c r="I13" s="7"/>
      <c r="J13" s="7"/>
      <c r="K13" s="7"/>
      <c r="L13" s="7">
        <v>901359</v>
      </c>
      <c r="M13" s="7"/>
      <c r="N13" s="7"/>
      <c r="O13" s="7"/>
      <c r="P13" s="7"/>
      <c r="Q13" s="7"/>
      <c r="R13" s="7"/>
      <c r="S13" s="60">
        <f t="shared" ref="S13:S20" si="0">SUM((D13+F13+H13+J13+L13+N13+P13+R13)-(E13+G13+I13+K13+M13+O13+Q13))</f>
        <v>1089457</v>
      </c>
      <c r="T13" s="1">
        <f t="shared" ref="T13:T20" si="1">S13-J13</f>
        <v>1089457</v>
      </c>
    </row>
    <row r="14" spans="1:49" s="20" customFormat="1" x14ac:dyDescent="0.2">
      <c r="A14" s="18" t="s">
        <v>293</v>
      </c>
      <c r="B14" s="78">
        <v>-704.09</v>
      </c>
      <c r="C14" s="78"/>
      <c r="D14" s="246"/>
      <c r="E14" s="246"/>
      <c r="F14" s="246"/>
      <c r="G14" s="246">
        <v>91689</v>
      </c>
      <c r="H14" s="246"/>
      <c r="I14" s="246"/>
      <c r="J14" s="246"/>
      <c r="K14" s="246"/>
      <c r="L14" s="246"/>
      <c r="M14" s="246">
        <v>2190</v>
      </c>
      <c r="N14" s="246"/>
      <c r="O14" s="246"/>
      <c r="P14" s="246"/>
      <c r="Q14" s="246"/>
      <c r="R14" s="246"/>
      <c r="S14" s="248">
        <f t="shared" si="0"/>
        <v>-93879</v>
      </c>
      <c r="T14" s="18">
        <f t="shared" si="1"/>
        <v>-93879</v>
      </c>
    </row>
    <row r="15" spans="1:49" s="20" customFormat="1" x14ac:dyDescent="0.2">
      <c r="A15" s="18" t="s">
        <v>294</v>
      </c>
      <c r="B15" s="78">
        <v>369.23</v>
      </c>
      <c r="C15" s="78">
        <v>21.23</v>
      </c>
      <c r="D15" s="246"/>
      <c r="E15" s="246"/>
      <c r="F15" s="246"/>
      <c r="G15" s="246"/>
      <c r="H15" s="246">
        <v>38600</v>
      </c>
      <c r="I15" s="246"/>
      <c r="J15" s="246"/>
      <c r="K15" s="246"/>
      <c r="L15" s="246">
        <v>10630</v>
      </c>
      <c r="M15" s="246"/>
      <c r="N15" s="246"/>
      <c r="O15" s="246"/>
      <c r="P15" s="246"/>
      <c r="Q15" s="246"/>
      <c r="R15" s="246"/>
      <c r="S15" s="248">
        <f>SUM((D15+F15+H15+J15+L15+N15+P15+R15)-(E15+G15+I15+K15+M15+O15+Q15))</f>
        <v>49230</v>
      </c>
      <c r="T15" s="18">
        <f>S15-J15</f>
        <v>49230</v>
      </c>
    </row>
    <row r="16" spans="1:49" s="20" customFormat="1" x14ac:dyDescent="0.2">
      <c r="A16" s="18" t="s">
        <v>432</v>
      </c>
      <c r="B16" s="78">
        <v>-1698.44</v>
      </c>
      <c r="C16" s="78"/>
      <c r="D16" s="246"/>
      <c r="E16" s="246"/>
      <c r="F16" s="246"/>
      <c r="G16" s="246"/>
      <c r="H16" s="246"/>
      <c r="I16" s="246"/>
      <c r="J16" s="246"/>
      <c r="K16" s="246"/>
      <c r="L16" s="246"/>
      <c r="M16" s="246">
        <v>226459</v>
      </c>
      <c r="N16" s="246"/>
      <c r="O16" s="246"/>
      <c r="P16" s="246"/>
      <c r="Q16" s="246"/>
      <c r="R16" s="246"/>
      <c r="S16" s="248">
        <f>SUM((D16+F16+H16+J16+L16+N16+P16+R16)-(E16+G16+I16+K16+M16+O16+Q16))</f>
        <v>-226459</v>
      </c>
      <c r="T16" s="18">
        <f>S16-J16</f>
        <v>-226459</v>
      </c>
      <c r="U16" s="78"/>
      <c r="V16" s="18"/>
      <c r="W16" s="18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18"/>
      <c r="AU16" s="246"/>
      <c r="AV16" s="18"/>
      <c r="AW16" s="18"/>
    </row>
    <row r="17" spans="1:22" x14ac:dyDescent="0.2">
      <c r="A17" s="1" t="s">
        <v>346</v>
      </c>
      <c r="B17" s="2">
        <v>78453.94</v>
      </c>
      <c r="C17" s="78">
        <v>2153.5700000000002</v>
      </c>
      <c r="D17" s="7">
        <v>3852113</v>
      </c>
      <c r="E17" s="7"/>
      <c r="F17" s="7"/>
      <c r="G17" s="7"/>
      <c r="H17" s="7"/>
      <c r="I17" s="7"/>
      <c r="J17" s="7">
        <v>63465</v>
      </c>
      <c r="K17" s="7"/>
      <c r="L17" s="7">
        <v>6582288</v>
      </c>
      <c r="M17" s="7">
        <v>44843</v>
      </c>
      <c r="N17" s="7"/>
      <c r="O17" s="7"/>
      <c r="P17" s="7">
        <v>70967</v>
      </c>
      <c r="Q17" s="7"/>
      <c r="R17" s="7"/>
      <c r="S17" s="60">
        <f t="shared" si="0"/>
        <v>10523990</v>
      </c>
      <c r="T17" s="1">
        <f t="shared" si="1"/>
        <v>10460525</v>
      </c>
    </row>
    <row r="18" spans="1:22" x14ac:dyDescent="0.2">
      <c r="A18" s="1" t="s">
        <v>453</v>
      </c>
      <c r="B18" s="2">
        <v>105510.56</v>
      </c>
      <c r="C18" s="78">
        <v>7596.5</v>
      </c>
      <c r="D18" s="7"/>
      <c r="E18" s="7"/>
      <c r="F18" s="7">
        <v>13811826</v>
      </c>
      <c r="G18" s="7">
        <v>1412203</v>
      </c>
      <c r="H18" s="7"/>
      <c r="I18" s="7"/>
      <c r="J18" s="7"/>
      <c r="K18" s="7"/>
      <c r="L18" s="7">
        <v>1469832</v>
      </c>
      <c r="M18" s="7">
        <v>21327</v>
      </c>
      <c r="N18" s="7"/>
      <c r="O18" s="7"/>
      <c r="P18" s="7">
        <v>219947</v>
      </c>
      <c r="Q18" s="7"/>
      <c r="R18" s="7"/>
      <c r="S18" s="60">
        <f t="shared" si="0"/>
        <v>14068075</v>
      </c>
      <c r="T18" s="1">
        <f t="shared" si="1"/>
        <v>14068075</v>
      </c>
    </row>
    <row r="19" spans="1:22" x14ac:dyDescent="0.2">
      <c r="A19" s="1" t="s">
        <v>454</v>
      </c>
      <c r="B19" s="2">
        <v>1059.07</v>
      </c>
      <c r="C19" s="78">
        <v>39.03</v>
      </c>
      <c r="D19" s="7">
        <v>70972</v>
      </c>
      <c r="E19" s="7"/>
      <c r="F19" s="7"/>
      <c r="G19" s="7"/>
      <c r="H19" s="7"/>
      <c r="I19" s="7"/>
      <c r="J19" s="7"/>
      <c r="K19" s="7"/>
      <c r="L19" s="7">
        <v>70237</v>
      </c>
      <c r="M19" s="7"/>
      <c r="N19" s="7"/>
      <c r="O19" s="7"/>
      <c r="P19" s="7"/>
      <c r="Q19" s="7"/>
      <c r="R19" s="7"/>
      <c r="S19" s="60">
        <f t="shared" si="0"/>
        <v>141209</v>
      </c>
      <c r="T19" s="1">
        <f t="shared" si="1"/>
        <v>141209</v>
      </c>
    </row>
    <row r="20" spans="1:22" x14ac:dyDescent="0.2">
      <c r="A20" s="1" t="s">
        <v>91</v>
      </c>
      <c r="B20" s="2">
        <v>797.34</v>
      </c>
      <c r="C20" s="78">
        <v>37.08</v>
      </c>
      <c r="D20" s="7">
        <v>67422</v>
      </c>
      <c r="E20" s="7"/>
      <c r="F20" s="7"/>
      <c r="G20" s="7"/>
      <c r="H20" s="7"/>
      <c r="I20" s="7"/>
      <c r="J20" s="7"/>
      <c r="K20" s="7"/>
      <c r="L20" s="7">
        <v>38890</v>
      </c>
      <c r="M20" s="7"/>
      <c r="N20" s="7"/>
      <c r="O20" s="7"/>
      <c r="P20" s="7"/>
      <c r="Q20" s="7"/>
      <c r="R20" s="7"/>
      <c r="S20" s="60">
        <f t="shared" si="0"/>
        <v>106312</v>
      </c>
      <c r="T20" s="1">
        <f t="shared" si="1"/>
        <v>106312</v>
      </c>
    </row>
    <row r="21" spans="1:22" x14ac:dyDescent="0.2">
      <c r="A21" s="1" t="s">
        <v>295</v>
      </c>
      <c r="B21" s="2">
        <v>-1086.46</v>
      </c>
      <c r="C21" s="78">
        <v>45.58</v>
      </c>
      <c r="D21" s="7"/>
      <c r="E21" s="7"/>
      <c r="F21" s="7"/>
      <c r="G21" s="7"/>
      <c r="H21" s="7"/>
      <c r="I21" s="7"/>
      <c r="J21" s="7">
        <v>82874</v>
      </c>
      <c r="K21" s="7"/>
      <c r="L21" s="7">
        <v>7951</v>
      </c>
      <c r="M21" s="7">
        <v>152812</v>
      </c>
      <c r="N21" s="7"/>
      <c r="O21" s="7"/>
      <c r="P21" s="7"/>
      <c r="Q21" s="7"/>
      <c r="R21" s="7"/>
      <c r="S21" s="60">
        <f t="shared" ref="S21:S30" si="2">SUM((D21+F21+H21+J21+L21+N21+P21+R21)-(E21+G21+I21+K21+M21+O21+Q21))</f>
        <v>-61987</v>
      </c>
      <c r="T21" s="1">
        <f t="shared" ref="T21:T30" si="3">S21-J21</f>
        <v>-144861</v>
      </c>
    </row>
    <row r="22" spans="1:22" x14ac:dyDescent="0.2">
      <c r="A22" s="1" t="s">
        <v>633</v>
      </c>
      <c r="B22" s="2">
        <v>3.66</v>
      </c>
      <c r="C22" s="78">
        <v>0.27</v>
      </c>
      <c r="D22" s="7">
        <v>488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60">
        <f>SUM((D22+F22+H22+J22+L22+N22+P22+R22)-(E22+G22+I22+K22+M22+O22+Q22))</f>
        <v>488</v>
      </c>
      <c r="T22" s="1">
        <f>S22-J22</f>
        <v>488</v>
      </c>
    </row>
    <row r="23" spans="1:22" x14ac:dyDescent="0.2">
      <c r="A23" s="1" t="s">
        <v>472</v>
      </c>
      <c r="B23" s="2"/>
      <c r="C23" s="78">
        <v>2.62</v>
      </c>
      <c r="D23" s="7"/>
      <c r="E23" s="7"/>
      <c r="F23" s="7"/>
      <c r="G23" s="7"/>
      <c r="H23" s="7"/>
      <c r="I23" s="7"/>
      <c r="J23" s="7">
        <v>4769</v>
      </c>
      <c r="K23" s="7"/>
      <c r="L23" s="7"/>
      <c r="M23" s="7"/>
      <c r="N23" s="7"/>
      <c r="O23" s="7"/>
      <c r="P23" s="7"/>
      <c r="Q23" s="7"/>
      <c r="R23" s="7"/>
      <c r="S23" s="60">
        <f>SUM((D23+F23+H23+J23+L23+N23+P23+R23)-(E23+G23+I23+K23+M23+O23+Q23))</f>
        <v>4769</v>
      </c>
      <c r="T23" s="1">
        <f>S23-J23</f>
        <v>0</v>
      </c>
    </row>
    <row r="24" spans="1:22" x14ac:dyDescent="0.2">
      <c r="A24" s="1" t="s">
        <v>296</v>
      </c>
      <c r="B24" s="2">
        <v>161083.93</v>
      </c>
      <c r="C24" s="78">
        <v>10380.25</v>
      </c>
      <c r="D24" s="7">
        <v>18666396</v>
      </c>
      <c r="E24" s="7">
        <v>131521</v>
      </c>
      <c r="F24" s="7"/>
      <c r="G24" s="7"/>
      <c r="H24" s="7">
        <v>181331</v>
      </c>
      <c r="I24" s="7"/>
      <c r="J24" s="7">
        <v>25453</v>
      </c>
      <c r="K24" s="7"/>
      <c r="L24" s="7">
        <v>2830539</v>
      </c>
      <c r="M24" s="7">
        <v>403726</v>
      </c>
      <c r="N24" s="7"/>
      <c r="O24" s="7"/>
      <c r="P24" s="7">
        <v>334838</v>
      </c>
      <c r="Q24" s="7"/>
      <c r="R24" s="7"/>
      <c r="S24" s="60">
        <f>SUM((D24+F24+H24+J24+L24+N24+P24+R24)-(E24+G24+I24+K24+M24+O24+Q24))</f>
        <v>21503310</v>
      </c>
      <c r="T24" s="1">
        <f>S24-J24</f>
        <v>21477857</v>
      </c>
    </row>
    <row r="25" spans="1:22" x14ac:dyDescent="0.2">
      <c r="A25" s="18" t="s">
        <v>92</v>
      </c>
      <c r="B25" s="2">
        <v>491.66</v>
      </c>
      <c r="C25" s="78">
        <v>15.98</v>
      </c>
      <c r="D25" s="7">
        <v>29053</v>
      </c>
      <c r="E25" s="7"/>
      <c r="F25" s="7"/>
      <c r="G25" s="7"/>
      <c r="H25" s="7"/>
      <c r="I25" s="7"/>
      <c r="J25" s="7"/>
      <c r="K25" s="7"/>
      <c r="L25" s="7">
        <v>36502</v>
      </c>
      <c r="M25" s="7"/>
      <c r="N25" s="7"/>
      <c r="O25" s="7"/>
      <c r="P25" s="7"/>
      <c r="Q25" s="7"/>
      <c r="R25" s="7"/>
      <c r="S25" s="60">
        <f t="shared" si="2"/>
        <v>65555</v>
      </c>
      <c r="T25" s="1">
        <f t="shared" si="3"/>
        <v>65555</v>
      </c>
    </row>
    <row r="26" spans="1:22" x14ac:dyDescent="0.2">
      <c r="A26" s="18" t="s">
        <v>93</v>
      </c>
      <c r="B26" s="2">
        <v>-2758.22</v>
      </c>
      <c r="C26" s="78">
        <v>0</v>
      </c>
      <c r="D26" s="7"/>
      <c r="E26" s="7">
        <v>347056</v>
      </c>
      <c r="F26" s="7"/>
      <c r="G26" s="7"/>
      <c r="H26" s="7"/>
      <c r="I26" s="7"/>
      <c r="J26" s="7"/>
      <c r="K26" s="7"/>
      <c r="L26" s="7"/>
      <c r="M26" s="7">
        <v>20707</v>
      </c>
      <c r="N26" s="7"/>
      <c r="O26" s="7"/>
      <c r="P26" s="7"/>
      <c r="Q26" s="7"/>
      <c r="R26" s="7"/>
      <c r="S26" s="60">
        <f t="shared" si="2"/>
        <v>-367763</v>
      </c>
      <c r="T26" s="1">
        <f t="shared" si="3"/>
        <v>-367763</v>
      </c>
    </row>
    <row r="27" spans="1:22" x14ac:dyDescent="0.2">
      <c r="A27" s="18" t="s">
        <v>608</v>
      </c>
      <c r="B27" s="2">
        <v>131.41</v>
      </c>
      <c r="C27" s="78">
        <v>10.25</v>
      </c>
      <c r="D27" s="7">
        <v>17573</v>
      </c>
      <c r="E27" s="7">
        <v>162</v>
      </c>
      <c r="F27" s="7"/>
      <c r="G27" s="7"/>
      <c r="H27" s="7"/>
      <c r="I27" s="7"/>
      <c r="J27" s="7">
        <v>1072</v>
      </c>
      <c r="K27" s="7"/>
      <c r="L27" s="7">
        <v>110</v>
      </c>
      <c r="M27" s="7"/>
      <c r="N27" s="7"/>
      <c r="O27" s="7"/>
      <c r="P27" s="7"/>
      <c r="Q27" s="7"/>
      <c r="R27" s="7"/>
      <c r="S27" s="60">
        <f>SUM((D27+F27+H27+J27+L27+N27+P27+R27)-(E27+G27+I27+K27+M27+O27+Q27))</f>
        <v>18593</v>
      </c>
      <c r="T27" s="1">
        <f>S27-J27</f>
        <v>17521</v>
      </c>
    </row>
    <row r="28" spans="1:22" x14ac:dyDescent="0.2">
      <c r="A28" s="1" t="s">
        <v>609</v>
      </c>
      <c r="B28" s="2">
        <v>90985.63</v>
      </c>
      <c r="C28" s="78">
        <v>5268.18</v>
      </c>
      <c r="D28" s="7">
        <v>9569980</v>
      </c>
      <c r="E28" s="7">
        <v>62276</v>
      </c>
      <c r="F28" s="7"/>
      <c r="G28" s="7"/>
      <c r="H28" s="7">
        <v>8530</v>
      </c>
      <c r="I28" s="7"/>
      <c r="J28" s="7"/>
      <c r="K28" s="7"/>
      <c r="L28" s="7">
        <v>3584070</v>
      </c>
      <c r="M28" s="7">
        <v>968887</v>
      </c>
      <c r="N28" s="7"/>
      <c r="O28" s="7"/>
      <c r="P28" s="7"/>
      <c r="Q28" s="7"/>
      <c r="R28" s="7"/>
      <c r="S28" s="60">
        <f t="shared" si="2"/>
        <v>12131417</v>
      </c>
      <c r="T28" s="1">
        <f t="shared" si="3"/>
        <v>12131417</v>
      </c>
    </row>
    <row r="29" spans="1:22" x14ac:dyDescent="0.2">
      <c r="A29" s="1" t="s">
        <v>297</v>
      </c>
      <c r="B29" s="2">
        <v>1358.43</v>
      </c>
      <c r="C29" s="78">
        <v>71.89</v>
      </c>
      <c r="D29" s="7">
        <v>130706</v>
      </c>
      <c r="E29" s="7"/>
      <c r="F29" s="7"/>
      <c r="G29" s="7"/>
      <c r="H29" s="7"/>
      <c r="I29" s="7"/>
      <c r="J29" s="7"/>
      <c r="K29" s="7"/>
      <c r="L29" s="7">
        <v>50418</v>
      </c>
      <c r="M29" s="7"/>
      <c r="N29" s="7"/>
      <c r="O29" s="7"/>
      <c r="P29" s="7"/>
      <c r="Q29" s="7"/>
      <c r="R29" s="7"/>
      <c r="S29" s="60">
        <f t="shared" si="2"/>
        <v>181124</v>
      </c>
      <c r="T29" s="1">
        <f t="shared" si="3"/>
        <v>181124</v>
      </c>
    </row>
    <row r="30" spans="1:22" x14ac:dyDescent="0.2">
      <c r="A30" s="1" t="s">
        <v>455</v>
      </c>
      <c r="B30" s="2">
        <v>-3433.95</v>
      </c>
      <c r="C30" s="78">
        <v>110.63</v>
      </c>
      <c r="D30" s="7">
        <v>201139</v>
      </c>
      <c r="E30" s="7">
        <v>29197</v>
      </c>
      <c r="F30" s="7"/>
      <c r="G30" s="7"/>
      <c r="H30" s="7"/>
      <c r="I30" s="7"/>
      <c r="J30" s="7"/>
      <c r="K30" s="7"/>
      <c r="L30" s="7">
        <v>71934</v>
      </c>
      <c r="M30" s="7">
        <v>701736</v>
      </c>
      <c r="N30" s="7"/>
      <c r="O30" s="7"/>
      <c r="P30" s="7"/>
      <c r="Q30" s="7"/>
      <c r="R30" s="7"/>
      <c r="S30" s="60">
        <f t="shared" si="2"/>
        <v>-457860</v>
      </c>
      <c r="T30" s="1">
        <f t="shared" si="3"/>
        <v>-457860</v>
      </c>
    </row>
    <row r="31" spans="1:22" x14ac:dyDescent="0.2">
      <c r="A31" s="1" t="s">
        <v>467</v>
      </c>
      <c r="B31" s="2">
        <v>-2912.29</v>
      </c>
      <c r="C31" s="78">
        <v>3.04</v>
      </c>
      <c r="D31" s="7">
        <v>5536</v>
      </c>
      <c r="E31" s="7">
        <v>131166</v>
      </c>
      <c r="F31" s="7"/>
      <c r="G31" s="7"/>
      <c r="H31" s="7"/>
      <c r="I31" s="7"/>
      <c r="J31" s="7"/>
      <c r="K31" s="7"/>
      <c r="L31" s="7">
        <v>6056</v>
      </c>
      <c r="M31" s="7">
        <v>268731</v>
      </c>
      <c r="N31" s="7"/>
      <c r="O31" s="7"/>
      <c r="P31" s="7"/>
      <c r="Q31" s="7"/>
      <c r="R31" s="7"/>
      <c r="S31" s="60">
        <f>SUM((D31+F31+H31+J31+L31+N31+P31+R31)-(E31+G31+I31+K31+M31+O31+Q31))</f>
        <v>-388305</v>
      </c>
      <c r="T31" s="1">
        <f>S31-J31</f>
        <v>-388305</v>
      </c>
    </row>
    <row r="32" spans="1:22" x14ac:dyDescent="0.2">
      <c r="A32" s="1" t="s">
        <v>585</v>
      </c>
      <c r="B32" s="2">
        <v>1581.79</v>
      </c>
      <c r="C32" s="78">
        <v>4.74</v>
      </c>
      <c r="D32" s="7"/>
      <c r="E32" s="7"/>
      <c r="F32" s="7"/>
      <c r="G32" s="7"/>
      <c r="H32" s="7">
        <v>8618</v>
      </c>
      <c r="I32" s="7"/>
      <c r="J32" s="7"/>
      <c r="K32" s="7"/>
      <c r="L32" s="7">
        <v>202287</v>
      </c>
      <c r="M32" s="7"/>
      <c r="N32" s="7"/>
      <c r="O32" s="7"/>
      <c r="P32" s="7"/>
      <c r="Q32" s="7"/>
      <c r="R32" s="7"/>
      <c r="S32" s="60">
        <f>SUM((D32+F32+H32+J32+L32+N32+P32+R32)-(E32+G32+I32+K32+M32+O32+Q32))</f>
        <v>210905</v>
      </c>
      <c r="T32" s="1">
        <f>S32-J32</f>
        <v>210905</v>
      </c>
      <c r="U32" s="1"/>
      <c r="V32" s="1"/>
    </row>
    <row r="33" spans="1:49" x14ac:dyDescent="0.2">
      <c r="A33" s="1" t="s">
        <v>347</v>
      </c>
      <c r="B33" s="2">
        <v>85162.89</v>
      </c>
      <c r="C33" s="78">
        <v>4536.9799999999996</v>
      </c>
      <c r="D33" s="7">
        <v>8249052</v>
      </c>
      <c r="E33" s="7"/>
      <c r="F33" s="7"/>
      <c r="G33" s="7"/>
      <c r="H33" s="7"/>
      <c r="I33" s="7"/>
      <c r="J33" s="7"/>
      <c r="K33" s="7"/>
      <c r="L33" s="7">
        <v>3106000</v>
      </c>
      <c r="M33" s="7"/>
      <c r="N33" s="7"/>
      <c r="O33" s="7"/>
      <c r="P33" s="7"/>
      <c r="Q33" s="7"/>
      <c r="R33" s="7"/>
      <c r="S33" s="248">
        <f>SUM((D33+F33+H33+J33+L33+N33+P33+R33)-(E33+G33+I33+K33+M33+O33+Q33))</f>
        <v>11355052</v>
      </c>
      <c r="T33" s="18">
        <f>S33-J33</f>
        <v>11355052</v>
      </c>
    </row>
    <row r="34" spans="1:49" x14ac:dyDescent="0.2">
      <c r="A34" s="1" t="s">
        <v>468</v>
      </c>
      <c r="B34" s="2">
        <v>45702.53</v>
      </c>
      <c r="C34" s="78">
        <v>3080.49</v>
      </c>
      <c r="D34" s="7">
        <v>5592216</v>
      </c>
      <c r="E34" s="7">
        <v>786315</v>
      </c>
      <c r="F34" s="7"/>
      <c r="G34" s="7"/>
      <c r="H34" s="7">
        <v>8677</v>
      </c>
      <c r="I34" s="7"/>
      <c r="J34" s="7"/>
      <c r="K34" s="7"/>
      <c r="L34" s="7">
        <v>2269260</v>
      </c>
      <c r="M34" s="7">
        <v>990167</v>
      </c>
      <c r="N34" s="7"/>
      <c r="O34" s="7"/>
      <c r="P34" s="7"/>
      <c r="Q34" s="7"/>
      <c r="R34" s="7"/>
      <c r="S34" s="60">
        <f>SUM((D34+F34+H34+J34+L34+N34+P34+R34)-(E34+G34+I34+K34+M34+O34+Q34))</f>
        <v>6093671</v>
      </c>
      <c r="T34" s="1">
        <f>S34-J34</f>
        <v>6093671</v>
      </c>
    </row>
    <row r="35" spans="1:49" x14ac:dyDescent="0.2">
      <c r="A35" s="1" t="s">
        <v>458</v>
      </c>
      <c r="B35" s="2">
        <v>-112.5</v>
      </c>
      <c r="C35" s="78"/>
      <c r="D35" s="7"/>
      <c r="E35" s="7"/>
      <c r="F35" s="7"/>
      <c r="G35" s="7"/>
      <c r="H35" s="7"/>
      <c r="I35" s="7"/>
      <c r="J35" s="7"/>
      <c r="K35" s="7"/>
      <c r="L35" s="7"/>
      <c r="M35" s="7">
        <v>15000</v>
      </c>
      <c r="N35" s="7"/>
      <c r="O35" s="7"/>
      <c r="P35" s="7"/>
      <c r="Q35" s="7"/>
      <c r="R35" s="7"/>
      <c r="S35" s="60">
        <f t="shared" ref="S35:S48" si="4">SUM((D35+F35+H35+J35+L35+N35+P35+R35)-(E35+G35+I35+K35+M35+O35+Q35))</f>
        <v>-15000</v>
      </c>
      <c r="T35" s="1">
        <f t="shared" ref="T35:T48" si="5">S35-J35</f>
        <v>-15000</v>
      </c>
    </row>
    <row r="36" spans="1:49" s="20" customFormat="1" x14ac:dyDescent="0.2">
      <c r="A36" s="18" t="s">
        <v>503</v>
      </c>
      <c r="B36" s="78">
        <v>225.78</v>
      </c>
      <c r="C36" s="78">
        <v>0</v>
      </c>
      <c r="D36" s="246"/>
      <c r="E36" s="246"/>
      <c r="F36" s="246"/>
      <c r="G36" s="246"/>
      <c r="H36" s="246"/>
      <c r="I36" s="246"/>
      <c r="J36" s="246"/>
      <c r="K36" s="246"/>
      <c r="L36" s="246">
        <v>30104</v>
      </c>
      <c r="M36" s="246"/>
      <c r="N36" s="246"/>
      <c r="O36" s="246"/>
      <c r="P36" s="246"/>
      <c r="Q36" s="246"/>
      <c r="R36" s="246"/>
      <c r="S36" s="248">
        <f t="shared" si="4"/>
        <v>30104</v>
      </c>
      <c r="T36" s="18">
        <f t="shared" si="5"/>
        <v>30104</v>
      </c>
    </row>
    <row r="37" spans="1:49" x14ac:dyDescent="0.2">
      <c r="A37" s="1" t="s">
        <v>94</v>
      </c>
      <c r="B37" s="2">
        <v>-1556.43</v>
      </c>
      <c r="C37" s="78">
        <v>480.41</v>
      </c>
      <c r="D37" s="7">
        <v>873472</v>
      </c>
      <c r="E37" s="7">
        <v>290392</v>
      </c>
      <c r="F37" s="7"/>
      <c r="G37" s="7"/>
      <c r="H37" s="7"/>
      <c r="I37" s="7"/>
      <c r="J37" s="7"/>
      <c r="K37" s="7"/>
      <c r="L37" s="7">
        <v>2535717</v>
      </c>
      <c r="M37" s="7">
        <v>3326321</v>
      </c>
      <c r="N37" s="7"/>
      <c r="O37" s="7"/>
      <c r="P37" s="7"/>
      <c r="Q37" s="7"/>
      <c r="R37" s="7"/>
      <c r="S37" s="60">
        <f t="shared" si="4"/>
        <v>-207524</v>
      </c>
      <c r="T37" s="1">
        <f t="shared" si="5"/>
        <v>-207524</v>
      </c>
      <c r="U37" s="1"/>
      <c r="V37" s="1"/>
    </row>
    <row r="38" spans="1:49" x14ac:dyDescent="0.2">
      <c r="A38" s="1" t="s">
        <v>357</v>
      </c>
      <c r="B38" s="2">
        <v>8291.4500000000007</v>
      </c>
      <c r="C38" s="78">
        <v>64.569999999999993</v>
      </c>
      <c r="D38" s="7">
        <v>117391</v>
      </c>
      <c r="E38" s="7"/>
      <c r="F38" s="7"/>
      <c r="G38" s="7"/>
      <c r="H38" s="7"/>
      <c r="I38" s="7"/>
      <c r="J38" s="7"/>
      <c r="K38" s="7"/>
      <c r="L38" s="7">
        <v>999817</v>
      </c>
      <c r="M38" s="7">
        <v>11682</v>
      </c>
      <c r="N38" s="7"/>
      <c r="O38" s="7"/>
      <c r="P38" s="7"/>
      <c r="Q38" s="7"/>
      <c r="R38" s="7"/>
      <c r="S38" s="60">
        <f t="shared" si="4"/>
        <v>1105526</v>
      </c>
      <c r="T38" s="1">
        <f t="shared" si="5"/>
        <v>1105526</v>
      </c>
      <c r="U38" s="1"/>
      <c r="V38" s="1"/>
    </row>
    <row r="39" spans="1:49" x14ac:dyDescent="0.2">
      <c r="A39" s="1" t="s">
        <v>366</v>
      </c>
      <c r="B39" s="2">
        <v>-2148.17</v>
      </c>
      <c r="C39" s="78">
        <v>0</v>
      </c>
      <c r="D39" s="7"/>
      <c r="E39" s="7">
        <v>17344</v>
      </c>
      <c r="F39" s="7"/>
      <c r="G39" s="7"/>
      <c r="H39" s="7"/>
      <c r="I39" s="7"/>
      <c r="J39" s="7"/>
      <c r="K39" s="7"/>
      <c r="L39" s="7"/>
      <c r="M39" s="7">
        <v>269079</v>
      </c>
      <c r="N39" s="7"/>
      <c r="O39" s="7"/>
      <c r="P39" s="7"/>
      <c r="Q39" s="7"/>
      <c r="R39" s="7"/>
      <c r="S39" s="60">
        <f t="shared" si="4"/>
        <v>-286423</v>
      </c>
      <c r="T39" s="1">
        <f t="shared" si="5"/>
        <v>-286423</v>
      </c>
      <c r="U39" s="1"/>
      <c r="V39" s="1"/>
    </row>
    <row r="40" spans="1:49" x14ac:dyDescent="0.2">
      <c r="A40" s="1" t="s">
        <v>435</v>
      </c>
      <c r="B40" s="2">
        <v>156.75</v>
      </c>
      <c r="C40" s="78">
        <v>9.08</v>
      </c>
      <c r="D40" s="7">
        <v>16500</v>
      </c>
      <c r="E40" s="7"/>
      <c r="F40" s="7"/>
      <c r="G40" s="7"/>
      <c r="H40" s="7"/>
      <c r="I40" s="7"/>
      <c r="J40" s="7"/>
      <c r="K40" s="7"/>
      <c r="L40" s="7">
        <v>4400</v>
      </c>
      <c r="M40" s="7"/>
      <c r="N40" s="7"/>
      <c r="O40" s="7"/>
      <c r="P40" s="7"/>
      <c r="Q40" s="7"/>
      <c r="R40" s="7"/>
      <c r="S40" s="60">
        <f t="shared" si="4"/>
        <v>20900</v>
      </c>
      <c r="T40" s="1">
        <f t="shared" si="5"/>
        <v>20900</v>
      </c>
      <c r="U40" s="1"/>
      <c r="V40" s="1"/>
    </row>
    <row r="41" spans="1:49" s="20" customFormat="1" x14ac:dyDescent="0.2">
      <c r="A41" s="18" t="s">
        <v>746</v>
      </c>
      <c r="B41" s="78">
        <v>-926.8</v>
      </c>
      <c r="C41" s="78"/>
      <c r="D41" s="246"/>
      <c r="E41" s="246"/>
      <c r="F41" s="246"/>
      <c r="G41" s="246"/>
      <c r="H41" s="246"/>
      <c r="I41" s="246"/>
      <c r="J41" s="246"/>
      <c r="K41" s="246"/>
      <c r="L41" s="246"/>
      <c r="M41" s="246">
        <v>123573</v>
      </c>
      <c r="N41" s="246"/>
      <c r="O41" s="246"/>
      <c r="P41" s="246"/>
      <c r="Q41" s="246"/>
      <c r="R41" s="246"/>
      <c r="S41" s="248">
        <f>SUM((D41+F41+H41+J41+L41+N41+P41+R41)-(E41+G41+I41+K41+M41+O41+Q41))</f>
        <v>-123573</v>
      </c>
      <c r="T41" s="18">
        <f>S41-J41</f>
        <v>-123573</v>
      </c>
      <c r="U41" s="78"/>
      <c r="V41" s="18"/>
      <c r="W41" s="18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18"/>
      <c r="AU41" s="246"/>
      <c r="AV41" s="18"/>
      <c r="AW41" s="18"/>
    </row>
    <row r="42" spans="1:49" x14ac:dyDescent="0.2">
      <c r="A42" s="1" t="s">
        <v>46</v>
      </c>
      <c r="B42" s="2">
        <v>707.47</v>
      </c>
      <c r="C42" s="78">
        <v>31.39</v>
      </c>
      <c r="D42" s="7">
        <v>57076</v>
      </c>
      <c r="E42" s="7"/>
      <c r="F42" s="7"/>
      <c r="G42" s="7"/>
      <c r="H42" s="7"/>
      <c r="I42" s="7"/>
      <c r="J42" s="7"/>
      <c r="K42" s="7"/>
      <c r="L42" s="7">
        <v>37253</v>
      </c>
      <c r="M42" s="7"/>
      <c r="N42" s="7"/>
      <c r="O42" s="7"/>
      <c r="P42" s="7"/>
      <c r="Q42" s="7"/>
      <c r="R42" s="7"/>
      <c r="S42" s="60">
        <f t="shared" si="4"/>
        <v>94329</v>
      </c>
      <c r="T42" s="1">
        <f t="shared" si="5"/>
        <v>94329</v>
      </c>
      <c r="U42" s="1"/>
      <c r="V42" s="1"/>
    </row>
    <row r="43" spans="1:49" s="20" customFormat="1" x14ac:dyDescent="0.2">
      <c r="A43" s="18" t="s">
        <v>95</v>
      </c>
      <c r="B43" s="78">
        <v>41</v>
      </c>
      <c r="C43" s="78">
        <v>3.01</v>
      </c>
      <c r="D43" s="246">
        <v>5467</v>
      </c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8">
        <f t="shared" si="4"/>
        <v>5467</v>
      </c>
      <c r="T43" s="18">
        <f t="shared" si="5"/>
        <v>5467</v>
      </c>
      <c r="U43" s="18"/>
      <c r="V43" s="18"/>
    </row>
    <row r="44" spans="1:49" x14ac:dyDescent="0.2">
      <c r="A44" s="1" t="s">
        <v>96</v>
      </c>
      <c r="B44" s="2">
        <v>-9791.7199999999993</v>
      </c>
      <c r="C44" s="78"/>
      <c r="D44" s="7"/>
      <c r="E44" s="7">
        <v>1215145</v>
      </c>
      <c r="F44" s="7"/>
      <c r="G44" s="7"/>
      <c r="H44" s="7"/>
      <c r="I44" s="7"/>
      <c r="J44" s="7"/>
      <c r="K44" s="7"/>
      <c r="L44" s="7"/>
      <c r="M44" s="7">
        <v>90417</v>
      </c>
      <c r="N44" s="7"/>
      <c r="O44" s="7"/>
      <c r="P44" s="7"/>
      <c r="Q44" s="7"/>
      <c r="R44" s="7"/>
      <c r="S44" s="60">
        <f t="shared" si="4"/>
        <v>-1305562</v>
      </c>
      <c r="T44" s="1">
        <f t="shared" si="5"/>
        <v>-1305562</v>
      </c>
      <c r="U44" s="1"/>
      <c r="V44" s="1"/>
    </row>
    <row r="45" spans="1:49" s="20" customFormat="1" x14ac:dyDescent="0.2">
      <c r="A45" s="18" t="s">
        <v>358</v>
      </c>
      <c r="B45" s="78">
        <v>-4809.24</v>
      </c>
      <c r="C45" s="78">
        <v>2.74</v>
      </c>
      <c r="D45" s="246">
        <v>4988</v>
      </c>
      <c r="E45" s="246">
        <v>339842</v>
      </c>
      <c r="F45" s="246"/>
      <c r="G45" s="246"/>
      <c r="H45" s="246"/>
      <c r="I45" s="246"/>
      <c r="J45" s="246"/>
      <c r="K45" s="246"/>
      <c r="L45" s="246">
        <v>5983</v>
      </c>
      <c r="M45" s="246">
        <v>312361</v>
      </c>
      <c r="N45" s="246"/>
      <c r="O45" s="246"/>
      <c r="P45" s="246"/>
      <c r="Q45" s="246"/>
      <c r="R45" s="246"/>
      <c r="S45" s="248">
        <f t="shared" si="4"/>
        <v>-641232</v>
      </c>
      <c r="T45" s="18">
        <f t="shared" si="5"/>
        <v>-641232</v>
      </c>
      <c r="U45" s="18"/>
      <c r="V45" s="18"/>
    </row>
    <row r="46" spans="1:49" s="20" customFormat="1" x14ac:dyDescent="0.2">
      <c r="A46" s="18" t="s">
        <v>298</v>
      </c>
      <c r="B46" s="78">
        <v>-56.33</v>
      </c>
      <c r="C46" s="78">
        <v>14.7</v>
      </c>
      <c r="D46" s="246"/>
      <c r="E46" s="246"/>
      <c r="F46" s="246"/>
      <c r="G46" s="246"/>
      <c r="H46" s="246"/>
      <c r="I46" s="246"/>
      <c r="J46" s="246">
        <v>26720</v>
      </c>
      <c r="K46" s="246"/>
      <c r="L46" s="246"/>
      <c r="M46" s="246">
        <v>7510</v>
      </c>
      <c r="N46" s="246"/>
      <c r="O46" s="246"/>
      <c r="P46" s="246"/>
      <c r="Q46" s="246"/>
      <c r="R46" s="18"/>
      <c r="S46" s="248">
        <f t="shared" si="4"/>
        <v>19210</v>
      </c>
      <c r="T46" s="18">
        <f t="shared" si="5"/>
        <v>-7510</v>
      </c>
      <c r="U46" s="246"/>
      <c r="V46" s="246"/>
    </row>
    <row r="47" spans="1:49" s="20" customFormat="1" x14ac:dyDescent="0.2">
      <c r="A47" s="18" t="s">
        <v>367</v>
      </c>
      <c r="B47" s="78">
        <v>-244.2</v>
      </c>
      <c r="C47" s="78">
        <v>196.25</v>
      </c>
      <c r="D47" s="246">
        <v>356817</v>
      </c>
      <c r="E47" s="246">
        <v>425135</v>
      </c>
      <c r="F47" s="246"/>
      <c r="G47" s="246"/>
      <c r="H47" s="246"/>
      <c r="I47" s="246"/>
      <c r="J47" s="246"/>
      <c r="K47" s="246"/>
      <c r="L47" s="246">
        <v>55273</v>
      </c>
      <c r="M47" s="246">
        <v>19515</v>
      </c>
      <c r="N47" s="246"/>
      <c r="O47" s="246"/>
      <c r="P47" s="246"/>
      <c r="Q47" s="246"/>
      <c r="R47" s="18"/>
      <c r="S47" s="248">
        <f t="shared" si="4"/>
        <v>-32560</v>
      </c>
      <c r="T47" s="18">
        <f t="shared" si="5"/>
        <v>-32560</v>
      </c>
      <c r="U47" s="246"/>
      <c r="V47" s="246"/>
    </row>
    <row r="48" spans="1:49" x14ac:dyDescent="0.2">
      <c r="A48" s="1" t="s">
        <v>299</v>
      </c>
      <c r="B48" s="2">
        <v>317.83999999999997</v>
      </c>
      <c r="C48" s="78">
        <v>267.45</v>
      </c>
      <c r="D48" s="7">
        <v>486276</v>
      </c>
      <c r="E48" s="7">
        <v>406068</v>
      </c>
      <c r="F48" s="7"/>
      <c r="G48" s="7"/>
      <c r="H48" s="7"/>
      <c r="I48" s="7"/>
      <c r="J48" s="7"/>
      <c r="K48" s="7"/>
      <c r="L48" s="7"/>
      <c r="M48" s="7">
        <v>37829</v>
      </c>
      <c r="N48" s="7"/>
      <c r="O48" s="7"/>
      <c r="P48" s="7"/>
      <c r="Q48" s="7"/>
      <c r="R48" s="1"/>
      <c r="S48" s="60">
        <f t="shared" si="4"/>
        <v>42379</v>
      </c>
      <c r="T48" s="1">
        <f t="shared" si="5"/>
        <v>42379</v>
      </c>
      <c r="U48" s="7"/>
      <c r="V48" s="7"/>
    </row>
    <row r="49" spans="1:22" s="20" customFormat="1" x14ac:dyDescent="0.2">
      <c r="A49" s="18" t="s">
        <v>300</v>
      </c>
      <c r="B49" s="78">
        <v>-5223.3900000000003</v>
      </c>
      <c r="C49" s="78">
        <v>23.38</v>
      </c>
      <c r="D49" s="246">
        <v>42502</v>
      </c>
      <c r="E49" s="246">
        <v>391429</v>
      </c>
      <c r="F49" s="246"/>
      <c r="G49" s="246"/>
      <c r="H49" s="246"/>
      <c r="I49" s="246"/>
      <c r="J49" s="246"/>
      <c r="K49" s="246"/>
      <c r="L49" s="246">
        <v>9809</v>
      </c>
      <c r="M49" s="246">
        <v>357334</v>
      </c>
      <c r="N49" s="246"/>
      <c r="O49" s="246"/>
      <c r="P49" s="246"/>
      <c r="Q49" s="246"/>
      <c r="R49" s="246"/>
      <c r="S49" s="248">
        <f t="shared" ref="S49:S73" si="6">SUM((D49+F49+H49+J49+L49+N49+P49+R49)-(E49+G49+I49+K49+M49+O49+Q49))</f>
        <v>-696452</v>
      </c>
      <c r="T49" s="18">
        <f t="shared" ref="T49:T66" si="7">S49-J49</f>
        <v>-696452</v>
      </c>
      <c r="U49" s="18"/>
      <c r="V49" s="18"/>
    </row>
    <row r="50" spans="1:22" s="20" customFormat="1" x14ac:dyDescent="0.2">
      <c r="A50" s="18" t="s">
        <v>475</v>
      </c>
      <c r="B50" s="78">
        <v>-2202.34</v>
      </c>
      <c r="C50" s="78">
        <v>4.41</v>
      </c>
      <c r="D50" s="246">
        <v>8027</v>
      </c>
      <c r="E50" s="246">
        <v>3969</v>
      </c>
      <c r="F50" s="246"/>
      <c r="G50" s="246"/>
      <c r="H50" s="246"/>
      <c r="I50" s="246"/>
      <c r="J50" s="246"/>
      <c r="K50" s="246"/>
      <c r="L50" s="246">
        <v>3188</v>
      </c>
      <c r="M50" s="246">
        <v>300891</v>
      </c>
      <c r="N50" s="246"/>
      <c r="O50" s="246"/>
      <c r="P50" s="246"/>
      <c r="Q50" s="246"/>
      <c r="R50" s="246"/>
      <c r="S50" s="248">
        <f t="shared" si="6"/>
        <v>-293645</v>
      </c>
      <c r="T50" s="18">
        <f t="shared" si="7"/>
        <v>-293645</v>
      </c>
      <c r="U50" s="18"/>
      <c r="V50" s="18"/>
    </row>
    <row r="51" spans="1:22" s="20" customFormat="1" x14ac:dyDescent="0.2">
      <c r="A51" s="18" t="s">
        <v>703</v>
      </c>
      <c r="B51" s="78">
        <v>8.25</v>
      </c>
      <c r="C51" s="78">
        <v>0.61</v>
      </c>
      <c r="D51" s="246">
        <v>1100</v>
      </c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8">
        <f>SUM((D51+F51+H51+J51+L51+N51+P51+R51)-(E51+G51+I51+K51+M51+O51+Q51))</f>
        <v>1100</v>
      </c>
      <c r="T51" s="18">
        <f>S51-J51</f>
        <v>1100</v>
      </c>
      <c r="U51" s="18"/>
      <c r="V51" s="18"/>
    </row>
    <row r="52" spans="1:22" x14ac:dyDescent="0.2">
      <c r="A52" s="1" t="s">
        <v>53</v>
      </c>
      <c r="B52" s="2">
        <v>-2101.87</v>
      </c>
      <c r="C52" s="78">
        <v>251.05</v>
      </c>
      <c r="D52" s="7">
        <v>456450</v>
      </c>
      <c r="E52" s="7">
        <v>771221</v>
      </c>
      <c r="F52" s="7"/>
      <c r="G52" s="7"/>
      <c r="H52" s="7"/>
      <c r="I52" s="7"/>
      <c r="J52" s="7"/>
      <c r="K52" s="7"/>
      <c r="L52" s="7">
        <v>34522</v>
      </c>
      <c r="M52" s="7"/>
      <c r="N52" s="7"/>
      <c r="O52" s="7"/>
      <c r="P52" s="7"/>
      <c r="Q52" s="7"/>
      <c r="R52" s="7"/>
      <c r="S52" s="60">
        <f t="shared" si="6"/>
        <v>-280249</v>
      </c>
      <c r="T52" s="1">
        <f t="shared" si="7"/>
        <v>-280249</v>
      </c>
      <c r="U52" s="1"/>
      <c r="V52" s="1"/>
    </row>
    <row r="53" spans="1:22" x14ac:dyDescent="0.2">
      <c r="A53" s="1" t="s">
        <v>610</v>
      </c>
      <c r="B53" s="2">
        <v>116.45</v>
      </c>
      <c r="C53" s="7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15527</v>
      </c>
      <c r="S53" s="60">
        <f>SUM((D53+F53+H53+J53+L53+N53+P53+R53)-(E53+G53+I53+K53+M53+O53+Q53))</f>
        <v>15527</v>
      </c>
      <c r="T53" s="1">
        <f>S53-J53</f>
        <v>15527</v>
      </c>
      <c r="U53" s="1"/>
      <c r="V53" s="1"/>
    </row>
    <row r="54" spans="1:22" ht="13.5" customHeight="1" x14ac:dyDescent="0.2">
      <c r="A54" s="1" t="s">
        <v>699</v>
      </c>
      <c r="B54" s="2">
        <v>-194.58</v>
      </c>
      <c r="C54" s="78"/>
      <c r="D54" s="7"/>
      <c r="E54" s="7">
        <v>25944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60">
        <f>SUM((D54+F54+H54+J54+L54+N54+P54+R54)-(E54+G54+I54+K54+M54+O54+Q54))</f>
        <v>-25944</v>
      </c>
      <c r="T54" s="1">
        <f>S54-J54</f>
        <v>-25944</v>
      </c>
      <c r="U54" s="1"/>
      <c r="V54" s="1"/>
    </row>
    <row r="55" spans="1:22" ht="13.5" customHeight="1" x14ac:dyDescent="0.2">
      <c r="A55" s="1" t="s">
        <v>301</v>
      </c>
      <c r="B55" s="2">
        <v>-37.130000000000003</v>
      </c>
      <c r="C55" s="78"/>
      <c r="D55" s="7"/>
      <c r="E55" s="7">
        <v>1478</v>
      </c>
      <c r="F55" s="7"/>
      <c r="G55" s="7"/>
      <c r="H55" s="7"/>
      <c r="I55" s="7"/>
      <c r="J55" s="7"/>
      <c r="K55" s="7"/>
      <c r="L55" s="7"/>
      <c r="M55" s="7">
        <v>3472</v>
      </c>
      <c r="N55" s="7"/>
      <c r="O55" s="7"/>
      <c r="P55" s="7"/>
      <c r="Q55" s="7"/>
      <c r="R55" s="7"/>
      <c r="S55" s="60">
        <f t="shared" si="6"/>
        <v>-4950</v>
      </c>
      <c r="T55" s="1">
        <f t="shared" si="7"/>
        <v>-4950</v>
      </c>
      <c r="U55" s="1"/>
      <c r="V55" s="1"/>
    </row>
    <row r="56" spans="1:22" s="20" customFormat="1" x14ac:dyDescent="0.2">
      <c r="A56" s="18" t="s">
        <v>55</v>
      </c>
      <c r="B56" s="78">
        <v>74613.42</v>
      </c>
      <c r="C56" s="78">
        <v>2711.89</v>
      </c>
      <c r="D56" s="246">
        <v>4930716</v>
      </c>
      <c r="E56" s="246"/>
      <c r="F56" s="246"/>
      <c r="G56" s="246"/>
      <c r="H56" s="246"/>
      <c r="I56" s="246"/>
      <c r="J56" s="246"/>
      <c r="K56" s="246"/>
      <c r="L56" s="246">
        <v>5017740</v>
      </c>
      <c r="M56" s="246"/>
      <c r="N56" s="246"/>
      <c r="O56" s="246"/>
      <c r="P56" s="246"/>
      <c r="Q56" s="246"/>
      <c r="R56" s="246"/>
      <c r="S56" s="248">
        <f t="shared" si="6"/>
        <v>9948456</v>
      </c>
      <c r="T56" s="18">
        <f t="shared" si="7"/>
        <v>9948456</v>
      </c>
      <c r="U56" s="18"/>
      <c r="V56" s="18"/>
    </row>
    <row r="57" spans="1:22" s="20" customFormat="1" x14ac:dyDescent="0.2">
      <c r="A57" s="18" t="s">
        <v>56</v>
      </c>
      <c r="B57" s="78">
        <v>537.02</v>
      </c>
      <c r="C57" s="78">
        <v>29.56</v>
      </c>
      <c r="D57" s="246">
        <v>53748</v>
      </c>
      <c r="E57" s="246"/>
      <c r="F57" s="246"/>
      <c r="G57" s="246"/>
      <c r="H57" s="246"/>
      <c r="I57" s="246"/>
      <c r="J57" s="246"/>
      <c r="K57" s="246"/>
      <c r="L57" s="246">
        <v>17855</v>
      </c>
      <c r="M57" s="246"/>
      <c r="N57" s="246"/>
      <c r="O57" s="246"/>
      <c r="P57" s="246"/>
      <c r="Q57" s="246"/>
      <c r="R57" s="246"/>
      <c r="S57" s="248">
        <f t="shared" si="6"/>
        <v>71603</v>
      </c>
      <c r="T57" s="18">
        <f t="shared" si="7"/>
        <v>71603</v>
      </c>
      <c r="U57" s="18"/>
      <c r="V57" s="18"/>
    </row>
    <row r="58" spans="1:22" s="20" customFormat="1" x14ac:dyDescent="0.2">
      <c r="A58" s="18" t="s">
        <v>490</v>
      </c>
      <c r="B58" s="78">
        <v>23.25</v>
      </c>
      <c r="C58" s="78">
        <v>1.71</v>
      </c>
      <c r="D58" s="246">
        <v>3100</v>
      </c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8">
        <f t="shared" si="6"/>
        <v>3100</v>
      </c>
      <c r="T58" s="18">
        <f t="shared" si="7"/>
        <v>3100</v>
      </c>
      <c r="U58" s="18"/>
      <c r="V58" s="18"/>
    </row>
    <row r="59" spans="1:22" x14ac:dyDescent="0.2">
      <c r="A59" s="1" t="s">
        <v>460</v>
      </c>
      <c r="B59" s="2">
        <v>0</v>
      </c>
      <c r="C59" s="78">
        <v>49.47</v>
      </c>
      <c r="D59" s="7"/>
      <c r="E59" s="7"/>
      <c r="F59" s="7"/>
      <c r="G59" s="7"/>
      <c r="H59" s="7"/>
      <c r="I59" s="7"/>
      <c r="J59" s="7">
        <v>89949</v>
      </c>
      <c r="K59" s="7"/>
      <c r="L59" s="7"/>
      <c r="M59" s="7"/>
      <c r="N59" s="7"/>
      <c r="O59" s="7"/>
      <c r="P59" s="7"/>
      <c r="Q59" s="7"/>
      <c r="R59" s="7"/>
      <c r="S59" s="60">
        <f t="shared" si="6"/>
        <v>89949</v>
      </c>
      <c r="T59" s="1">
        <f t="shared" si="7"/>
        <v>0</v>
      </c>
      <c r="U59" s="1"/>
      <c r="V59" s="1"/>
    </row>
    <row r="60" spans="1:22" x14ac:dyDescent="0.2">
      <c r="A60" s="1" t="s">
        <v>704</v>
      </c>
      <c r="B60" s="2">
        <v>-3924.04</v>
      </c>
      <c r="C60" s="78">
        <v>37.590000000000003</v>
      </c>
      <c r="D60" s="7">
        <v>68346</v>
      </c>
      <c r="E60" s="7">
        <v>360006</v>
      </c>
      <c r="F60" s="7"/>
      <c r="G60" s="7"/>
      <c r="H60" s="7"/>
      <c r="I60" s="7"/>
      <c r="J60" s="7"/>
      <c r="K60" s="7"/>
      <c r="L60" s="7">
        <v>5998</v>
      </c>
      <c r="M60" s="7">
        <v>237543</v>
      </c>
      <c r="N60" s="7"/>
      <c r="O60" s="7"/>
      <c r="P60" s="7"/>
      <c r="Q60" s="7"/>
      <c r="R60" s="7"/>
      <c r="S60" s="60">
        <f>SUM((D60+F60+H60+J60+L60+N60+P60+R60)-(E60+G60+I60+K60+M60+O60+Q60))</f>
        <v>-523205</v>
      </c>
      <c r="T60" s="1">
        <f>S60-J60</f>
        <v>-523205</v>
      </c>
      <c r="U60" s="1"/>
      <c r="V60" s="1"/>
    </row>
    <row r="61" spans="1:22" x14ac:dyDescent="0.2">
      <c r="A61" s="1" t="s">
        <v>706</v>
      </c>
      <c r="B61" s="2">
        <v>-5580.35</v>
      </c>
      <c r="C61" s="78"/>
      <c r="D61" s="7"/>
      <c r="E61" s="7">
        <v>125333</v>
      </c>
      <c r="F61" s="7"/>
      <c r="G61" s="7"/>
      <c r="H61" s="7"/>
      <c r="I61" s="7"/>
      <c r="J61" s="7"/>
      <c r="K61" s="7"/>
      <c r="L61" s="7"/>
      <c r="M61" s="7">
        <v>618714</v>
      </c>
      <c r="N61" s="7"/>
      <c r="O61" s="7"/>
      <c r="P61" s="7"/>
      <c r="Q61" s="7"/>
      <c r="R61" s="7"/>
      <c r="S61" s="60">
        <f>SUM((D61+F61+H61+J61+L61+N61+P61+R61)-(E61+G61+I61+K61+M61+O61+Q61))</f>
        <v>-744047</v>
      </c>
      <c r="T61" s="1">
        <f>S61-J61</f>
        <v>-744047</v>
      </c>
      <c r="U61" s="1"/>
      <c r="V61" s="1"/>
    </row>
    <row r="62" spans="1:22" x14ac:dyDescent="0.2">
      <c r="A62" s="1" t="s">
        <v>97</v>
      </c>
      <c r="B62" s="2">
        <v>-112.17</v>
      </c>
      <c r="C62" s="78"/>
      <c r="D62" s="7"/>
      <c r="E62" s="7"/>
      <c r="F62" s="7"/>
      <c r="G62" s="7"/>
      <c r="H62" s="7"/>
      <c r="I62" s="7"/>
      <c r="J62" s="7"/>
      <c r="K62" s="7"/>
      <c r="L62" s="7"/>
      <c r="M62" s="7">
        <v>14956</v>
      </c>
      <c r="N62" s="7"/>
      <c r="O62" s="7"/>
      <c r="P62" s="7"/>
      <c r="Q62" s="7"/>
      <c r="R62" s="7"/>
      <c r="S62" s="60">
        <f>SUM((D62+F62+H62+J62+L62+N62+P62+R62)-(E62+G62+I62+K62+M62+O62+Q62))</f>
        <v>-14956</v>
      </c>
      <c r="T62" s="1">
        <f>S62-J62</f>
        <v>-14956</v>
      </c>
      <c r="U62" s="1"/>
      <c r="V62" s="1"/>
    </row>
    <row r="63" spans="1:22" s="20" customFormat="1" x14ac:dyDescent="0.2">
      <c r="A63" s="18" t="s">
        <v>438</v>
      </c>
      <c r="B63" s="78">
        <v>-5179.24</v>
      </c>
      <c r="C63" s="78">
        <v>110.24</v>
      </c>
      <c r="D63" s="246">
        <v>200439</v>
      </c>
      <c r="E63" s="246">
        <v>264967</v>
      </c>
      <c r="F63" s="246"/>
      <c r="G63" s="246"/>
      <c r="H63" s="246"/>
      <c r="I63" s="246"/>
      <c r="J63" s="246"/>
      <c r="K63" s="246"/>
      <c r="L63" s="246">
        <v>522700</v>
      </c>
      <c r="M63" s="246">
        <v>1148737</v>
      </c>
      <c r="N63" s="246"/>
      <c r="O63" s="246"/>
      <c r="P63" s="246"/>
      <c r="Q63" s="246"/>
      <c r="R63" s="246"/>
      <c r="S63" s="248">
        <f t="shared" si="6"/>
        <v>-690565</v>
      </c>
      <c r="T63" s="18">
        <f t="shared" si="7"/>
        <v>-690565</v>
      </c>
    </row>
    <row r="64" spans="1:22" s="20" customFormat="1" x14ac:dyDescent="0.2">
      <c r="A64" s="18" t="s">
        <v>302</v>
      </c>
      <c r="B64" s="78">
        <v>-282.63</v>
      </c>
      <c r="C64" s="78"/>
      <c r="D64" s="246"/>
      <c r="E64" s="246"/>
      <c r="F64" s="246"/>
      <c r="G64" s="246"/>
      <c r="H64" s="246"/>
      <c r="I64" s="246"/>
      <c r="J64" s="246"/>
      <c r="K64" s="246"/>
      <c r="L64" s="246"/>
      <c r="M64" s="246">
        <v>37684</v>
      </c>
      <c r="N64" s="246"/>
      <c r="O64" s="246"/>
      <c r="P64" s="246"/>
      <c r="Q64" s="246"/>
      <c r="R64" s="246"/>
      <c r="S64" s="248">
        <f t="shared" si="6"/>
        <v>-37684</v>
      </c>
      <c r="T64" s="18">
        <f t="shared" si="7"/>
        <v>-37684</v>
      </c>
    </row>
    <row r="65" spans="1:49" s="20" customFormat="1" x14ac:dyDescent="0.2">
      <c r="A65" s="18" t="s">
        <v>359</v>
      </c>
      <c r="B65" s="78">
        <v>20649.830000000002</v>
      </c>
      <c r="C65" s="78">
        <v>752.34</v>
      </c>
      <c r="D65" s="246">
        <v>1367898</v>
      </c>
      <c r="E65" s="246">
        <v>53465</v>
      </c>
      <c r="F65" s="246"/>
      <c r="G65" s="246"/>
      <c r="H65" s="246"/>
      <c r="I65" s="246"/>
      <c r="J65" s="246"/>
      <c r="K65" s="246"/>
      <c r="L65" s="246">
        <v>1680378</v>
      </c>
      <c r="M65" s="246">
        <v>241500</v>
      </c>
      <c r="N65" s="246"/>
      <c r="O65" s="246"/>
      <c r="P65" s="246"/>
      <c r="Q65" s="246"/>
      <c r="R65" s="246"/>
      <c r="S65" s="248">
        <f t="shared" si="6"/>
        <v>2753311</v>
      </c>
      <c r="T65" s="18">
        <f t="shared" si="7"/>
        <v>2753311</v>
      </c>
    </row>
    <row r="66" spans="1:49" s="20" customFormat="1" x14ac:dyDescent="0.2">
      <c r="A66" s="18" t="s">
        <v>103</v>
      </c>
      <c r="B66" s="78">
        <v>-4740.84</v>
      </c>
      <c r="C66" s="78">
        <v>81.99</v>
      </c>
      <c r="D66" s="246">
        <v>68353</v>
      </c>
      <c r="E66" s="246">
        <v>37776</v>
      </c>
      <c r="F66" s="246"/>
      <c r="G66" s="246">
        <v>179945</v>
      </c>
      <c r="H66" s="246"/>
      <c r="I66" s="246"/>
      <c r="J66" s="246">
        <v>80727</v>
      </c>
      <c r="K66" s="246"/>
      <c r="L66" s="246">
        <v>8756</v>
      </c>
      <c r="M66" s="246">
        <v>693089</v>
      </c>
      <c r="N66" s="246"/>
      <c r="O66" s="246"/>
      <c r="P66" s="246">
        <v>201589</v>
      </c>
      <c r="Q66" s="246"/>
      <c r="R66" s="246"/>
      <c r="S66" s="248">
        <f t="shared" si="6"/>
        <v>-551385</v>
      </c>
      <c r="T66" s="18">
        <f t="shared" si="7"/>
        <v>-632112</v>
      </c>
    </row>
    <row r="67" spans="1:49" x14ac:dyDescent="0.2">
      <c r="A67" s="1" t="s">
        <v>98</v>
      </c>
      <c r="B67" s="2">
        <v>4219.6499999999996</v>
      </c>
      <c r="C67" s="78">
        <v>226.45</v>
      </c>
      <c r="D67" s="7">
        <v>411726</v>
      </c>
      <c r="E67" s="7"/>
      <c r="F67" s="7"/>
      <c r="G67" s="7"/>
      <c r="H67" s="7"/>
      <c r="I67" s="7"/>
      <c r="J67" s="7"/>
      <c r="K67" s="7"/>
      <c r="L67" s="7">
        <v>150894</v>
      </c>
      <c r="M67" s="7"/>
      <c r="N67" s="7"/>
      <c r="O67" s="7"/>
      <c r="P67" s="7"/>
      <c r="Q67" s="7"/>
      <c r="R67" s="7"/>
      <c r="S67" s="60">
        <f t="shared" si="6"/>
        <v>562620</v>
      </c>
      <c r="T67" s="1">
        <f t="shared" ref="T67:T73" si="8">S67-J67</f>
        <v>562620</v>
      </c>
    </row>
    <row r="68" spans="1:49" s="20" customFormat="1" x14ac:dyDescent="0.2">
      <c r="A68" s="18" t="s">
        <v>497</v>
      </c>
      <c r="B68" s="78">
        <v>908.71</v>
      </c>
      <c r="C68" s="78">
        <v>1.87</v>
      </c>
      <c r="D68" s="246"/>
      <c r="E68" s="246"/>
      <c r="F68" s="246"/>
      <c r="G68" s="246"/>
      <c r="H68" s="246"/>
      <c r="I68" s="246"/>
      <c r="J68" s="246">
        <v>3405</v>
      </c>
      <c r="K68" s="246"/>
      <c r="L68" s="246">
        <v>121261</v>
      </c>
      <c r="M68" s="246"/>
      <c r="N68" s="246"/>
      <c r="O68" s="246"/>
      <c r="P68" s="246"/>
      <c r="Q68" s="246"/>
      <c r="R68" s="246"/>
      <c r="S68" s="248">
        <f t="shared" si="6"/>
        <v>124666</v>
      </c>
      <c r="T68" s="18">
        <f t="shared" si="8"/>
        <v>121261</v>
      </c>
    </row>
    <row r="69" spans="1:49" s="20" customFormat="1" x14ac:dyDescent="0.2">
      <c r="A69" s="18" t="s">
        <v>735</v>
      </c>
      <c r="B69" s="78">
        <v>0.75</v>
      </c>
      <c r="C69" s="78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8">
        <f>SUM((D69+F69+H69+J69+L69+N69+P69+R69)-(E69+G69+I69+K69+M69+O69+Q69))</f>
        <v>0</v>
      </c>
      <c r="T69" s="18">
        <f>S69-J69</f>
        <v>0</v>
      </c>
      <c r="U69" s="78"/>
      <c r="V69" s="18"/>
      <c r="W69" s="18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18"/>
      <c r="AU69" s="246"/>
      <c r="AV69" s="18"/>
      <c r="AW69" s="18"/>
    </row>
    <row r="70" spans="1:49" s="20" customFormat="1" x14ac:dyDescent="0.2">
      <c r="A70" s="18" t="s">
        <v>104</v>
      </c>
      <c r="B70" s="78">
        <v>58778.36</v>
      </c>
      <c r="C70" s="78">
        <v>1710.02</v>
      </c>
      <c r="D70" s="246">
        <v>3041899</v>
      </c>
      <c r="E70" s="246">
        <v>37092</v>
      </c>
      <c r="F70" s="246">
        <v>67220</v>
      </c>
      <c r="G70" s="246"/>
      <c r="H70" s="246"/>
      <c r="I70" s="246"/>
      <c r="J70" s="246"/>
      <c r="K70" s="246"/>
      <c r="L70" s="246">
        <v>4788084</v>
      </c>
      <c r="M70" s="246">
        <v>44303</v>
      </c>
      <c r="N70" s="246"/>
      <c r="O70" s="246"/>
      <c r="P70" s="246">
        <v>21306</v>
      </c>
      <c r="Q70" s="246"/>
      <c r="R70" s="246"/>
      <c r="S70" s="248">
        <f t="shared" si="6"/>
        <v>7837114</v>
      </c>
      <c r="T70" s="18">
        <f t="shared" si="8"/>
        <v>7837114</v>
      </c>
    </row>
    <row r="71" spans="1:49" x14ac:dyDescent="0.2">
      <c r="A71" s="1" t="s">
        <v>462</v>
      </c>
      <c r="B71" s="2">
        <v>-11.06</v>
      </c>
      <c r="C71" s="78">
        <v>2.19</v>
      </c>
      <c r="D71" s="7">
        <v>3982</v>
      </c>
      <c r="E71" s="7">
        <v>2648</v>
      </c>
      <c r="F71" s="7"/>
      <c r="G71" s="7"/>
      <c r="H71" s="7"/>
      <c r="I71" s="7"/>
      <c r="J71" s="7"/>
      <c r="K71" s="7"/>
      <c r="L71" s="7">
        <v>3990</v>
      </c>
      <c r="M71" s="7">
        <v>6798</v>
      </c>
      <c r="N71" s="7"/>
      <c r="O71" s="7"/>
      <c r="P71" s="7"/>
      <c r="Q71" s="7"/>
      <c r="R71" s="7"/>
      <c r="S71" s="60">
        <f t="shared" si="6"/>
        <v>-1474</v>
      </c>
      <c r="T71" s="1">
        <f t="shared" si="8"/>
        <v>-1474</v>
      </c>
    </row>
    <row r="72" spans="1:49" x14ac:dyDescent="0.2">
      <c r="A72" s="1" t="s">
        <v>105</v>
      </c>
      <c r="B72" s="2">
        <v>79.33</v>
      </c>
      <c r="C72" s="78">
        <v>2.78</v>
      </c>
      <c r="D72" s="7">
        <v>5048</v>
      </c>
      <c r="E72" s="7"/>
      <c r="F72" s="7"/>
      <c r="G72" s="7"/>
      <c r="H72" s="7"/>
      <c r="I72" s="7"/>
      <c r="J72" s="7"/>
      <c r="K72" s="7"/>
      <c r="L72" s="7">
        <v>5529</v>
      </c>
      <c r="M72" s="7"/>
      <c r="N72" s="7"/>
      <c r="O72" s="7"/>
      <c r="P72" s="7"/>
      <c r="Q72" s="7"/>
      <c r="R72" s="7"/>
      <c r="S72" s="60">
        <f t="shared" si="6"/>
        <v>10577</v>
      </c>
      <c r="T72" s="1">
        <f t="shared" si="8"/>
        <v>10577</v>
      </c>
    </row>
    <row r="73" spans="1:49" s="20" customFormat="1" x14ac:dyDescent="0.2">
      <c r="A73" s="18" t="s">
        <v>724</v>
      </c>
      <c r="B73" s="78">
        <v>-1906.61</v>
      </c>
      <c r="C73" s="78"/>
      <c r="D73" s="246"/>
      <c r="E73" s="246"/>
      <c r="F73" s="246"/>
      <c r="G73" s="246"/>
      <c r="H73" s="246"/>
      <c r="I73" s="246"/>
      <c r="J73" s="246"/>
      <c r="K73" s="246"/>
      <c r="L73" s="246"/>
      <c r="M73" s="246">
        <v>254215</v>
      </c>
      <c r="N73" s="246"/>
      <c r="O73" s="246"/>
      <c r="P73" s="246"/>
      <c r="Q73" s="246"/>
      <c r="R73" s="246"/>
      <c r="S73" s="248">
        <f t="shared" si="6"/>
        <v>-254215</v>
      </c>
      <c r="T73" s="18">
        <f t="shared" si="8"/>
        <v>-254215</v>
      </c>
    </row>
    <row r="74" spans="1:49" s="20" customFormat="1" x14ac:dyDescent="0.2">
      <c r="A74" s="18" t="s">
        <v>303</v>
      </c>
      <c r="B74" s="78">
        <v>30096.98</v>
      </c>
      <c r="C74" s="78">
        <v>394.06</v>
      </c>
      <c r="D74" s="246">
        <v>716467</v>
      </c>
      <c r="E74" s="246"/>
      <c r="F74" s="246"/>
      <c r="G74" s="246"/>
      <c r="H74" s="246"/>
      <c r="I74" s="246"/>
      <c r="J74" s="246"/>
      <c r="K74" s="246"/>
      <c r="L74" s="246">
        <v>3289740</v>
      </c>
      <c r="M74" s="246">
        <v>10242</v>
      </c>
      <c r="N74" s="246"/>
      <c r="O74" s="246"/>
      <c r="P74" s="246">
        <v>16966</v>
      </c>
      <c r="Q74" s="246"/>
      <c r="R74" s="246"/>
      <c r="S74" s="248">
        <f t="shared" ref="S74:S82" si="9">SUM((D74+F74+H74+J74+L74+N74+P74+R74)-(E74+G74+I74+K74+M74+O74+Q74))</f>
        <v>4012931</v>
      </c>
      <c r="T74" s="18">
        <f t="shared" ref="T74:T82" si="10">S74-J74</f>
        <v>4012931</v>
      </c>
    </row>
    <row r="75" spans="1:49" s="20" customFormat="1" x14ac:dyDescent="0.2">
      <c r="A75" s="18" t="s">
        <v>441</v>
      </c>
      <c r="B75" s="78">
        <v>-68.790000000000006</v>
      </c>
      <c r="C75" s="78">
        <v>104.8</v>
      </c>
      <c r="D75" s="246">
        <v>190537</v>
      </c>
      <c r="E75" s="246">
        <v>212270</v>
      </c>
      <c r="F75" s="246"/>
      <c r="G75" s="246"/>
      <c r="H75" s="246"/>
      <c r="I75" s="246"/>
      <c r="J75" s="246"/>
      <c r="K75" s="246"/>
      <c r="L75" s="246">
        <v>29736</v>
      </c>
      <c r="M75" s="246">
        <v>17175</v>
      </c>
      <c r="N75" s="246"/>
      <c r="O75" s="246"/>
      <c r="P75" s="246"/>
      <c r="Q75" s="246"/>
      <c r="R75" s="246"/>
      <c r="S75" s="248">
        <f t="shared" si="9"/>
        <v>-9172</v>
      </c>
      <c r="T75" s="18">
        <f t="shared" si="10"/>
        <v>-9172</v>
      </c>
    </row>
    <row r="76" spans="1:49" s="20" customFormat="1" x14ac:dyDescent="0.2">
      <c r="A76" s="18" t="s">
        <v>477</v>
      </c>
      <c r="B76" s="78">
        <v>28479.26</v>
      </c>
      <c r="C76" s="78">
        <v>1789.23</v>
      </c>
      <c r="D76" s="246">
        <v>3253152</v>
      </c>
      <c r="E76" s="246">
        <v>60159</v>
      </c>
      <c r="F76" s="246"/>
      <c r="G76" s="246"/>
      <c r="H76" s="246"/>
      <c r="I76" s="246"/>
      <c r="J76" s="246"/>
      <c r="K76" s="246"/>
      <c r="L76" s="246">
        <v>629202</v>
      </c>
      <c r="M76" s="246">
        <v>72794</v>
      </c>
      <c r="N76" s="246"/>
      <c r="O76" s="246"/>
      <c r="P76" s="246">
        <v>47833</v>
      </c>
      <c r="Q76" s="246"/>
      <c r="R76" s="246"/>
      <c r="S76" s="248">
        <f>SUM((D76+F76+H76+J76+L76+N76+P76+R76)-(E76+G76+I76+K76+M76+O76+Q76))</f>
        <v>3797234</v>
      </c>
      <c r="T76" s="18">
        <f>S76-J76</f>
        <v>3797234</v>
      </c>
    </row>
    <row r="77" spans="1:49" s="20" customFormat="1" x14ac:dyDescent="0.2">
      <c r="A77" s="18" t="s">
        <v>304</v>
      </c>
      <c r="B77" s="78">
        <v>185.26</v>
      </c>
      <c r="C77" s="78">
        <v>13.58</v>
      </c>
      <c r="D77" s="246">
        <v>24701</v>
      </c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8">
        <f t="shared" si="9"/>
        <v>24701</v>
      </c>
      <c r="T77" s="18">
        <f t="shared" si="10"/>
        <v>24701</v>
      </c>
    </row>
    <row r="78" spans="1:49" s="20" customFormat="1" x14ac:dyDescent="0.2">
      <c r="A78" s="18" t="s">
        <v>360</v>
      </c>
      <c r="B78" s="78">
        <v>-936.83</v>
      </c>
      <c r="C78" s="78"/>
      <c r="D78" s="246"/>
      <c r="E78" s="246">
        <v>138938</v>
      </c>
      <c r="F78" s="246"/>
      <c r="G78" s="246"/>
      <c r="H78" s="246"/>
      <c r="I78" s="246"/>
      <c r="J78" s="246"/>
      <c r="K78" s="246"/>
      <c r="L78" s="246">
        <v>839916</v>
      </c>
      <c r="M78" s="246">
        <v>825888</v>
      </c>
      <c r="N78" s="246"/>
      <c r="O78" s="246"/>
      <c r="P78" s="246"/>
      <c r="Q78" s="246"/>
      <c r="R78" s="246"/>
      <c r="S78" s="248">
        <f>SUM((D78+F78+H78+J78+L78+N78+P78+R78)-(E78+G78+I78+K78+M78+O78+Q78))</f>
        <v>-124910</v>
      </c>
      <c r="T78" s="18">
        <f>S78-J78</f>
        <v>-124910</v>
      </c>
    </row>
    <row r="79" spans="1:49" s="20" customFormat="1" x14ac:dyDescent="0.2">
      <c r="A79" s="18" t="s">
        <v>611</v>
      </c>
      <c r="B79" s="78">
        <v>-390.99</v>
      </c>
      <c r="C79" s="78"/>
      <c r="D79" s="246"/>
      <c r="E79" s="246"/>
      <c r="F79" s="246"/>
      <c r="G79" s="246"/>
      <c r="H79" s="246"/>
      <c r="I79" s="246"/>
      <c r="J79" s="246"/>
      <c r="K79" s="246"/>
      <c r="L79" s="246"/>
      <c r="M79" s="246">
        <v>52132</v>
      </c>
      <c r="N79" s="246"/>
      <c r="O79" s="246"/>
      <c r="P79" s="246"/>
      <c r="Q79" s="246"/>
      <c r="R79" s="246"/>
      <c r="S79" s="248">
        <f>SUM((D79+F79+H79+J79+L79+N79+P79+R79)-(E79+G79+I79+K79+M79+O79+Q79))</f>
        <v>-52132</v>
      </c>
      <c r="T79" s="18">
        <f>S79-J79</f>
        <v>-52132</v>
      </c>
    </row>
    <row r="80" spans="1:49" s="20" customFormat="1" x14ac:dyDescent="0.2">
      <c r="A80" s="18" t="s">
        <v>365</v>
      </c>
      <c r="B80" s="78">
        <v>33378.11</v>
      </c>
      <c r="C80" s="78">
        <v>902.27</v>
      </c>
      <c r="D80" s="246">
        <v>1640488</v>
      </c>
      <c r="E80" s="246"/>
      <c r="F80" s="246"/>
      <c r="G80" s="246"/>
      <c r="H80" s="246"/>
      <c r="I80" s="246"/>
      <c r="J80" s="246"/>
      <c r="K80" s="246"/>
      <c r="L80" s="246">
        <v>2809926</v>
      </c>
      <c r="M80" s="246"/>
      <c r="N80" s="246"/>
      <c r="O80" s="246"/>
      <c r="P80" s="246"/>
      <c r="Q80" s="246"/>
      <c r="R80" s="246"/>
      <c r="S80" s="248">
        <f>SUM((D80+F80+H80+J80+L80+N80+P80+R80)-(E80+G80+I80+K80+M80+O80+Q80))</f>
        <v>4450414</v>
      </c>
      <c r="T80" s="18">
        <f>S80-J80</f>
        <v>4450414</v>
      </c>
    </row>
    <row r="81" spans="1:49" x14ac:dyDescent="0.2">
      <c r="A81" s="1" t="s">
        <v>305</v>
      </c>
      <c r="B81" s="2">
        <v>-5572.12</v>
      </c>
      <c r="C81" s="78">
        <v>3.63</v>
      </c>
      <c r="D81" s="7">
        <v>6599</v>
      </c>
      <c r="E81" s="7">
        <v>219592</v>
      </c>
      <c r="F81" s="7"/>
      <c r="G81" s="7"/>
      <c r="H81" s="7"/>
      <c r="I81" s="7"/>
      <c r="J81" s="7"/>
      <c r="K81" s="7"/>
      <c r="L81" s="7">
        <v>7569</v>
      </c>
      <c r="M81" s="7">
        <v>537525</v>
      </c>
      <c r="N81" s="7"/>
      <c r="O81" s="7"/>
      <c r="P81" s="7"/>
      <c r="Q81" s="7"/>
      <c r="R81" s="7"/>
      <c r="S81" s="60">
        <f>SUM((D81+F81+H81+J81+L81+N81+P81+R81)-(E81+G81+I81+K81+M81+O81+Q81))</f>
        <v>-742949</v>
      </c>
      <c r="T81" s="1">
        <f>S81-J81</f>
        <v>-742949</v>
      </c>
    </row>
    <row r="82" spans="1:49" x14ac:dyDescent="0.2">
      <c r="A82" s="1" t="s">
        <v>306</v>
      </c>
      <c r="B82" s="2">
        <v>64368.38</v>
      </c>
      <c r="C82" s="78">
        <v>4674.07</v>
      </c>
      <c r="D82" s="7">
        <v>7783331</v>
      </c>
      <c r="E82" s="7"/>
      <c r="F82" s="7">
        <v>714976</v>
      </c>
      <c r="G82" s="7"/>
      <c r="H82" s="7"/>
      <c r="I82" s="7"/>
      <c r="J82" s="7"/>
      <c r="K82" s="7"/>
      <c r="L82" s="7"/>
      <c r="M82" s="7"/>
      <c r="N82" s="7"/>
      <c r="O82" s="7"/>
      <c r="P82" s="7">
        <v>84143</v>
      </c>
      <c r="Q82" s="7"/>
      <c r="R82" s="7"/>
      <c r="S82" s="60">
        <f t="shared" si="9"/>
        <v>8582450</v>
      </c>
      <c r="T82" s="1">
        <f t="shared" si="10"/>
        <v>8582450</v>
      </c>
    </row>
    <row r="83" spans="1:49" x14ac:dyDescent="0.2">
      <c r="A83" s="1" t="s">
        <v>695</v>
      </c>
      <c r="B83" s="2">
        <v>387.23</v>
      </c>
      <c r="C83" s="78">
        <v>22.86</v>
      </c>
      <c r="D83" s="7">
        <v>41564</v>
      </c>
      <c r="E83" s="7"/>
      <c r="F83" s="7"/>
      <c r="G83" s="7"/>
      <c r="H83" s="7"/>
      <c r="I83" s="7"/>
      <c r="J83" s="7"/>
      <c r="K83" s="7"/>
      <c r="L83" s="7">
        <v>10066</v>
      </c>
      <c r="M83" s="7"/>
      <c r="N83" s="7"/>
      <c r="O83" s="7"/>
      <c r="P83" s="7"/>
      <c r="Q83" s="7"/>
      <c r="R83" s="7"/>
      <c r="S83" s="60">
        <f t="shared" ref="S83:S90" si="11">SUM((D83+F83+H83+J83+L83+N83+P83+R83)-(E83+G83+I83+K83+M83+O83+Q83))</f>
        <v>51630</v>
      </c>
      <c r="T83" s="1">
        <f t="shared" ref="T83:T90" si="12">S83-J83</f>
        <v>51630</v>
      </c>
    </row>
    <row r="84" spans="1:49" x14ac:dyDescent="0.2">
      <c r="A84" s="1" t="s">
        <v>84</v>
      </c>
      <c r="B84" s="2">
        <v>275.45999999999998</v>
      </c>
      <c r="C84" s="78">
        <v>14.52</v>
      </c>
      <c r="D84" s="7">
        <v>4993</v>
      </c>
      <c r="E84" s="7"/>
      <c r="F84" s="7">
        <v>21400</v>
      </c>
      <c r="G84" s="7"/>
      <c r="H84" s="7"/>
      <c r="I84" s="7"/>
      <c r="J84" s="7"/>
      <c r="K84" s="7"/>
      <c r="L84" s="7">
        <v>10335</v>
      </c>
      <c r="M84" s="7"/>
      <c r="N84" s="7"/>
      <c r="O84" s="7"/>
      <c r="P84" s="7"/>
      <c r="Q84" s="7"/>
      <c r="R84" s="7"/>
      <c r="S84" s="60">
        <f t="shared" si="11"/>
        <v>36728</v>
      </c>
      <c r="T84" s="1">
        <f t="shared" si="12"/>
        <v>36728</v>
      </c>
    </row>
    <row r="85" spans="1:49" x14ac:dyDescent="0.2">
      <c r="A85" s="1" t="s">
        <v>307</v>
      </c>
      <c r="B85" s="2">
        <v>12.74</v>
      </c>
      <c r="C85" s="78">
        <v>0.93</v>
      </c>
      <c r="D85" s="7">
        <v>1699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60">
        <f t="shared" si="11"/>
        <v>1699</v>
      </c>
      <c r="T85" s="1">
        <f t="shared" si="12"/>
        <v>1699</v>
      </c>
      <c r="U85" s="1"/>
      <c r="V85" s="1"/>
    </row>
    <row r="86" spans="1:49" x14ac:dyDescent="0.2">
      <c r="A86" s="1" t="s">
        <v>571</v>
      </c>
      <c r="B86" s="2">
        <v>83925.08</v>
      </c>
      <c r="C86" s="78">
        <v>3151.3</v>
      </c>
      <c r="D86" s="7">
        <v>5729640</v>
      </c>
      <c r="E86" s="7">
        <v>51798</v>
      </c>
      <c r="F86" s="7"/>
      <c r="G86" s="7"/>
      <c r="H86" s="7"/>
      <c r="I86" s="7"/>
      <c r="J86" s="7"/>
      <c r="K86" s="7"/>
      <c r="L86" s="7">
        <v>5681424</v>
      </c>
      <c r="M86" s="7">
        <v>203737</v>
      </c>
      <c r="N86" s="7"/>
      <c r="O86" s="7"/>
      <c r="P86" s="7">
        <v>34482</v>
      </c>
      <c r="Q86" s="7"/>
      <c r="R86" s="7"/>
      <c r="S86" s="60">
        <f t="shared" si="11"/>
        <v>11190011</v>
      </c>
      <c r="T86" s="1">
        <f t="shared" si="12"/>
        <v>11190011</v>
      </c>
      <c r="U86" s="1"/>
      <c r="V86" s="1"/>
    </row>
    <row r="87" spans="1:49" s="20" customFormat="1" x14ac:dyDescent="0.2">
      <c r="A87" s="18" t="s">
        <v>308</v>
      </c>
      <c r="B87" s="78">
        <v>4648.37</v>
      </c>
      <c r="C87" s="78">
        <v>10.4</v>
      </c>
      <c r="D87" s="246"/>
      <c r="E87" s="246"/>
      <c r="F87" s="246"/>
      <c r="G87" s="246"/>
      <c r="H87" s="246"/>
      <c r="I87" s="246"/>
      <c r="J87" s="246">
        <v>18914</v>
      </c>
      <c r="K87" s="246"/>
      <c r="L87" s="246">
        <v>634410</v>
      </c>
      <c r="M87" s="246">
        <v>14628</v>
      </c>
      <c r="N87" s="246"/>
      <c r="O87" s="246"/>
      <c r="P87" s="246"/>
      <c r="Q87" s="246"/>
      <c r="R87" s="246"/>
      <c r="S87" s="248">
        <f t="shared" si="11"/>
        <v>638696</v>
      </c>
      <c r="T87" s="18">
        <f t="shared" si="12"/>
        <v>619782</v>
      </c>
      <c r="U87" s="78"/>
      <c r="V87" s="18"/>
      <c r="W87" s="18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18"/>
      <c r="AU87" s="246"/>
      <c r="AV87" s="18"/>
      <c r="AW87" s="18"/>
    </row>
    <row r="88" spans="1:49" s="20" customFormat="1" x14ac:dyDescent="0.2">
      <c r="A88" s="18" t="s">
        <v>612</v>
      </c>
      <c r="B88" s="78">
        <v>272.16000000000003</v>
      </c>
      <c r="C88" s="7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>
        <v>36288</v>
      </c>
      <c r="Q88" s="246"/>
      <c r="R88" s="246"/>
      <c r="S88" s="248">
        <f t="shared" si="11"/>
        <v>36288</v>
      </c>
      <c r="T88" s="18">
        <f t="shared" si="12"/>
        <v>36288</v>
      </c>
      <c r="U88" s="78"/>
      <c r="V88" s="18"/>
      <c r="W88" s="18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18"/>
      <c r="AU88" s="246"/>
      <c r="AV88" s="18"/>
      <c r="AW88" s="18"/>
    </row>
    <row r="89" spans="1:49" s="20" customFormat="1" x14ac:dyDescent="0.2">
      <c r="A89" s="18" t="s">
        <v>495</v>
      </c>
      <c r="B89" s="78">
        <v>-3062.83</v>
      </c>
      <c r="C89" s="78">
        <v>4.76</v>
      </c>
      <c r="D89" s="246">
        <v>8660</v>
      </c>
      <c r="E89" s="246">
        <v>365428</v>
      </c>
      <c r="F89" s="246"/>
      <c r="G89" s="246"/>
      <c r="H89" s="246"/>
      <c r="I89" s="246"/>
      <c r="J89" s="246"/>
      <c r="K89" s="246"/>
      <c r="L89" s="246"/>
      <c r="M89" s="246">
        <v>51609</v>
      </c>
      <c r="N89" s="246"/>
      <c r="O89" s="246"/>
      <c r="P89" s="246"/>
      <c r="Q89" s="246"/>
      <c r="R89" s="246"/>
      <c r="S89" s="248">
        <f t="shared" si="11"/>
        <v>-408377</v>
      </c>
      <c r="T89" s="18">
        <f t="shared" si="12"/>
        <v>-408377</v>
      </c>
      <c r="U89" s="78"/>
      <c r="V89" s="18"/>
      <c r="W89" s="18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18"/>
      <c r="AU89" s="246"/>
      <c r="AV89" s="18"/>
      <c r="AW89" s="18"/>
    </row>
    <row r="90" spans="1:49" s="20" customFormat="1" x14ac:dyDescent="0.2">
      <c r="A90" s="18" t="s">
        <v>487</v>
      </c>
      <c r="B90" s="78">
        <v>-510.99</v>
      </c>
      <c r="C90" s="78"/>
      <c r="D90" s="246"/>
      <c r="E90" s="246">
        <v>62252</v>
      </c>
      <c r="F90" s="246"/>
      <c r="G90" s="246"/>
      <c r="H90" s="246"/>
      <c r="I90" s="246"/>
      <c r="J90" s="246"/>
      <c r="K90" s="246"/>
      <c r="L90" s="246"/>
      <c r="M90" s="246">
        <v>5880</v>
      </c>
      <c r="N90" s="246"/>
      <c r="O90" s="246"/>
      <c r="P90" s="246"/>
      <c r="Q90" s="246"/>
      <c r="R90" s="246"/>
      <c r="S90" s="248">
        <f t="shared" si="11"/>
        <v>-68132</v>
      </c>
      <c r="T90" s="18">
        <f t="shared" si="12"/>
        <v>-68132</v>
      </c>
      <c r="U90" s="78"/>
      <c r="V90" s="18"/>
      <c r="W90" s="18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18"/>
      <c r="AU90" s="246"/>
      <c r="AV90" s="18"/>
      <c r="AW90" s="18"/>
    </row>
    <row r="91" spans="1:49" x14ac:dyDescent="0.2">
      <c r="T91" s="1"/>
      <c r="U91" s="1"/>
      <c r="V91" s="1"/>
    </row>
    <row r="92" spans="1:49" ht="21.75" customHeight="1" thickBot="1" x14ac:dyDescent="0.25">
      <c r="A92" s="1" t="s">
        <v>244</v>
      </c>
      <c r="B92" s="132">
        <f t="shared" ref="B92:T92" si="13">SUM(B12:B91)</f>
        <v>922289.7</v>
      </c>
      <c r="C92" s="132">
        <f t="shared" si="13"/>
        <v>51635.32</v>
      </c>
      <c r="D92" s="34">
        <f t="shared" si="13"/>
        <v>78623896</v>
      </c>
      <c r="E92" s="34">
        <f t="shared" si="13"/>
        <v>7367384</v>
      </c>
      <c r="F92" s="34">
        <f t="shared" si="13"/>
        <v>14615422</v>
      </c>
      <c r="G92" s="34">
        <f t="shared" si="13"/>
        <v>1683837</v>
      </c>
      <c r="H92" s="34">
        <f t="shared" si="13"/>
        <v>245756</v>
      </c>
      <c r="I92" s="34">
        <f t="shared" si="13"/>
        <v>0</v>
      </c>
      <c r="J92" s="34">
        <f t="shared" si="13"/>
        <v>397348</v>
      </c>
      <c r="K92" s="34">
        <f t="shared" si="13"/>
        <v>0</v>
      </c>
      <c r="L92" s="34">
        <f t="shared" si="13"/>
        <v>51219938</v>
      </c>
      <c r="M92" s="34">
        <f t="shared" si="13"/>
        <v>13765718</v>
      </c>
      <c r="N92" s="34">
        <f t="shared" si="13"/>
        <v>0</v>
      </c>
      <c r="O92" s="34">
        <f t="shared" si="13"/>
        <v>0</v>
      </c>
      <c r="P92" s="34">
        <f t="shared" si="13"/>
        <v>1068359</v>
      </c>
      <c r="Q92" s="34">
        <f t="shared" si="13"/>
        <v>0</v>
      </c>
      <c r="R92" s="34">
        <f t="shared" si="13"/>
        <v>15527</v>
      </c>
      <c r="S92" s="34">
        <f t="shared" si="13"/>
        <v>123369307</v>
      </c>
      <c r="T92" s="34">
        <f t="shared" si="13"/>
        <v>122971959</v>
      </c>
      <c r="U92" s="7"/>
      <c r="V92" s="7">
        <f>D92-E92+F92-G92+H92-I92+J92-K92+L92-M92+N92-O92+P92-Q92+R92</f>
        <v>123369307</v>
      </c>
    </row>
    <row r="93" spans="1:49" hidden="1" x14ac:dyDescent="0.2">
      <c r="A93" s="1"/>
      <c r="B93" s="1"/>
      <c r="C93" s="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49" ht="23.25" hidden="1" customHeight="1" x14ac:dyDescent="0.2">
      <c r="A94" s="1"/>
      <c r="B94" s="1"/>
      <c r="C94" s="1"/>
      <c r="D94" s="7"/>
      <c r="E94" s="7"/>
      <c r="F94" s="7"/>
      <c r="G94" s="7"/>
      <c r="H94" s="7"/>
      <c r="I94" s="7"/>
      <c r="J94" s="7"/>
      <c r="K94" s="7"/>
      <c r="L94" s="7"/>
      <c r="M94" s="7"/>
      <c r="N94" s="7" t="s">
        <v>309</v>
      </c>
      <c r="O94" s="7"/>
      <c r="P94" s="7"/>
      <c r="Q94" s="7"/>
      <c r="R94" s="7"/>
      <c r="S94" s="7"/>
      <c r="T94" s="7"/>
      <c r="U94" s="7"/>
      <c r="V94" s="7"/>
    </row>
    <row r="95" spans="1:49" ht="21" hidden="1" customHeight="1" x14ac:dyDescent="0.2">
      <c r="A95" s="235" t="s">
        <v>310</v>
      </c>
      <c r="B95" s="279">
        <v>924872.45</v>
      </c>
      <c r="C95" s="279">
        <v>51635.32</v>
      </c>
      <c r="D95" s="7"/>
      <c r="E95" s="7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"/>
      <c r="V95" s="1"/>
    </row>
    <row r="96" spans="1:49" hidden="1" x14ac:dyDescent="0.2">
      <c r="A96" s="1" t="s">
        <v>311</v>
      </c>
      <c r="B96" s="2">
        <f>B95-B92</f>
        <v>2582.75</v>
      </c>
      <c r="C96" s="2">
        <f>C95-C92</f>
        <v>0</v>
      </c>
      <c r="D96" s="9"/>
      <c r="E96" s="1"/>
      <c r="F96" s="9"/>
      <c r="G96" s="9"/>
      <c r="H96" s="9"/>
      <c r="I96" s="9"/>
      <c r="J96" s="1"/>
      <c r="K96" s="7"/>
      <c r="L96" s="1"/>
      <c r="M96" s="1"/>
      <c r="N96" s="1"/>
      <c r="O96" s="1"/>
      <c r="P96" s="1"/>
      <c r="Q96" s="1"/>
      <c r="R96" s="1"/>
      <c r="S96" s="7"/>
      <c r="T96" s="1"/>
      <c r="U96" s="1"/>
      <c r="V96" s="1"/>
    </row>
    <row r="97" spans="1:11" hidden="1" x14ac:dyDescent="0.2">
      <c r="A97" s="5"/>
      <c r="B97" s="256"/>
      <c r="C97" s="1"/>
      <c r="D97" s="386" t="s">
        <v>777</v>
      </c>
      <c r="E97" s="263"/>
      <c r="F97" s="386"/>
      <c r="G97" s="9"/>
      <c r="H97" s="9"/>
      <c r="I97" s="9"/>
      <c r="J97" s="1"/>
      <c r="K97" s="7"/>
    </row>
    <row r="98" spans="1:11" hidden="1" x14ac:dyDescent="0.2">
      <c r="A98" s="24"/>
      <c r="B98" s="2">
        <f>B96+B97</f>
        <v>2582.75</v>
      </c>
      <c r="C98" s="2">
        <f>C96+C97</f>
        <v>0</v>
      </c>
      <c r="D98" s="263" t="s">
        <v>776</v>
      </c>
      <c r="E98" s="263"/>
      <c r="F98" s="263"/>
      <c r="G98" s="1"/>
      <c r="H98" s="1"/>
      <c r="I98" s="1"/>
      <c r="J98" s="1"/>
      <c r="K98" s="7"/>
    </row>
    <row r="99" spans="1:11" hidden="1" x14ac:dyDescent="0.2">
      <c r="B99" t="s">
        <v>630</v>
      </c>
      <c r="C99" s="1" t="s">
        <v>631</v>
      </c>
      <c r="D99" s="1"/>
      <c r="E99" s="1"/>
      <c r="F99" s="1"/>
      <c r="G99" s="1"/>
      <c r="H99" s="1"/>
      <c r="I99" s="1"/>
      <c r="J99" s="1"/>
      <c r="K99" s="7"/>
    </row>
    <row r="100" spans="1:11" hidden="1" x14ac:dyDescent="0.2">
      <c r="A100" t="s">
        <v>629</v>
      </c>
      <c r="B100" s="296">
        <f>(+D92-E92+F92-G92+H92-I92+L92-M92+N92-O92+P92-Q92)*0.0075</f>
        <v>922173.24</v>
      </c>
      <c r="C100" s="296">
        <f>+B100-CUFEE</f>
        <v>-116.46</v>
      </c>
      <c r="D100" s="1"/>
      <c r="E100" s="1"/>
      <c r="F100" s="1"/>
      <c r="G100" s="1"/>
      <c r="H100" s="1"/>
      <c r="I100" s="1"/>
      <c r="J100" s="1"/>
      <c r="K100" s="7"/>
    </row>
    <row r="101" spans="1:11" hidden="1" x14ac:dyDescent="0.2"/>
    <row r="102" spans="1:11" hidden="1" x14ac:dyDescent="0.2">
      <c r="A102" t="s">
        <v>628</v>
      </c>
      <c r="B102" s="296">
        <f>(+D92+F92+H92+J92)*0.00055</f>
        <v>51635.33</v>
      </c>
      <c r="C102" s="296">
        <f>+B102-INSFEE</f>
        <v>0.01</v>
      </c>
    </row>
    <row r="103" spans="1:11" hidden="1" x14ac:dyDescent="0.2"/>
    <row r="104" spans="1:11" hidden="1" x14ac:dyDescent="0.2"/>
    <row r="105" spans="1:11" hidden="1" x14ac:dyDescent="0.2"/>
    <row r="106" spans="1:11" hidden="1" x14ac:dyDescent="0.2"/>
    <row r="107" spans="1:11" hidden="1" x14ac:dyDescent="0.2"/>
    <row r="108" spans="1:11" hidden="1" x14ac:dyDescent="0.2"/>
    <row r="109" spans="1:11" hidden="1" x14ac:dyDescent="0.2"/>
    <row r="110" spans="1:11" hidden="1" x14ac:dyDescent="0.2"/>
    <row r="111" spans="1:11" hidden="1" x14ac:dyDescent="0.2"/>
    <row r="112" spans="1:11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4"/>
  <sheetViews>
    <sheetView topLeftCell="A10" workbookViewId="0">
      <selection activeCell="A20" sqref="A20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312</v>
      </c>
      <c r="B1" s="71"/>
      <c r="C1" s="71"/>
    </row>
    <row r="2" spans="1:5" ht="27.75" customHeight="1" x14ac:dyDescent="0.2">
      <c r="A2" s="70" t="s">
        <v>446</v>
      </c>
      <c r="B2" s="72"/>
      <c r="C2" s="72"/>
    </row>
    <row r="3" spans="1:5" ht="50.25" customHeight="1" x14ac:dyDescent="0.25">
      <c r="A3" s="127" t="str">
        <f>CONCATENATE("MOTOR  FUEL  TAX  COLLECTED  IN  THE  MONTH  OF  ",ReportMonth)</f>
        <v>MOTOR  FUEL  TAX  COLLECTED  IN  THE  MONTH  OF  APRIL 2004</v>
      </c>
      <c r="B3" s="73"/>
      <c r="C3" s="74"/>
    </row>
    <row r="4" spans="1:5" ht="57.75" customHeight="1" x14ac:dyDescent="0.2">
      <c r="A4" s="62" t="s">
        <v>313</v>
      </c>
      <c r="B4" s="62" t="s">
        <v>82</v>
      </c>
      <c r="C4" s="75">
        <f>ST12.65</f>
        <v>11232761.109999999</v>
      </c>
    </row>
    <row r="5" spans="1:5" ht="31.5" customHeight="1" x14ac:dyDescent="0.2">
      <c r="A5" s="62" t="s">
        <v>314</v>
      </c>
      <c r="B5" s="62" t="s">
        <v>82</v>
      </c>
      <c r="C5" s="75">
        <f>_ST5</f>
        <v>4430597.54</v>
      </c>
    </row>
    <row r="6" spans="1:5" ht="31.5" customHeight="1" x14ac:dyDescent="0.2">
      <c r="A6" s="62" t="s">
        <v>315</v>
      </c>
      <c r="B6" s="62" t="s">
        <v>316</v>
      </c>
      <c r="C6" s="75">
        <f>ST5.35</f>
        <v>4738029.24</v>
      </c>
    </row>
    <row r="7" spans="1:5" ht="31.5" customHeight="1" x14ac:dyDescent="0.2">
      <c r="A7" s="62" t="s">
        <v>317</v>
      </c>
      <c r="B7" s="62"/>
      <c r="C7" s="62"/>
    </row>
    <row r="8" spans="1:5" ht="31.5" customHeight="1" x14ac:dyDescent="0.2">
      <c r="A8" s="62" t="s">
        <v>318</v>
      </c>
      <c r="B8" s="62"/>
      <c r="C8" s="75">
        <f>COUNTYOPTION</f>
        <v>7645584.8499999996</v>
      </c>
    </row>
    <row r="9" spans="1:5" ht="31.5" customHeight="1" x14ac:dyDescent="0.2">
      <c r="A9" s="62" t="s">
        <v>319</v>
      </c>
      <c r="B9" s="62"/>
      <c r="C9" s="75"/>
    </row>
    <row r="10" spans="1:5" ht="31.5" customHeight="1" x14ac:dyDescent="0.2">
      <c r="A10" s="62" t="s">
        <v>318</v>
      </c>
      <c r="B10" s="62"/>
      <c r="C10" s="75">
        <f>COUNTY1</f>
        <v>886121.38</v>
      </c>
    </row>
    <row r="11" spans="1:5" ht="31.5" customHeight="1" x14ac:dyDescent="0.2">
      <c r="A11" s="76" t="s">
        <v>320</v>
      </c>
      <c r="B11" s="62"/>
      <c r="C11" s="75">
        <f>AVGAS10.5</f>
        <v>4545.8100000000004</v>
      </c>
    </row>
    <row r="12" spans="1:5" ht="31.5" customHeight="1" x14ac:dyDescent="0.2">
      <c r="A12" s="76" t="s">
        <v>344</v>
      </c>
      <c r="B12" s="62"/>
      <c r="C12" s="75">
        <f>AV_OPT</f>
        <v>2693.84</v>
      </c>
    </row>
    <row r="13" spans="1:5" ht="31.5" customHeight="1" x14ac:dyDescent="0.2">
      <c r="A13" s="62" t="s">
        <v>321</v>
      </c>
      <c r="B13" s="62"/>
      <c r="C13" s="75">
        <f>JETTOTAL</f>
        <v>1056372.98</v>
      </c>
    </row>
    <row r="14" spans="1:5" ht="31.5" customHeight="1" x14ac:dyDescent="0.2">
      <c r="A14" s="62" t="s">
        <v>322</v>
      </c>
      <c r="B14" s="62"/>
      <c r="C14" s="75">
        <f>CUFEE</f>
        <v>922289.7</v>
      </c>
      <c r="E14" s="11"/>
    </row>
    <row r="15" spans="1:5" ht="31.5" customHeight="1" x14ac:dyDescent="0.2">
      <c r="A15" s="62" t="s">
        <v>323</v>
      </c>
      <c r="B15" s="62"/>
      <c r="C15" s="75">
        <f>INSFEE</f>
        <v>51635.32</v>
      </c>
      <c r="E15" s="11"/>
    </row>
    <row r="16" spans="1:5" ht="31.5" customHeight="1" x14ac:dyDescent="0.2">
      <c r="A16" s="62" t="s">
        <v>665</v>
      </c>
      <c r="B16" s="62"/>
      <c r="C16" s="75">
        <f>LICFEE</f>
        <v>63915.1</v>
      </c>
    </row>
    <row r="17" spans="1:5" ht="52.5" customHeight="1" thickBot="1" x14ac:dyDescent="0.3">
      <c r="A17" s="77" t="s">
        <v>324</v>
      </c>
      <c r="B17" s="62"/>
      <c r="C17" s="137">
        <f>SUM(C4:C16)</f>
        <v>31034546.870000001</v>
      </c>
    </row>
    <row r="18" spans="1:5" x14ac:dyDescent="0.2">
      <c r="A18" s="20"/>
      <c r="B18" s="20"/>
      <c r="C18" s="20"/>
    </row>
    <row r="21" spans="1:5" x14ac:dyDescent="0.2">
      <c r="B21" t="s">
        <v>565</v>
      </c>
      <c r="C21" s="255">
        <v>39060506.829999998</v>
      </c>
    </row>
    <row r="22" spans="1:5" x14ac:dyDescent="0.2">
      <c r="B22" t="s">
        <v>566</v>
      </c>
      <c r="C22" s="255">
        <v>46693.97</v>
      </c>
    </row>
    <row r="24" spans="1:5" x14ac:dyDescent="0.2">
      <c r="B24" t="s">
        <v>567</v>
      </c>
      <c r="C24" s="255">
        <v>7993514.7599999998</v>
      </c>
      <c r="E24" s="255">
        <f>C23+C24</f>
        <v>7993514.7599999998</v>
      </c>
    </row>
    <row r="25" spans="1:5" x14ac:dyDescent="0.2">
      <c r="A25" t="s">
        <v>763</v>
      </c>
      <c r="B25" t="s">
        <v>697</v>
      </c>
      <c r="C25" s="255">
        <v>30397.08</v>
      </c>
      <c r="E25" s="255"/>
    </row>
    <row r="26" spans="1:5" x14ac:dyDescent="0.2">
      <c r="A26" s="255"/>
    </row>
    <row r="27" spans="1:5" x14ac:dyDescent="0.2">
      <c r="B27" t="s">
        <v>112</v>
      </c>
      <c r="C27" s="255">
        <f>C21-C22-C23-C24-C25</f>
        <v>30989901.02</v>
      </c>
      <c r="E27" s="255"/>
    </row>
    <row r="29" spans="1:5" x14ac:dyDescent="0.2">
      <c r="C29" s="255">
        <f>C17-C27</f>
        <v>44645.85</v>
      </c>
    </row>
    <row r="31" spans="1:5" x14ac:dyDescent="0.2">
      <c r="A31" s="142" t="s">
        <v>698</v>
      </c>
      <c r="C31" s="255">
        <f>C27+C29</f>
        <v>31034546.870000001</v>
      </c>
    </row>
    <row r="32" spans="1:5" x14ac:dyDescent="0.2">
      <c r="E32" s="255">
        <f>C29+E29</f>
        <v>44645.85</v>
      </c>
    </row>
    <row r="33" spans="1:2" x14ac:dyDescent="0.2">
      <c r="A33" t="s">
        <v>764</v>
      </c>
      <c r="B33" s="17">
        <v>5629.87</v>
      </c>
    </row>
    <row r="34" spans="1:2" x14ac:dyDescent="0.2">
      <c r="A34" t="s">
        <v>765</v>
      </c>
      <c r="B34" s="17">
        <v>6556.98</v>
      </c>
    </row>
    <row r="35" spans="1:2" x14ac:dyDescent="0.2">
      <c r="A35" t="s">
        <v>766</v>
      </c>
      <c r="B35" s="17">
        <v>8452.89</v>
      </c>
    </row>
    <row r="36" spans="1:2" x14ac:dyDescent="0.2">
      <c r="A36" t="s">
        <v>767</v>
      </c>
      <c r="B36" s="17">
        <v>25439.33</v>
      </c>
    </row>
    <row r="37" spans="1:2" x14ac:dyDescent="0.2">
      <c r="A37" t="s">
        <v>768</v>
      </c>
      <c r="B37" s="17">
        <v>1149.53</v>
      </c>
    </row>
    <row r="38" spans="1:2" ht="13.5" thickBot="1" x14ac:dyDescent="0.25">
      <c r="B38" s="17"/>
    </row>
    <row r="39" spans="1:2" ht="13.5" thickBot="1" x14ac:dyDescent="0.25">
      <c r="A39" s="384" t="s">
        <v>112</v>
      </c>
      <c r="B39" s="385">
        <f>SUM(B33:B38)</f>
        <v>47228.6</v>
      </c>
    </row>
    <row r="41" spans="1:2" x14ac:dyDescent="0.2">
      <c r="A41" s="142" t="s">
        <v>402</v>
      </c>
    </row>
    <row r="43" spans="1:2" x14ac:dyDescent="0.2">
      <c r="A43" t="s">
        <v>747</v>
      </c>
      <c r="B43" s="17">
        <v>358.84</v>
      </c>
    </row>
    <row r="44" spans="1:2" x14ac:dyDescent="0.2">
      <c r="A44" t="s">
        <v>458</v>
      </c>
      <c r="B44" s="17">
        <v>112.5</v>
      </c>
    </row>
    <row r="45" spans="1:2" x14ac:dyDescent="0.2">
      <c r="A45" t="s">
        <v>622</v>
      </c>
      <c r="B45" s="17">
        <v>926.8</v>
      </c>
    </row>
    <row r="46" spans="1:2" x14ac:dyDescent="0.2">
      <c r="A46" t="s">
        <v>748</v>
      </c>
      <c r="B46" s="17">
        <v>282.63</v>
      </c>
    </row>
    <row r="47" spans="1:2" x14ac:dyDescent="0.2">
      <c r="A47" t="s">
        <v>749</v>
      </c>
      <c r="B47" s="17">
        <v>390.99</v>
      </c>
    </row>
    <row r="48" spans="1:2" x14ac:dyDescent="0.2">
      <c r="A48" t="s">
        <v>487</v>
      </c>
      <c r="B48" s="17">
        <v>510.99</v>
      </c>
    </row>
    <row r="49" spans="1:2" ht="13.5" thickBot="1" x14ac:dyDescent="0.25">
      <c r="B49" s="17"/>
    </row>
    <row r="50" spans="1:2" ht="13.5" thickBot="1" x14ac:dyDescent="0.25">
      <c r="A50" s="384" t="s">
        <v>112</v>
      </c>
      <c r="B50" s="385">
        <f>SUM(B43:B49)</f>
        <v>2582.75</v>
      </c>
    </row>
    <row r="52" spans="1:2" x14ac:dyDescent="0.2">
      <c r="B52" s="255">
        <f>B39-B50</f>
        <v>44645.85</v>
      </c>
    </row>
    <row r="54" spans="1:2" x14ac:dyDescent="0.2">
      <c r="A54" t="s">
        <v>750</v>
      </c>
      <c r="B54" s="255">
        <f>C29-B52</f>
        <v>0</v>
      </c>
    </row>
  </sheetData>
  <phoneticPr fontId="0" type="noConversion"/>
  <printOptions horizontalCentered="1"/>
  <pageMargins left="0.75" right="0.75" top="0.53" bottom="0.26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/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446</v>
      </c>
      <c r="B2" s="65"/>
      <c r="C2" s="65"/>
    </row>
    <row r="3" spans="1:3" ht="43.5" customHeight="1" x14ac:dyDescent="0.25">
      <c r="A3" s="127" t="str">
        <f>CONCATENATE("MOTOR  FUEL  TAX  DISTRIBUTED  IN  THE  MONTH  OF  ",ReportMonth)</f>
        <v>MOTOR  FUEL  TAX  DISTRIBUTED  IN  THE  MONTH  OF  APRIL 2004</v>
      </c>
      <c r="B3" s="65"/>
      <c r="C3" s="65"/>
    </row>
    <row r="4" spans="1:3" ht="54" customHeight="1" x14ac:dyDescent="0.2">
      <c r="A4" s="62" t="s">
        <v>325</v>
      </c>
      <c r="B4" s="62"/>
      <c r="C4" s="75">
        <f>COUNTYTOTAL</f>
        <v>13087722.050000001</v>
      </c>
    </row>
    <row r="5" spans="1:3" ht="31.5" customHeight="1" x14ac:dyDescent="0.2">
      <c r="A5" s="62" t="s">
        <v>326</v>
      </c>
      <c r="B5" s="62"/>
      <c r="C5" s="75">
        <f>NETAV</f>
        <v>2693.84</v>
      </c>
    </row>
    <row r="6" spans="1:3" ht="31.5" customHeight="1" x14ac:dyDescent="0.2">
      <c r="A6" s="62" t="s">
        <v>327</v>
      </c>
      <c r="B6" s="62"/>
      <c r="C6" s="20"/>
    </row>
    <row r="7" spans="1:3" ht="31.5" customHeight="1" x14ac:dyDescent="0.2">
      <c r="A7" s="69" t="s">
        <v>328</v>
      </c>
      <c r="B7" s="62"/>
      <c r="C7" s="75">
        <f>NET12.65</f>
        <v>11032973.32</v>
      </c>
    </row>
    <row r="8" spans="1:3" ht="31.5" customHeight="1" x14ac:dyDescent="0.2">
      <c r="A8" s="62" t="s">
        <v>329</v>
      </c>
      <c r="B8" s="62"/>
      <c r="C8" s="75">
        <f>_NET5</f>
        <v>4351643.74</v>
      </c>
    </row>
    <row r="9" spans="1:3" ht="31.5" customHeight="1" x14ac:dyDescent="0.2">
      <c r="A9" s="62" t="s">
        <v>330</v>
      </c>
      <c r="B9" s="62"/>
      <c r="C9" s="75"/>
    </row>
    <row r="10" spans="1:3" ht="31.5" customHeight="1" x14ac:dyDescent="0.2">
      <c r="A10" s="62" t="s">
        <v>331</v>
      </c>
      <c r="B10" s="62"/>
      <c r="C10" s="75">
        <f>_JET1</f>
        <v>369454.37</v>
      </c>
    </row>
    <row r="11" spans="1:3" ht="31.5" customHeight="1" x14ac:dyDescent="0.2">
      <c r="A11" s="62" t="s">
        <v>332</v>
      </c>
      <c r="B11" s="62"/>
      <c r="C11" s="75">
        <f>_JET2</f>
        <v>686918.61</v>
      </c>
    </row>
    <row r="12" spans="1:3" ht="31.5" customHeight="1" x14ac:dyDescent="0.2">
      <c r="A12" s="62" t="s">
        <v>333</v>
      </c>
      <c r="B12" s="62"/>
      <c r="C12" s="75">
        <f>ADMINFEES</f>
        <v>54033.75</v>
      </c>
    </row>
    <row r="13" spans="1:3" ht="31.5" customHeight="1" x14ac:dyDescent="0.2">
      <c r="A13" s="62" t="s">
        <v>334</v>
      </c>
      <c r="B13" s="62"/>
      <c r="C13" s="75">
        <f>CIVILA</f>
        <v>4545.8100000000004</v>
      </c>
    </row>
    <row r="14" spans="1:3" ht="31.5" customHeight="1" x14ac:dyDescent="0.2">
      <c r="A14" s="62" t="s">
        <v>335</v>
      </c>
      <c r="B14" s="62"/>
      <c r="C14" s="75">
        <f>REFUNDS</f>
        <v>148153.82</v>
      </c>
    </row>
    <row r="15" spans="1:3" ht="31.5" customHeight="1" x14ac:dyDescent="0.2">
      <c r="A15" s="62" t="s">
        <v>336</v>
      </c>
      <c r="B15" s="62"/>
      <c r="C15" s="75">
        <f>PARKWILD</f>
        <v>258567.44</v>
      </c>
    </row>
    <row r="16" spans="1:3" ht="31.5" customHeight="1" x14ac:dyDescent="0.2">
      <c r="A16" s="62" t="s">
        <v>322</v>
      </c>
      <c r="B16" s="62"/>
      <c r="C16" s="75">
        <f>CUFEE</f>
        <v>922289.7</v>
      </c>
    </row>
    <row r="17" spans="1:3" ht="31.5" customHeight="1" x14ac:dyDescent="0.2">
      <c r="A17" s="62" t="s">
        <v>323</v>
      </c>
      <c r="B17" s="62"/>
      <c r="C17" s="75">
        <f>INSFEE</f>
        <v>51635.32</v>
      </c>
    </row>
    <row r="18" spans="1:3" ht="42.75" customHeight="1" x14ac:dyDescent="0.2">
      <c r="A18" s="62" t="s">
        <v>665</v>
      </c>
      <c r="B18" s="62"/>
      <c r="C18" s="75">
        <f>LICFEE</f>
        <v>63915.1</v>
      </c>
    </row>
    <row r="19" spans="1:3" ht="42.75" customHeight="1" thickBot="1" x14ac:dyDescent="0.3">
      <c r="A19" s="98" t="s">
        <v>337</v>
      </c>
      <c r="B19" s="20"/>
      <c r="C19" s="137">
        <f>SUM(C4:C18)</f>
        <v>31034546.870000001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5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9.855468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627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563</v>
      </c>
      <c r="AR1" s="82"/>
    </row>
    <row r="2" spans="1:44" ht="15.75" x14ac:dyDescent="0.25">
      <c r="A2" s="112" t="str">
        <f>ReportMonth</f>
        <v>APRIL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563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444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3" t="str">
        <f>CONCATENATE("EXCISE TAX COLLECTED IN ",ReportMonth," FOR ",ActivityMonth," FUEL TRANSACTIONS")</f>
        <v>EXCISE TAX COLLECTED IN APRIL 2004 FOR APRIL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599</v>
      </c>
      <c r="G9" s="5" t="s">
        <v>600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589</v>
      </c>
      <c r="I10" s="5" t="s">
        <v>588</v>
      </c>
      <c r="J10" s="5" t="s">
        <v>587</v>
      </c>
      <c r="K10" s="5" t="s">
        <v>590</v>
      </c>
      <c r="L10" s="5" t="s">
        <v>11</v>
      </c>
      <c r="M10" s="1"/>
    </row>
    <row r="11" spans="1:44" s="20" customFormat="1" ht="15" customHeight="1" thickBot="1" x14ac:dyDescent="0.25">
      <c r="A11" s="80" t="s">
        <v>598</v>
      </c>
      <c r="B11" s="79" t="s">
        <v>589</v>
      </c>
      <c r="C11" s="79" t="s">
        <v>588</v>
      </c>
      <c r="D11" s="79" t="s">
        <v>587</v>
      </c>
      <c r="E11" s="79" t="s">
        <v>590</v>
      </c>
      <c r="F11" s="79" t="s">
        <v>591</v>
      </c>
      <c r="G11" s="79" t="s">
        <v>591</v>
      </c>
      <c r="H11" s="79" t="s">
        <v>592</v>
      </c>
      <c r="I11" s="79" t="s">
        <v>595</v>
      </c>
      <c r="J11" s="79" t="s">
        <v>593</v>
      </c>
      <c r="K11" s="79" t="s">
        <v>594</v>
      </c>
      <c r="L11" s="111" t="s">
        <v>20</v>
      </c>
      <c r="M11" s="18"/>
    </row>
    <row r="12" spans="1:44" s="20" customFormat="1" ht="15" customHeight="1" x14ac:dyDescent="0.2">
      <c r="A12" s="291" t="s">
        <v>597</v>
      </c>
      <c r="B12" s="290"/>
      <c r="C12" s="290"/>
      <c r="D12" s="290"/>
      <c r="E12" s="290"/>
      <c r="F12" s="290"/>
      <c r="G12" s="290"/>
      <c r="H12" s="289">
        <v>0.1862</v>
      </c>
      <c r="I12" s="289">
        <v>0.20580000000000001</v>
      </c>
      <c r="J12" s="289">
        <v>0.2646</v>
      </c>
      <c r="K12" s="289">
        <v>0.21560000000000001</v>
      </c>
      <c r="L12" s="290"/>
      <c r="M12" s="18"/>
    </row>
    <row r="13" spans="1:44" ht="12.75" customHeight="1" x14ac:dyDescent="0.2">
      <c r="A13" s="1" t="s">
        <v>38</v>
      </c>
      <c r="B13" s="7"/>
      <c r="C13" s="7"/>
      <c r="D13" s="7">
        <v>163550</v>
      </c>
      <c r="E13" s="7"/>
      <c r="F13" s="7">
        <v>1133578</v>
      </c>
      <c r="G13" s="7">
        <v>1207613</v>
      </c>
      <c r="H13" s="2">
        <f t="shared" ref="H13:H110" si="0">B13*0.1862</f>
        <v>0</v>
      </c>
      <c r="I13" s="2">
        <f t="shared" ref="I13:I110" si="1">C13*0.2058</f>
        <v>0</v>
      </c>
      <c r="J13" s="2">
        <f>D13*0.2646</f>
        <v>43275.33</v>
      </c>
      <c r="K13" s="2">
        <f t="shared" ref="K13:K110" si="2">E13*0.2156</f>
        <v>0</v>
      </c>
      <c r="L13" s="2">
        <f t="shared" ref="L13:L110" si="3">+H13+I13+J13+K13</f>
        <v>43275.33</v>
      </c>
      <c r="M13" s="1"/>
    </row>
    <row r="14" spans="1:44" x14ac:dyDescent="0.2">
      <c r="A14" s="1" t="s">
        <v>345</v>
      </c>
      <c r="B14" s="7"/>
      <c r="C14" s="7"/>
      <c r="D14" s="7">
        <v>145756</v>
      </c>
      <c r="E14" s="7"/>
      <c r="F14" s="7">
        <v>0</v>
      </c>
      <c r="G14" s="7">
        <v>0</v>
      </c>
      <c r="H14" s="2">
        <f t="shared" si="0"/>
        <v>0</v>
      </c>
      <c r="I14" s="2">
        <f t="shared" si="1"/>
        <v>0</v>
      </c>
      <c r="J14" s="2">
        <f>D14*0.2646-1166.98</f>
        <v>37400.06</v>
      </c>
      <c r="K14" s="2">
        <f t="shared" si="2"/>
        <v>0</v>
      </c>
      <c r="L14" s="2">
        <f t="shared" si="3"/>
        <v>37400.06</v>
      </c>
      <c r="M14" s="1"/>
    </row>
    <row r="15" spans="1:44" x14ac:dyDescent="0.2">
      <c r="A15" s="1" t="s">
        <v>491</v>
      </c>
      <c r="B15" s="7"/>
      <c r="C15" s="7"/>
      <c r="D15" s="7">
        <v>532033</v>
      </c>
      <c r="E15" s="7"/>
      <c r="F15" s="7">
        <v>387</v>
      </c>
      <c r="G15" s="7">
        <v>0</v>
      </c>
      <c r="H15" s="2">
        <f t="shared" si="0"/>
        <v>0</v>
      </c>
      <c r="I15" s="2">
        <f t="shared" si="1"/>
        <v>0</v>
      </c>
      <c r="J15" s="2">
        <f>D15*0.2646</f>
        <v>140775.93</v>
      </c>
      <c r="K15" s="2">
        <f t="shared" si="2"/>
        <v>0</v>
      </c>
      <c r="L15" s="2">
        <f t="shared" si="3"/>
        <v>140775.93</v>
      </c>
      <c r="M15" s="1"/>
    </row>
    <row r="16" spans="1:44" x14ac:dyDescent="0.2">
      <c r="A16" s="1" t="s">
        <v>613</v>
      </c>
      <c r="B16" s="7"/>
      <c r="C16" s="7"/>
      <c r="D16" s="7">
        <v>0</v>
      </c>
      <c r="E16" s="7"/>
      <c r="F16" s="7">
        <v>4312</v>
      </c>
      <c r="G16" s="7">
        <v>4312</v>
      </c>
      <c r="H16" s="2">
        <f t="shared" ref="H16:H21" si="4">B16*0.1862</f>
        <v>0</v>
      </c>
      <c r="I16" s="2">
        <f t="shared" ref="I16:I21" si="5">C16*0.2058</f>
        <v>0</v>
      </c>
      <c r="J16" s="2">
        <f>D16*0.2646</f>
        <v>0</v>
      </c>
      <c r="K16" s="2">
        <f t="shared" ref="K16:K21" si="6">E16*0.2156</f>
        <v>0</v>
      </c>
      <c r="L16" s="2">
        <f t="shared" ref="L16:L21" si="7">+H16+I16+J16+K16</f>
        <v>0</v>
      </c>
      <c r="M16" s="1"/>
    </row>
    <row r="17" spans="1:13" x14ac:dyDescent="0.2">
      <c r="A17" s="1" t="s">
        <v>614</v>
      </c>
      <c r="B17" s="7"/>
      <c r="C17" s="7"/>
      <c r="D17" s="7">
        <v>2727</v>
      </c>
      <c r="E17" s="7"/>
      <c r="F17" s="7">
        <v>0</v>
      </c>
      <c r="G17" s="7">
        <v>0</v>
      </c>
      <c r="H17" s="2">
        <f t="shared" si="4"/>
        <v>0</v>
      </c>
      <c r="I17" s="2">
        <f t="shared" si="5"/>
        <v>0</v>
      </c>
      <c r="J17" s="2">
        <f>D17*0.2646-58.99</f>
        <v>662.57</v>
      </c>
      <c r="K17" s="2">
        <f t="shared" si="6"/>
        <v>0</v>
      </c>
      <c r="L17" s="2">
        <f t="shared" si="7"/>
        <v>662.57</v>
      </c>
      <c r="M17" s="1"/>
    </row>
    <row r="18" spans="1:13" x14ac:dyDescent="0.2">
      <c r="A18" s="1" t="s">
        <v>736</v>
      </c>
      <c r="B18" s="7"/>
      <c r="C18" s="7"/>
      <c r="D18" s="7"/>
      <c r="E18" s="7"/>
      <c r="F18" s="7"/>
      <c r="G18" s="7"/>
      <c r="H18" s="2">
        <f t="shared" si="4"/>
        <v>0</v>
      </c>
      <c r="I18" s="2">
        <f t="shared" si="5"/>
        <v>0</v>
      </c>
      <c r="J18" s="2">
        <v>0.09</v>
      </c>
      <c r="K18" s="2">
        <f t="shared" si="6"/>
        <v>0</v>
      </c>
      <c r="L18" s="2">
        <f t="shared" si="7"/>
        <v>0.09</v>
      </c>
      <c r="M18" s="1"/>
    </row>
    <row r="19" spans="1:13" x14ac:dyDescent="0.2">
      <c r="A19" s="1" t="s">
        <v>720</v>
      </c>
      <c r="B19" s="7"/>
      <c r="C19" s="7"/>
      <c r="D19" s="7">
        <v>2531</v>
      </c>
      <c r="E19" s="7"/>
      <c r="F19" s="7">
        <v>0</v>
      </c>
      <c r="G19" s="7">
        <v>0</v>
      </c>
      <c r="H19" s="2">
        <f t="shared" si="4"/>
        <v>0</v>
      </c>
      <c r="I19" s="2">
        <f t="shared" si="5"/>
        <v>0</v>
      </c>
      <c r="J19" s="2">
        <f>D19*0.2646-54.81</f>
        <v>614.89</v>
      </c>
      <c r="K19" s="2">
        <f t="shared" si="6"/>
        <v>0</v>
      </c>
      <c r="L19" s="2">
        <f t="shared" si="7"/>
        <v>614.89</v>
      </c>
      <c r="M19" s="1"/>
    </row>
    <row r="20" spans="1:13" x14ac:dyDescent="0.2">
      <c r="A20" s="1" t="s">
        <v>737</v>
      </c>
      <c r="B20" s="7"/>
      <c r="C20" s="7"/>
      <c r="D20" s="7"/>
      <c r="E20" s="7"/>
      <c r="F20" s="7"/>
      <c r="G20" s="7"/>
      <c r="H20" s="2">
        <f t="shared" si="4"/>
        <v>0</v>
      </c>
      <c r="I20" s="2">
        <f t="shared" si="5"/>
        <v>0</v>
      </c>
      <c r="J20" s="2">
        <v>0.14000000000000001</v>
      </c>
      <c r="K20" s="2">
        <f t="shared" si="6"/>
        <v>0</v>
      </c>
      <c r="L20" s="2">
        <f t="shared" si="7"/>
        <v>0.14000000000000001</v>
      </c>
      <c r="M20" s="1"/>
    </row>
    <row r="21" spans="1:13" x14ac:dyDescent="0.2">
      <c r="A21" s="1" t="s">
        <v>702</v>
      </c>
      <c r="B21" s="7"/>
      <c r="C21" s="7"/>
      <c r="D21" s="7">
        <v>22992</v>
      </c>
      <c r="E21" s="7"/>
      <c r="F21" s="7">
        <v>5528</v>
      </c>
      <c r="G21" s="7">
        <v>5528</v>
      </c>
      <c r="H21" s="2">
        <f t="shared" si="4"/>
        <v>0</v>
      </c>
      <c r="I21" s="2">
        <f t="shared" si="5"/>
        <v>0</v>
      </c>
      <c r="J21" s="2">
        <f>D21*0.2646+0.01</f>
        <v>6083.69</v>
      </c>
      <c r="K21" s="2">
        <f t="shared" si="6"/>
        <v>0</v>
      </c>
      <c r="L21" s="2">
        <f t="shared" si="7"/>
        <v>6083.69</v>
      </c>
      <c r="M21" s="1"/>
    </row>
    <row r="22" spans="1:13" x14ac:dyDescent="0.2">
      <c r="A22" s="1" t="s">
        <v>40</v>
      </c>
      <c r="B22" s="7"/>
      <c r="C22" s="7"/>
      <c r="D22" s="7">
        <v>2995</v>
      </c>
      <c r="E22" s="7"/>
      <c r="F22" s="7">
        <v>250</v>
      </c>
      <c r="G22" s="7">
        <v>250</v>
      </c>
      <c r="H22" s="2">
        <f t="shared" si="0"/>
        <v>0</v>
      </c>
      <c r="I22" s="2">
        <f t="shared" si="1"/>
        <v>0</v>
      </c>
      <c r="J22" s="2">
        <f>D22*0.2646</f>
        <v>792.48</v>
      </c>
      <c r="K22" s="2">
        <f t="shared" si="2"/>
        <v>0</v>
      </c>
      <c r="L22" s="2">
        <f t="shared" si="3"/>
        <v>792.48</v>
      </c>
      <c r="M22" s="1"/>
    </row>
    <row r="23" spans="1:13" x14ac:dyDescent="0.2">
      <c r="A23" s="1" t="s">
        <v>615</v>
      </c>
      <c r="B23" s="7"/>
      <c r="C23" s="7"/>
      <c r="D23" s="7">
        <v>27908</v>
      </c>
      <c r="E23" s="7"/>
      <c r="F23" s="7">
        <v>0</v>
      </c>
      <c r="G23" s="7">
        <v>0</v>
      </c>
      <c r="H23" s="2">
        <f>B23*0.1862</f>
        <v>0</v>
      </c>
      <c r="I23" s="2">
        <f>C23*0.2058</f>
        <v>0</v>
      </c>
      <c r="J23" s="2">
        <f>D23*0.2646</f>
        <v>7384.46</v>
      </c>
      <c r="K23" s="2">
        <f>E23*0.2156</f>
        <v>0</v>
      </c>
      <c r="L23" s="2">
        <f>+H23+I23+J23+K23</f>
        <v>7384.46</v>
      </c>
      <c r="M23" s="1"/>
    </row>
    <row r="24" spans="1:13" x14ac:dyDescent="0.2">
      <c r="A24" s="1" t="s">
        <v>448</v>
      </c>
      <c r="B24" s="7"/>
      <c r="C24" s="7">
        <v>-279</v>
      </c>
      <c r="D24" s="7">
        <v>3529396</v>
      </c>
      <c r="E24" s="7"/>
      <c r="F24" s="7">
        <v>3513172</v>
      </c>
      <c r="G24" s="7">
        <v>3513172</v>
      </c>
      <c r="H24" s="2">
        <f>B24*0.1862</f>
        <v>0</v>
      </c>
      <c r="I24" s="2">
        <f>C24*0.2058</f>
        <v>-57.42</v>
      </c>
      <c r="J24" s="2">
        <f>D24*0.2646</f>
        <v>933878.18</v>
      </c>
      <c r="K24" s="2">
        <f>E24*0.2156</f>
        <v>0</v>
      </c>
      <c r="L24" s="2">
        <f>+H24+I24+J24+K24</f>
        <v>933820.76</v>
      </c>
      <c r="M24" s="1"/>
    </row>
    <row r="25" spans="1:13" x14ac:dyDescent="0.2">
      <c r="A25" s="1" t="s">
        <v>449</v>
      </c>
      <c r="B25" s="7"/>
      <c r="C25" s="7"/>
      <c r="D25" s="7">
        <v>133001</v>
      </c>
      <c r="E25" s="7"/>
      <c r="F25" s="7">
        <v>12691</v>
      </c>
      <c r="G25" s="7">
        <v>12691</v>
      </c>
      <c r="H25" s="2">
        <f t="shared" si="0"/>
        <v>0</v>
      </c>
      <c r="I25" s="2">
        <f t="shared" si="1"/>
        <v>0</v>
      </c>
      <c r="J25" s="2">
        <f>D25*0.2646</f>
        <v>35192.06</v>
      </c>
      <c r="K25" s="2">
        <f t="shared" si="2"/>
        <v>0</v>
      </c>
      <c r="L25" s="2">
        <f t="shared" si="3"/>
        <v>35192.06</v>
      </c>
      <c r="M25" s="1"/>
    </row>
    <row r="26" spans="1:13" x14ac:dyDescent="0.2">
      <c r="A26" s="1" t="s">
        <v>349</v>
      </c>
      <c r="B26" s="7"/>
      <c r="C26" s="7"/>
      <c r="D26" s="7">
        <v>424512</v>
      </c>
      <c r="E26" s="7"/>
      <c r="F26" s="7">
        <v>0</v>
      </c>
      <c r="G26" s="7">
        <v>0</v>
      </c>
      <c r="H26" s="2">
        <f t="shared" si="0"/>
        <v>0</v>
      </c>
      <c r="I26" s="2">
        <f t="shared" si="1"/>
        <v>0</v>
      </c>
      <c r="J26" s="2">
        <f>D26*0.2646-0.01</f>
        <v>112325.87</v>
      </c>
      <c r="K26" s="2">
        <f t="shared" si="2"/>
        <v>0</v>
      </c>
      <c r="L26" s="2">
        <f t="shared" si="3"/>
        <v>112325.87</v>
      </c>
      <c r="M26" s="1"/>
    </row>
    <row r="27" spans="1:13" s="20" customFormat="1" x14ac:dyDescent="0.2">
      <c r="A27" s="18" t="s">
        <v>492</v>
      </c>
      <c r="B27" s="246"/>
      <c r="C27" s="246"/>
      <c r="D27" s="246">
        <v>14206</v>
      </c>
      <c r="E27" s="246"/>
      <c r="F27" s="246">
        <v>22184</v>
      </c>
      <c r="G27" s="246">
        <v>22184</v>
      </c>
      <c r="H27" s="2">
        <f t="shared" si="0"/>
        <v>0</v>
      </c>
      <c r="I27" s="2">
        <f t="shared" si="1"/>
        <v>0</v>
      </c>
      <c r="J27" s="2">
        <f>D27*0.2646</f>
        <v>3758.91</v>
      </c>
      <c r="K27" s="2">
        <f t="shared" si="2"/>
        <v>0</v>
      </c>
      <c r="L27" s="2">
        <f t="shared" si="3"/>
        <v>3758.91</v>
      </c>
      <c r="M27" s="18"/>
    </row>
    <row r="28" spans="1:13" s="20" customFormat="1" x14ac:dyDescent="0.2">
      <c r="A28" s="1" t="s">
        <v>295</v>
      </c>
      <c r="B28" s="246"/>
      <c r="C28" s="246"/>
      <c r="D28" s="246">
        <v>634475</v>
      </c>
      <c r="E28" s="246"/>
      <c r="F28" s="246">
        <v>358450</v>
      </c>
      <c r="G28" s="246">
        <v>353343</v>
      </c>
      <c r="H28" s="2">
        <f t="shared" si="0"/>
        <v>0</v>
      </c>
      <c r="I28" s="2">
        <f t="shared" si="1"/>
        <v>0</v>
      </c>
      <c r="J28" s="2">
        <f>D28*0.2646+0.01</f>
        <v>167882.1</v>
      </c>
      <c r="K28" s="2">
        <f t="shared" si="2"/>
        <v>0</v>
      </c>
      <c r="L28" s="2">
        <f t="shared" si="3"/>
        <v>167882.1</v>
      </c>
      <c r="M28" s="18"/>
    </row>
    <row r="29" spans="1:13" x14ac:dyDescent="0.2">
      <c r="A29" s="1" t="s">
        <v>41</v>
      </c>
      <c r="B29" s="7"/>
      <c r="C29" s="7"/>
      <c r="D29" s="7">
        <v>224182</v>
      </c>
      <c r="E29" s="7"/>
      <c r="F29" s="7">
        <v>171933</v>
      </c>
      <c r="G29" s="7">
        <v>184108</v>
      </c>
      <c r="H29" s="2">
        <f t="shared" si="0"/>
        <v>0</v>
      </c>
      <c r="I29" s="2">
        <f t="shared" si="1"/>
        <v>0</v>
      </c>
      <c r="J29" s="2">
        <f>D29*0.2646-2660.07</f>
        <v>56658.49</v>
      </c>
      <c r="K29" s="2">
        <f t="shared" si="2"/>
        <v>0</v>
      </c>
      <c r="L29" s="2">
        <f t="shared" si="3"/>
        <v>56658.49</v>
      </c>
      <c r="M29" s="1"/>
    </row>
    <row r="30" spans="1:13" x14ac:dyDescent="0.2">
      <c r="A30" s="1" t="s">
        <v>450</v>
      </c>
      <c r="B30" s="7"/>
      <c r="C30" s="7"/>
      <c r="D30" s="7">
        <v>2460065</v>
      </c>
      <c r="E30" s="7">
        <v>180</v>
      </c>
      <c r="F30" s="7">
        <v>0</v>
      </c>
      <c r="G30" s="7">
        <v>0</v>
      </c>
      <c r="H30" s="2">
        <f t="shared" si="0"/>
        <v>0</v>
      </c>
      <c r="I30" s="2">
        <f t="shared" si="1"/>
        <v>0</v>
      </c>
      <c r="J30" s="2">
        <f>D30*0.2646</f>
        <v>650933.19999999995</v>
      </c>
      <c r="K30" s="2">
        <f t="shared" si="2"/>
        <v>38.81</v>
      </c>
      <c r="L30" s="2">
        <f t="shared" si="3"/>
        <v>650972.01</v>
      </c>
      <c r="M30" s="1"/>
    </row>
    <row r="31" spans="1:13" x14ac:dyDescent="0.2">
      <c r="A31" s="1" t="s">
        <v>42</v>
      </c>
      <c r="B31" s="7"/>
      <c r="C31" s="7"/>
      <c r="D31" s="7">
        <v>1160826</v>
      </c>
      <c r="E31" s="7"/>
      <c r="F31" s="7">
        <v>235253</v>
      </c>
      <c r="G31" s="7">
        <v>0</v>
      </c>
      <c r="H31" s="2">
        <f t="shared" si="0"/>
        <v>0</v>
      </c>
      <c r="I31" s="2">
        <f t="shared" si="1"/>
        <v>0</v>
      </c>
      <c r="J31" s="2">
        <f>D31*0.2646-154.84</f>
        <v>306999.71999999997</v>
      </c>
      <c r="K31" s="2">
        <f t="shared" si="2"/>
        <v>0</v>
      </c>
      <c r="L31" s="2">
        <f t="shared" si="3"/>
        <v>306999.71999999997</v>
      </c>
      <c r="M31" s="1"/>
    </row>
    <row r="32" spans="1:13" x14ac:dyDescent="0.2">
      <c r="A32" s="1" t="s">
        <v>43</v>
      </c>
      <c r="B32" s="7"/>
      <c r="C32" s="7"/>
      <c r="D32" s="7">
        <v>13256</v>
      </c>
      <c r="E32" s="7"/>
      <c r="F32" s="7">
        <v>33653</v>
      </c>
      <c r="G32" s="7">
        <v>43357</v>
      </c>
      <c r="H32" s="2">
        <f t="shared" si="0"/>
        <v>0</v>
      </c>
      <c r="I32" s="2">
        <f t="shared" si="1"/>
        <v>0</v>
      </c>
      <c r="J32" s="2">
        <f>D32*0.2646</f>
        <v>3507.54</v>
      </c>
      <c r="K32" s="2">
        <f t="shared" si="2"/>
        <v>0</v>
      </c>
      <c r="L32" s="2">
        <f t="shared" si="3"/>
        <v>3507.54</v>
      </c>
      <c r="M32" s="1"/>
    </row>
    <row r="33" spans="1:13" x14ac:dyDescent="0.2">
      <c r="A33" s="18" t="s">
        <v>44</v>
      </c>
      <c r="B33" s="7"/>
      <c r="C33" s="7"/>
      <c r="D33" s="7">
        <v>57363</v>
      </c>
      <c r="E33" s="7"/>
      <c r="F33" s="7">
        <v>0</v>
      </c>
      <c r="G33" s="7">
        <v>0</v>
      </c>
      <c r="H33" s="2">
        <f t="shared" si="0"/>
        <v>0</v>
      </c>
      <c r="I33" s="2">
        <f t="shared" si="1"/>
        <v>0</v>
      </c>
      <c r="J33" s="2">
        <f>D33*0.2646+0.01</f>
        <v>15178.26</v>
      </c>
      <c r="K33" s="2">
        <f t="shared" si="2"/>
        <v>0</v>
      </c>
      <c r="L33" s="2">
        <f t="shared" si="3"/>
        <v>15178.26</v>
      </c>
      <c r="M33" s="1"/>
    </row>
    <row r="34" spans="1:13" x14ac:dyDescent="0.2">
      <c r="A34" s="1" t="s">
        <v>709</v>
      </c>
      <c r="B34" s="7"/>
      <c r="C34" s="7"/>
      <c r="D34" s="7">
        <v>0</v>
      </c>
      <c r="E34" s="7"/>
      <c r="F34" s="7">
        <v>110</v>
      </c>
      <c r="G34" s="7">
        <v>110</v>
      </c>
      <c r="H34" s="2">
        <f>B34*0.1862</f>
        <v>0</v>
      </c>
      <c r="I34" s="2">
        <f>C34*0.2058</f>
        <v>0</v>
      </c>
      <c r="J34" s="2">
        <f>D34*0.2646</f>
        <v>0</v>
      </c>
      <c r="K34" s="2">
        <f>E34*0.2156</f>
        <v>0</v>
      </c>
      <c r="L34" s="2">
        <f>+H34+I34+J34+K34</f>
        <v>0</v>
      </c>
      <c r="M34" s="1"/>
    </row>
    <row r="35" spans="1:13" x14ac:dyDescent="0.2">
      <c r="A35" s="1" t="s">
        <v>602</v>
      </c>
      <c r="B35" s="7"/>
      <c r="C35" s="7"/>
      <c r="D35" s="7">
        <v>15132</v>
      </c>
      <c r="E35" s="7"/>
      <c r="F35" s="7">
        <v>99635</v>
      </c>
      <c r="G35" s="7">
        <v>99759</v>
      </c>
      <c r="H35" s="2">
        <f>B35*0.1862</f>
        <v>0</v>
      </c>
      <c r="I35" s="2">
        <f>C35*0.2058</f>
        <v>0</v>
      </c>
      <c r="J35" s="2">
        <f>D35*0.2646-0.01</f>
        <v>4003.92</v>
      </c>
      <c r="K35" s="2">
        <f>E35*0.2156</f>
        <v>0</v>
      </c>
      <c r="L35" s="2">
        <f>+H35+I35+J35+K35</f>
        <v>4003.92</v>
      </c>
      <c r="M35" s="1"/>
    </row>
    <row r="36" spans="1:13" x14ac:dyDescent="0.2">
      <c r="A36" s="1" t="s">
        <v>728</v>
      </c>
      <c r="B36" s="7"/>
      <c r="C36" s="7"/>
      <c r="D36" s="7"/>
      <c r="E36" s="7"/>
      <c r="F36" s="7"/>
      <c r="G36" s="7"/>
      <c r="H36" s="2">
        <f>B36*0.1862</f>
        <v>0</v>
      </c>
      <c r="I36" s="2">
        <f>C36*0.2058</f>
        <v>0</v>
      </c>
      <c r="J36" s="2">
        <v>0.01</v>
      </c>
      <c r="K36" s="2">
        <f>E36*0.2156</f>
        <v>0</v>
      </c>
      <c r="L36" s="2">
        <f>+H36+I36+J36+K36</f>
        <v>0.01</v>
      </c>
      <c r="M36" s="1"/>
    </row>
    <row r="37" spans="1:13" x14ac:dyDescent="0.2">
      <c r="A37" s="1" t="s">
        <v>45</v>
      </c>
      <c r="B37" s="7"/>
      <c r="C37" s="7"/>
      <c r="D37" s="7">
        <v>50418</v>
      </c>
      <c r="E37" s="7"/>
      <c r="F37" s="7">
        <v>0</v>
      </c>
      <c r="G37" s="7">
        <v>0</v>
      </c>
      <c r="H37" s="2">
        <f t="shared" si="0"/>
        <v>0</v>
      </c>
      <c r="I37" s="2">
        <f t="shared" si="1"/>
        <v>0</v>
      </c>
      <c r="J37" s="2">
        <f>D37*0.2646-111.75</f>
        <v>13228.85</v>
      </c>
      <c r="K37" s="2">
        <f t="shared" si="2"/>
        <v>0</v>
      </c>
      <c r="L37" s="2">
        <f t="shared" si="3"/>
        <v>13228.85</v>
      </c>
      <c r="M37" s="1"/>
    </row>
    <row r="38" spans="1:13" x14ac:dyDescent="0.2">
      <c r="A38" s="1" t="s">
        <v>451</v>
      </c>
      <c r="B38" s="7"/>
      <c r="C38" s="7"/>
      <c r="D38" s="7">
        <v>53511</v>
      </c>
      <c r="E38" s="7"/>
      <c r="F38" s="7">
        <v>2983</v>
      </c>
      <c r="G38" s="7">
        <v>2983</v>
      </c>
      <c r="H38" s="2">
        <f t="shared" si="0"/>
        <v>0</v>
      </c>
      <c r="I38" s="2">
        <f t="shared" si="1"/>
        <v>0</v>
      </c>
      <c r="J38" s="2">
        <f>D38*0.2646</f>
        <v>14159.01</v>
      </c>
      <c r="K38" s="2">
        <f t="shared" si="2"/>
        <v>0</v>
      </c>
      <c r="L38" s="2">
        <f t="shared" si="3"/>
        <v>14159.01</v>
      </c>
      <c r="M38" s="1"/>
    </row>
    <row r="39" spans="1:13" x14ac:dyDescent="0.2">
      <c r="A39" s="1" t="s">
        <v>433</v>
      </c>
      <c r="B39" s="7"/>
      <c r="C39" s="7"/>
      <c r="D39" s="7">
        <v>87670</v>
      </c>
      <c r="E39" s="7"/>
      <c r="F39" s="7">
        <v>0</v>
      </c>
      <c r="G39" s="7">
        <v>0</v>
      </c>
      <c r="H39" s="2">
        <f t="shared" si="0"/>
        <v>0</v>
      </c>
      <c r="I39" s="2">
        <f t="shared" si="1"/>
        <v>0</v>
      </c>
      <c r="J39" s="2">
        <f>D39*0.2646-0.01</f>
        <v>23197.47</v>
      </c>
      <c r="K39" s="2">
        <f t="shared" si="2"/>
        <v>0</v>
      </c>
      <c r="L39" s="2">
        <f t="shared" si="3"/>
        <v>23197.47</v>
      </c>
      <c r="M39" s="1"/>
    </row>
    <row r="40" spans="1:13" x14ac:dyDescent="0.2">
      <c r="A40" s="1" t="s">
        <v>727</v>
      </c>
      <c r="B40" s="7"/>
      <c r="C40" s="7"/>
      <c r="D40" s="7"/>
      <c r="E40" s="7"/>
      <c r="F40" s="7"/>
      <c r="G40" s="7"/>
      <c r="H40" s="2">
        <f t="shared" si="0"/>
        <v>0</v>
      </c>
      <c r="I40" s="2">
        <f t="shared" si="1"/>
        <v>0</v>
      </c>
      <c r="J40" s="2">
        <v>0.01</v>
      </c>
      <c r="K40" s="2">
        <f t="shared" si="2"/>
        <v>0</v>
      </c>
      <c r="L40" s="2">
        <f t="shared" si="3"/>
        <v>0.01</v>
      </c>
      <c r="M40" s="1"/>
    </row>
    <row r="41" spans="1:13" x14ac:dyDescent="0.2">
      <c r="A41" s="1" t="s">
        <v>452</v>
      </c>
      <c r="B41" s="7"/>
      <c r="C41" s="7"/>
      <c r="D41" s="7">
        <v>82704</v>
      </c>
      <c r="E41" s="7"/>
      <c r="F41" s="7">
        <v>70399</v>
      </c>
      <c r="G41" s="7">
        <v>70399</v>
      </c>
      <c r="H41" s="2">
        <f t="shared" si="0"/>
        <v>0</v>
      </c>
      <c r="I41" s="2">
        <f t="shared" si="1"/>
        <v>0</v>
      </c>
      <c r="J41" s="2">
        <f>D41*0.2646-0.02</f>
        <v>21883.46</v>
      </c>
      <c r="K41" s="2">
        <f t="shared" si="2"/>
        <v>0</v>
      </c>
      <c r="L41" s="2">
        <f t="shared" si="3"/>
        <v>21883.46</v>
      </c>
      <c r="M41" s="1"/>
    </row>
    <row r="42" spans="1:13" x14ac:dyDescent="0.2">
      <c r="A42" s="1" t="s">
        <v>729</v>
      </c>
      <c r="B42" s="7"/>
      <c r="C42" s="7"/>
      <c r="D42" s="7"/>
      <c r="E42" s="7"/>
      <c r="F42" s="7"/>
      <c r="G42" s="7"/>
      <c r="H42" s="2">
        <f t="shared" si="0"/>
        <v>0</v>
      </c>
      <c r="I42" s="2">
        <f t="shared" si="1"/>
        <v>0</v>
      </c>
      <c r="J42" s="2">
        <v>0.02</v>
      </c>
      <c r="K42" s="2">
        <f t="shared" si="2"/>
        <v>0</v>
      </c>
      <c r="L42" s="2">
        <f t="shared" si="3"/>
        <v>0.02</v>
      </c>
      <c r="M42" s="1"/>
    </row>
    <row r="43" spans="1:13" x14ac:dyDescent="0.2">
      <c r="A43" s="1" t="s">
        <v>710</v>
      </c>
      <c r="B43" s="7"/>
      <c r="C43" s="7"/>
      <c r="D43" s="7">
        <v>926</v>
      </c>
      <c r="E43" s="7"/>
      <c r="F43" s="7">
        <v>0</v>
      </c>
      <c r="G43" s="7">
        <v>0</v>
      </c>
      <c r="H43" s="2">
        <f>B43*0.1862</f>
        <v>0</v>
      </c>
      <c r="I43" s="2">
        <f>C43*0.2058</f>
        <v>0</v>
      </c>
      <c r="J43" s="2">
        <f>D43*0.2646-20</f>
        <v>225.02</v>
      </c>
      <c r="K43" s="2">
        <f>E43*0.2156</f>
        <v>0</v>
      </c>
      <c r="L43" s="2">
        <f>+H43+I43+J43+K43</f>
        <v>225.02</v>
      </c>
      <c r="M43" s="1"/>
    </row>
    <row r="44" spans="1:13" x14ac:dyDescent="0.2">
      <c r="A44" s="1" t="s">
        <v>457</v>
      </c>
      <c r="B44" s="7"/>
      <c r="C44" s="7"/>
      <c r="D44" s="7">
        <v>2836</v>
      </c>
      <c r="E44" s="7"/>
      <c r="F44" s="7">
        <v>264128</v>
      </c>
      <c r="G44" s="7">
        <v>264128</v>
      </c>
      <c r="H44" s="2">
        <f t="shared" si="0"/>
        <v>0</v>
      </c>
      <c r="I44" s="2">
        <f t="shared" si="1"/>
        <v>0</v>
      </c>
      <c r="J44" s="2">
        <f>D44*0.2646-0.01</f>
        <v>750.4</v>
      </c>
      <c r="K44" s="2">
        <f t="shared" si="2"/>
        <v>0</v>
      </c>
      <c r="L44" s="2">
        <f t="shared" si="3"/>
        <v>750.4</v>
      </c>
      <c r="M44" s="1"/>
    </row>
    <row r="45" spans="1:13" s="20" customFormat="1" x14ac:dyDescent="0.2">
      <c r="A45" s="18" t="s">
        <v>701</v>
      </c>
      <c r="B45" s="246"/>
      <c r="C45" s="246"/>
      <c r="D45" s="246">
        <v>0</v>
      </c>
      <c r="E45" s="246"/>
      <c r="F45" s="246">
        <v>49477</v>
      </c>
      <c r="G45" s="246">
        <v>49477</v>
      </c>
      <c r="H45" s="2">
        <f>B45*0.1862</f>
        <v>0</v>
      </c>
      <c r="I45" s="2">
        <f>C45*0.2058</f>
        <v>0</v>
      </c>
      <c r="J45" s="2">
        <f>D45*0.2646</f>
        <v>0</v>
      </c>
      <c r="K45" s="2">
        <f>E45*0.2156</f>
        <v>0</v>
      </c>
      <c r="L45" s="2">
        <f>+H45+I45+J45+K45</f>
        <v>0</v>
      </c>
      <c r="M45" s="18"/>
    </row>
    <row r="46" spans="1:13" s="20" customFormat="1" x14ac:dyDescent="0.2">
      <c r="A46" s="18" t="s">
        <v>498</v>
      </c>
      <c r="B46" s="246"/>
      <c r="C46" s="246"/>
      <c r="D46" s="246">
        <v>322730</v>
      </c>
      <c r="E46" s="246"/>
      <c r="F46" s="246">
        <v>2152401</v>
      </c>
      <c r="G46" s="246">
        <v>2735486</v>
      </c>
      <c r="H46" s="2">
        <f t="shared" si="0"/>
        <v>0</v>
      </c>
      <c r="I46" s="2">
        <f t="shared" si="1"/>
        <v>0</v>
      </c>
      <c r="J46" s="2">
        <f>D46*0.2646-625.29</f>
        <v>84769.07</v>
      </c>
      <c r="K46" s="2">
        <f t="shared" si="2"/>
        <v>0</v>
      </c>
      <c r="L46" s="2">
        <f t="shared" si="3"/>
        <v>84769.07</v>
      </c>
      <c r="M46" s="18"/>
    </row>
    <row r="47" spans="1:13" x14ac:dyDescent="0.2">
      <c r="A47" s="1" t="s">
        <v>434</v>
      </c>
      <c r="B47" s="7"/>
      <c r="C47" s="7"/>
      <c r="D47" s="7">
        <v>96575</v>
      </c>
      <c r="E47" s="7"/>
      <c r="F47" s="7">
        <v>0</v>
      </c>
      <c r="G47" s="7">
        <v>0</v>
      </c>
      <c r="H47" s="2">
        <f t="shared" si="0"/>
        <v>0</v>
      </c>
      <c r="I47" s="2">
        <f t="shared" si="1"/>
        <v>0</v>
      </c>
      <c r="J47" s="2">
        <f>D47*0.2646+0.01</f>
        <v>25553.759999999998</v>
      </c>
      <c r="K47" s="2">
        <f t="shared" si="2"/>
        <v>0</v>
      </c>
      <c r="L47" s="2">
        <f t="shared" si="3"/>
        <v>25553.759999999998</v>
      </c>
      <c r="M47" s="1"/>
    </row>
    <row r="48" spans="1:13" x14ac:dyDescent="0.2">
      <c r="A48" s="1" t="s">
        <v>738</v>
      </c>
      <c r="B48" s="7"/>
      <c r="C48" s="7"/>
      <c r="D48" s="7">
        <v>-7618</v>
      </c>
      <c r="E48" s="7"/>
      <c r="F48" s="7">
        <v>0</v>
      </c>
      <c r="G48" s="7">
        <v>0</v>
      </c>
      <c r="H48" s="2">
        <f t="shared" si="0"/>
        <v>0</v>
      </c>
      <c r="I48" s="2">
        <f t="shared" si="1"/>
        <v>0</v>
      </c>
      <c r="J48" s="2">
        <f>D48*0.2646</f>
        <v>-2015.72</v>
      </c>
      <c r="K48" s="2">
        <f t="shared" si="2"/>
        <v>0</v>
      </c>
      <c r="L48" s="2">
        <f t="shared" si="3"/>
        <v>-2015.72</v>
      </c>
      <c r="M48" s="1"/>
    </row>
    <row r="49" spans="1:13" x14ac:dyDescent="0.2">
      <c r="A49" s="1" t="s">
        <v>739</v>
      </c>
      <c r="B49" s="7"/>
      <c r="C49" s="7"/>
      <c r="D49" s="7">
        <v>-108482</v>
      </c>
      <c r="E49" s="7"/>
      <c r="F49" s="7">
        <v>0</v>
      </c>
      <c r="G49" s="7">
        <v>0</v>
      </c>
      <c r="H49" s="2">
        <f t="shared" si="0"/>
        <v>0</v>
      </c>
      <c r="I49" s="2">
        <f t="shared" si="1"/>
        <v>0</v>
      </c>
      <c r="J49" s="2">
        <f>D49*0.2646</f>
        <v>-28704.34</v>
      </c>
      <c r="K49" s="2">
        <f t="shared" si="2"/>
        <v>0</v>
      </c>
      <c r="L49" s="2">
        <f t="shared" si="3"/>
        <v>-28704.34</v>
      </c>
      <c r="M49" s="1"/>
    </row>
    <row r="50" spans="1:13" s="20" customFormat="1" x14ac:dyDescent="0.2">
      <c r="A50" s="18" t="s">
        <v>501</v>
      </c>
      <c r="B50" s="246"/>
      <c r="C50" s="246"/>
      <c r="D50" s="246">
        <v>47789</v>
      </c>
      <c r="E50" s="246"/>
      <c r="F50" s="246">
        <v>0</v>
      </c>
      <c r="G50" s="246">
        <v>0</v>
      </c>
      <c r="H50" s="2">
        <f t="shared" si="0"/>
        <v>0</v>
      </c>
      <c r="I50" s="2">
        <f t="shared" si="1"/>
        <v>0</v>
      </c>
      <c r="J50" s="2">
        <f>D50*0.2646</f>
        <v>12644.97</v>
      </c>
      <c r="K50" s="2">
        <f t="shared" si="2"/>
        <v>0</v>
      </c>
      <c r="L50" s="2">
        <f t="shared" si="3"/>
        <v>12644.97</v>
      </c>
      <c r="M50" s="18"/>
    </row>
    <row r="51" spans="1:13" ht="15" customHeight="1" x14ac:dyDescent="0.2">
      <c r="A51" s="7" t="s">
        <v>616</v>
      </c>
      <c r="B51" s="7"/>
      <c r="C51" s="7"/>
      <c r="D51" s="7">
        <v>850294</v>
      </c>
      <c r="E51" s="7"/>
      <c r="F51" s="7">
        <v>312</v>
      </c>
      <c r="G51" s="7">
        <v>312</v>
      </c>
      <c r="H51" s="2">
        <f>B51*0.1862</f>
        <v>0</v>
      </c>
      <c r="I51" s="2">
        <f>C51*0.2058</f>
        <v>0</v>
      </c>
      <c r="J51" s="2">
        <f>D51*0.2646-37.22</f>
        <v>224950.57</v>
      </c>
      <c r="K51" s="2">
        <f>E51*0.2156</f>
        <v>0</v>
      </c>
      <c r="L51" s="2">
        <f>+H51+I51+J51+K51</f>
        <v>224950.57</v>
      </c>
      <c r="M51" s="1"/>
    </row>
    <row r="52" spans="1:13" ht="15" customHeight="1" x14ac:dyDescent="0.2">
      <c r="A52" s="7" t="s">
        <v>348</v>
      </c>
      <c r="B52" s="7"/>
      <c r="C52" s="7"/>
      <c r="D52" s="7">
        <v>90067</v>
      </c>
      <c r="E52" s="7"/>
      <c r="F52" s="7">
        <v>1103675</v>
      </c>
      <c r="G52" s="7">
        <v>1138940</v>
      </c>
      <c r="H52" s="2">
        <f t="shared" si="0"/>
        <v>0</v>
      </c>
      <c r="I52" s="2">
        <f t="shared" si="1"/>
        <v>0</v>
      </c>
      <c r="J52" s="2">
        <f>D52*0.2646-0.02</f>
        <v>23831.71</v>
      </c>
      <c r="K52" s="2">
        <f t="shared" si="2"/>
        <v>0</v>
      </c>
      <c r="L52" s="2">
        <f t="shared" si="3"/>
        <v>23831.71</v>
      </c>
      <c r="M52" s="1"/>
    </row>
    <row r="53" spans="1:13" x14ac:dyDescent="0.2">
      <c r="A53" s="1" t="s">
        <v>730</v>
      </c>
      <c r="B53" s="7"/>
      <c r="C53" s="7"/>
      <c r="D53" s="7"/>
      <c r="E53" s="7"/>
      <c r="F53" s="7"/>
      <c r="G53" s="7"/>
      <c r="H53" s="2">
        <f>B53*0.1862</f>
        <v>0</v>
      </c>
      <c r="I53" s="2">
        <f>C53*0.2058</f>
        <v>0</v>
      </c>
      <c r="J53" s="2">
        <v>0.02</v>
      </c>
      <c r="K53" s="2">
        <f>E53*0.2156</f>
        <v>0</v>
      </c>
      <c r="L53" s="2">
        <f>+H53+I53+J53+K53</f>
        <v>0.02</v>
      </c>
      <c r="M53" s="1"/>
    </row>
    <row r="54" spans="1:13" s="20" customFormat="1" x14ac:dyDescent="0.2">
      <c r="A54" s="246" t="s">
        <v>459</v>
      </c>
      <c r="B54" s="246"/>
      <c r="C54" s="246"/>
      <c r="D54" s="246">
        <v>221153</v>
      </c>
      <c r="E54" s="246"/>
      <c r="F54" s="246">
        <v>103215</v>
      </c>
      <c r="G54" s="246">
        <v>103215</v>
      </c>
      <c r="H54" s="2">
        <f t="shared" si="0"/>
        <v>0</v>
      </c>
      <c r="I54" s="2">
        <f t="shared" si="1"/>
        <v>0</v>
      </c>
      <c r="J54" s="2">
        <f>D54*0.2646</f>
        <v>58517.08</v>
      </c>
      <c r="K54" s="2">
        <f t="shared" si="2"/>
        <v>0</v>
      </c>
      <c r="L54" s="2">
        <f t="shared" si="3"/>
        <v>58517.08</v>
      </c>
      <c r="M54" s="18"/>
    </row>
    <row r="55" spans="1:13" x14ac:dyDescent="0.2">
      <c r="A55" s="7" t="s">
        <v>435</v>
      </c>
      <c r="B55" s="7"/>
      <c r="C55" s="7"/>
      <c r="D55" s="7">
        <v>4400</v>
      </c>
      <c r="E55" s="7"/>
      <c r="F55" s="7">
        <v>0</v>
      </c>
      <c r="G55" s="7">
        <v>0</v>
      </c>
      <c r="H55" s="2">
        <f t="shared" si="0"/>
        <v>0</v>
      </c>
      <c r="I55" s="2">
        <f t="shared" si="1"/>
        <v>0</v>
      </c>
      <c r="J55" s="2">
        <f>D55*0.2646</f>
        <v>1164.24</v>
      </c>
      <c r="K55" s="2">
        <f t="shared" si="2"/>
        <v>0</v>
      </c>
      <c r="L55" s="2">
        <f t="shared" si="3"/>
        <v>1164.24</v>
      </c>
      <c r="M55" s="1"/>
    </row>
    <row r="56" spans="1:13" x14ac:dyDescent="0.2">
      <c r="A56" s="1" t="s">
        <v>46</v>
      </c>
      <c r="B56" s="7"/>
      <c r="C56" s="7"/>
      <c r="D56" s="7">
        <v>39005</v>
      </c>
      <c r="E56" s="7"/>
      <c r="F56" s="7">
        <v>0</v>
      </c>
      <c r="G56" s="7">
        <v>0</v>
      </c>
      <c r="H56" s="2">
        <f t="shared" si="0"/>
        <v>0</v>
      </c>
      <c r="I56" s="2">
        <f t="shared" si="1"/>
        <v>0</v>
      </c>
      <c r="J56" s="2">
        <f>D56*0.2646</f>
        <v>10320.719999999999</v>
      </c>
      <c r="K56" s="2">
        <f t="shared" si="2"/>
        <v>0</v>
      </c>
      <c r="L56" s="2">
        <f t="shared" si="3"/>
        <v>10320.719999999999</v>
      </c>
      <c r="M56" s="1"/>
    </row>
    <row r="57" spans="1:13" s="20" customFormat="1" x14ac:dyDescent="0.2">
      <c r="A57" s="18" t="s">
        <v>47</v>
      </c>
      <c r="B57" s="246"/>
      <c r="C57" s="246"/>
      <c r="D57" s="246">
        <v>1246512</v>
      </c>
      <c r="E57" s="246"/>
      <c r="F57" s="246">
        <v>2499767</v>
      </c>
      <c r="G57" s="246">
        <v>2487998</v>
      </c>
      <c r="H57" s="2">
        <f t="shared" si="0"/>
        <v>0</v>
      </c>
      <c r="I57" s="2">
        <f t="shared" si="1"/>
        <v>0</v>
      </c>
      <c r="J57" s="2">
        <f>D57*0.2646-2573.3</f>
        <v>327253.78000000003</v>
      </c>
      <c r="K57" s="2">
        <f t="shared" si="2"/>
        <v>0</v>
      </c>
      <c r="L57" s="2">
        <f t="shared" si="3"/>
        <v>327253.78000000003</v>
      </c>
      <c r="M57" s="18"/>
    </row>
    <row r="58" spans="1:13" x14ac:dyDescent="0.2">
      <c r="A58" s="1" t="s">
        <v>48</v>
      </c>
      <c r="B58" s="7"/>
      <c r="C58" s="7"/>
      <c r="D58" s="7">
        <v>164722</v>
      </c>
      <c r="E58" s="7"/>
      <c r="F58" s="7">
        <v>0</v>
      </c>
      <c r="G58" s="7">
        <v>0</v>
      </c>
      <c r="H58" s="2">
        <f t="shared" si="0"/>
        <v>0</v>
      </c>
      <c r="I58" s="2">
        <f t="shared" si="1"/>
        <v>0</v>
      </c>
      <c r="J58" s="2">
        <f>D58*0.2646</f>
        <v>43585.440000000002</v>
      </c>
      <c r="K58" s="2">
        <f t="shared" si="2"/>
        <v>0</v>
      </c>
      <c r="L58" s="2">
        <f t="shared" si="3"/>
        <v>43585.440000000002</v>
      </c>
      <c r="M58" s="1"/>
    </row>
    <row r="59" spans="1:13" x14ac:dyDescent="0.2">
      <c r="A59" s="1" t="s">
        <v>358</v>
      </c>
      <c r="B59" s="7"/>
      <c r="C59" s="7"/>
      <c r="D59" s="7">
        <v>48331</v>
      </c>
      <c r="E59" s="7"/>
      <c r="F59" s="7">
        <v>148208</v>
      </c>
      <c r="G59" s="7">
        <v>148208</v>
      </c>
      <c r="H59" s="2">
        <f t="shared" si="0"/>
        <v>0</v>
      </c>
      <c r="I59" s="2">
        <f t="shared" si="1"/>
        <v>0</v>
      </c>
      <c r="J59" s="2">
        <f>D59*0.2646</f>
        <v>12788.38</v>
      </c>
      <c r="K59" s="2">
        <f t="shared" si="2"/>
        <v>0</v>
      </c>
      <c r="L59" s="2">
        <f t="shared" si="3"/>
        <v>12788.38</v>
      </c>
      <c r="M59" s="1"/>
    </row>
    <row r="60" spans="1:13" x14ac:dyDescent="0.2">
      <c r="A60" s="1" t="s">
        <v>49</v>
      </c>
      <c r="B60" s="7"/>
      <c r="C60" s="7"/>
      <c r="D60" s="7">
        <v>15987</v>
      </c>
      <c r="E60" s="7"/>
      <c r="F60" s="7">
        <v>0</v>
      </c>
      <c r="G60" s="7">
        <v>0</v>
      </c>
      <c r="H60" s="2">
        <f t="shared" si="0"/>
        <v>0</v>
      </c>
      <c r="I60" s="2">
        <f t="shared" si="1"/>
        <v>0</v>
      </c>
      <c r="J60" s="2">
        <f>D60*0.2646</f>
        <v>4230.16</v>
      </c>
      <c r="K60" s="2">
        <f t="shared" si="2"/>
        <v>0</v>
      </c>
      <c r="L60" s="2">
        <f t="shared" si="3"/>
        <v>4230.16</v>
      </c>
      <c r="M60" s="1"/>
    </row>
    <row r="61" spans="1:13" x14ac:dyDescent="0.2">
      <c r="A61" s="1" t="s">
        <v>350</v>
      </c>
      <c r="B61" s="7"/>
      <c r="C61" s="7"/>
      <c r="D61" s="7">
        <v>433862</v>
      </c>
      <c r="E61" s="7"/>
      <c r="F61" s="7">
        <v>128725</v>
      </c>
      <c r="G61" s="7">
        <v>128514</v>
      </c>
      <c r="H61" s="2">
        <f t="shared" si="0"/>
        <v>0</v>
      </c>
      <c r="I61" s="2">
        <f t="shared" si="1"/>
        <v>0</v>
      </c>
      <c r="J61" s="2">
        <f>D61*0.2646-0.13</f>
        <v>114799.76</v>
      </c>
      <c r="K61" s="2">
        <f t="shared" si="2"/>
        <v>0</v>
      </c>
      <c r="L61" s="2">
        <f t="shared" si="3"/>
        <v>114799.76</v>
      </c>
      <c r="M61" s="1"/>
    </row>
    <row r="62" spans="1:13" x14ac:dyDescent="0.2">
      <c r="A62" s="1" t="s">
        <v>731</v>
      </c>
      <c r="B62" s="7"/>
      <c r="C62" s="7"/>
      <c r="D62" s="7"/>
      <c r="E62" s="7"/>
      <c r="F62" s="7"/>
      <c r="G62" s="7"/>
      <c r="H62" s="2">
        <f t="shared" si="0"/>
        <v>0</v>
      </c>
      <c r="I62" s="2">
        <f t="shared" si="1"/>
        <v>0</v>
      </c>
      <c r="J62" s="2">
        <v>0.13</v>
      </c>
      <c r="K62" s="2">
        <f t="shared" si="2"/>
        <v>0</v>
      </c>
      <c r="L62" s="2">
        <f t="shared" si="3"/>
        <v>0.13</v>
      </c>
      <c r="M62" s="1"/>
    </row>
    <row r="63" spans="1:13" x14ac:dyDescent="0.2">
      <c r="A63" s="1" t="s">
        <v>741</v>
      </c>
      <c r="B63" s="7"/>
      <c r="C63" s="7"/>
      <c r="D63" s="7">
        <v>190104</v>
      </c>
      <c r="E63" s="7"/>
      <c r="F63" s="7">
        <v>0</v>
      </c>
      <c r="G63" s="7">
        <v>0</v>
      </c>
      <c r="H63" s="2">
        <f t="shared" si="0"/>
        <v>0</v>
      </c>
      <c r="I63" s="2">
        <f t="shared" si="1"/>
        <v>0</v>
      </c>
      <c r="J63" s="2">
        <f>D63*0.2646</f>
        <v>50301.52</v>
      </c>
      <c r="K63" s="2">
        <f t="shared" si="2"/>
        <v>0</v>
      </c>
      <c r="L63" s="2">
        <f t="shared" si="3"/>
        <v>50301.52</v>
      </c>
      <c r="M63" s="1"/>
    </row>
    <row r="64" spans="1:13" x14ac:dyDescent="0.2">
      <c r="A64" s="1" t="s">
        <v>740</v>
      </c>
      <c r="B64" s="7"/>
      <c r="C64" s="7"/>
      <c r="D64" s="7">
        <v>-2206</v>
      </c>
      <c r="E64" s="7"/>
      <c r="F64" s="7">
        <v>0</v>
      </c>
      <c r="G64" s="7">
        <v>0</v>
      </c>
      <c r="H64" s="2">
        <f t="shared" si="0"/>
        <v>0</v>
      </c>
      <c r="I64" s="2">
        <f t="shared" si="1"/>
        <v>0</v>
      </c>
      <c r="J64" s="2">
        <f>D64*0.2646</f>
        <v>-583.71</v>
      </c>
      <c r="K64" s="2">
        <f t="shared" si="2"/>
        <v>0</v>
      </c>
      <c r="L64" s="2">
        <f t="shared" si="3"/>
        <v>-583.71</v>
      </c>
      <c r="M64" s="1"/>
    </row>
    <row r="65" spans="1:13" x14ac:dyDescent="0.2">
      <c r="A65" s="1" t="s">
        <v>742</v>
      </c>
      <c r="B65" s="7"/>
      <c r="C65" s="7"/>
      <c r="D65" s="7">
        <v>-2500</v>
      </c>
      <c r="E65" s="7"/>
      <c r="F65" s="7">
        <v>0</v>
      </c>
      <c r="G65" s="7">
        <v>0</v>
      </c>
      <c r="H65" s="2">
        <f t="shared" si="0"/>
        <v>0</v>
      </c>
      <c r="I65" s="2">
        <f t="shared" si="1"/>
        <v>0</v>
      </c>
      <c r="J65" s="2">
        <f>D65*0.2646</f>
        <v>-661.5</v>
      </c>
      <c r="K65" s="2">
        <f t="shared" si="2"/>
        <v>0</v>
      </c>
      <c r="L65" s="2">
        <f t="shared" si="3"/>
        <v>-661.5</v>
      </c>
      <c r="M65" s="1"/>
    </row>
    <row r="66" spans="1:13" x14ac:dyDescent="0.2">
      <c r="A66" s="1" t="s">
        <v>51</v>
      </c>
      <c r="B66" s="7"/>
      <c r="C66" s="7"/>
      <c r="D66" s="7">
        <v>49954</v>
      </c>
      <c r="E66" s="7"/>
      <c r="F66" s="7">
        <v>89886</v>
      </c>
      <c r="G66" s="7">
        <v>89886</v>
      </c>
      <c r="H66" s="2">
        <f t="shared" si="0"/>
        <v>0</v>
      </c>
      <c r="I66" s="2">
        <f t="shared" si="1"/>
        <v>0</v>
      </c>
      <c r="J66" s="2">
        <f>D66*0.2646</f>
        <v>13217.83</v>
      </c>
      <c r="K66" s="2">
        <f t="shared" si="2"/>
        <v>0</v>
      </c>
      <c r="L66" s="2">
        <f t="shared" si="3"/>
        <v>13217.83</v>
      </c>
      <c r="M66" s="1"/>
    </row>
    <row r="67" spans="1:13" x14ac:dyDescent="0.2">
      <c r="A67" s="1" t="s">
        <v>475</v>
      </c>
      <c r="B67" s="7"/>
      <c r="C67" s="7"/>
      <c r="D67" s="7">
        <v>3188</v>
      </c>
      <c r="E67" s="7"/>
      <c r="F67" s="7">
        <v>62570</v>
      </c>
      <c r="G67" s="7">
        <v>62570</v>
      </c>
      <c r="H67" s="2">
        <f t="shared" si="0"/>
        <v>0</v>
      </c>
      <c r="I67" s="2">
        <f t="shared" si="1"/>
        <v>0</v>
      </c>
      <c r="J67" s="2">
        <f>D67*0.2646-4.4</f>
        <v>839.14</v>
      </c>
      <c r="K67" s="2">
        <f t="shared" si="2"/>
        <v>0</v>
      </c>
      <c r="L67" s="2">
        <f t="shared" si="3"/>
        <v>839.14</v>
      </c>
      <c r="M67" s="1"/>
    </row>
    <row r="68" spans="1:13" x14ac:dyDescent="0.2">
      <c r="A68" s="1" t="s">
        <v>732</v>
      </c>
      <c r="B68" s="7"/>
      <c r="C68" s="7"/>
      <c r="D68" s="7"/>
      <c r="E68" s="7"/>
      <c r="F68" s="7"/>
      <c r="G68" s="7"/>
      <c r="H68" s="2">
        <f t="shared" si="0"/>
        <v>0</v>
      </c>
      <c r="I68" s="2">
        <f t="shared" si="1"/>
        <v>0</v>
      </c>
      <c r="J68" s="2">
        <v>4.41</v>
      </c>
      <c r="K68" s="2">
        <f t="shared" si="2"/>
        <v>0</v>
      </c>
      <c r="L68" s="2">
        <f t="shared" si="3"/>
        <v>4.41</v>
      </c>
      <c r="M68" s="1"/>
    </row>
    <row r="69" spans="1:13" x14ac:dyDescent="0.2">
      <c r="A69" s="1" t="s">
        <v>52</v>
      </c>
      <c r="B69" s="7"/>
      <c r="C69" s="7"/>
      <c r="D69" s="7">
        <v>134948</v>
      </c>
      <c r="E69" s="7"/>
      <c r="F69" s="7">
        <v>0</v>
      </c>
      <c r="G69" s="7">
        <v>0</v>
      </c>
      <c r="H69" s="2">
        <f t="shared" si="0"/>
        <v>0</v>
      </c>
      <c r="I69" s="2">
        <f t="shared" si="1"/>
        <v>0</v>
      </c>
      <c r="J69" s="2">
        <f>D69*0.2646</f>
        <v>35707.24</v>
      </c>
      <c r="K69" s="2">
        <f t="shared" si="2"/>
        <v>0</v>
      </c>
      <c r="L69" s="2">
        <f t="shared" si="3"/>
        <v>35707.24</v>
      </c>
      <c r="M69" s="1"/>
    </row>
    <row r="70" spans="1:13" x14ac:dyDescent="0.2">
      <c r="A70" s="1" t="s">
        <v>436</v>
      </c>
      <c r="B70" s="7"/>
      <c r="C70" s="7"/>
      <c r="D70" s="7">
        <v>194827</v>
      </c>
      <c r="E70" s="7"/>
      <c r="F70" s="7">
        <v>0</v>
      </c>
      <c r="G70" s="7">
        <v>0</v>
      </c>
      <c r="H70" s="2">
        <f t="shared" si="0"/>
        <v>0</v>
      </c>
      <c r="I70" s="2">
        <f t="shared" si="1"/>
        <v>0</v>
      </c>
      <c r="J70" s="2">
        <f>D70*0.2646+0.01</f>
        <v>51551.23</v>
      </c>
      <c r="K70" s="2">
        <f t="shared" si="2"/>
        <v>0</v>
      </c>
      <c r="L70" s="2">
        <f t="shared" si="3"/>
        <v>51551.23</v>
      </c>
      <c r="M70" s="1"/>
    </row>
    <row r="71" spans="1:13" x14ac:dyDescent="0.2">
      <c r="A71" s="1" t="s">
        <v>694</v>
      </c>
      <c r="B71" s="7"/>
      <c r="C71" s="7"/>
      <c r="D71" s="7">
        <v>19420</v>
      </c>
      <c r="E71" s="7"/>
      <c r="F71" s="7">
        <v>0</v>
      </c>
      <c r="G71" s="7">
        <v>0</v>
      </c>
      <c r="H71" s="2">
        <f>B71*0.1862</f>
        <v>0</v>
      </c>
      <c r="I71" s="2">
        <f>C71*0.2058</f>
        <v>0</v>
      </c>
      <c r="J71" s="2">
        <f>D71*0.2646-0.54</f>
        <v>5137.99</v>
      </c>
      <c r="K71" s="2">
        <f>E71*0.2156</f>
        <v>0</v>
      </c>
      <c r="L71" s="2">
        <f>+H71+I71+J71+K71</f>
        <v>5137.99</v>
      </c>
      <c r="M71" s="1"/>
    </row>
    <row r="72" spans="1:13" x14ac:dyDescent="0.2">
      <c r="A72" s="1" t="s">
        <v>733</v>
      </c>
      <c r="B72" s="7"/>
      <c r="C72" s="7"/>
      <c r="D72" s="7"/>
      <c r="E72" s="7"/>
      <c r="F72" s="7"/>
      <c r="G72" s="7"/>
      <c r="H72" s="2">
        <f>B72*0.1862</f>
        <v>0</v>
      </c>
      <c r="I72" s="2">
        <f>C72*0.2058</f>
        <v>0</v>
      </c>
      <c r="J72" s="2">
        <v>0.54</v>
      </c>
      <c r="K72" s="2">
        <f>E72*0.2156</f>
        <v>0</v>
      </c>
      <c r="L72" s="2">
        <f>+H72+I72+J72+K72</f>
        <v>0.54</v>
      </c>
      <c r="M72" s="1"/>
    </row>
    <row r="73" spans="1:13" x14ac:dyDescent="0.2">
      <c r="A73" s="1" t="s">
        <v>53</v>
      </c>
      <c r="B73" s="7"/>
      <c r="C73" s="7"/>
      <c r="D73" s="7">
        <v>74446</v>
      </c>
      <c r="E73" s="7"/>
      <c r="F73" s="7">
        <v>0</v>
      </c>
      <c r="G73" s="7">
        <v>0</v>
      </c>
      <c r="H73" s="2">
        <f t="shared" si="0"/>
        <v>0</v>
      </c>
      <c r="I73" s="2">
        <f t="shared" si="1"/>
        <v>0</v>
      </c>
      <c r="J73" s="2">
        <f>D73*0.2646+0.01</f>
        <v>19698.419999999998</v>
      </c>
      <c r="K73" s="2">
        <f t="shared" si="2"/>
        <v>0</v>
      </c>
      <c r="L73" s="2">
        <f t="shared" si="3"/>
        <v>19698.419999999998</v>
      </c>
      <c r="M73" s="1"/>
    </row>
    <row r="74" spans="1:13" x14ac:dyDescent="0.2">
      <c r="A74" s="1" t="s">
        <v>760</v>
      </c>
      <c r="B74" s="7"/>
      <c r="C74" s="7"/>
      <c r="D74" s="7"/>
      <c r="E74" s="7"/>
      <c r="F74" s="7"/>
      <c r="G74" s="7"/>
      <c r="H74" s="2">
        <f t="shared" si="0"/>
        <v>0</v>
      </c>
      <c r="I74" s="2">
        <f t="shared" si="1"/>
        <v>0</v>
      </c>
      <c r="J74" s="2">
        <v>176.04</v>
      </c>
      <c r="K74" s="2">
        <f t="shared" si="2"/>
        <v>0</v>
      </c>
      <c r="L74" s="2">
        <f t="shared" si="3"/>
        <v>176.04</v>
      </c>
      <c r="M74" s="1"/>
    </row>
    <row r="75" spans="1:13" x14ac:dyDescent="0.2">
      <c r="A75" s="1" t="s">
        <v>761</v>
      </c>
      <c r="B75" s="7"/>
      <c r="C75" s="7"/>
      <c r="D75" s="7"/>
      <c r="E75" s="7"/>
      <c r="F75" s="7"/>
      <c r="G75" s="7"/>
      <c r="H75" s="2">
        <f t="shared" si="0"/>
        <v>0</v>
      </c>
      <c r="I75" s="2">
        <f t="shared" si="1"/>
        <v>0</v>
      </c>
      <c r="J75" s="2">
        <v>0</v>
      </c>
      <c r="K75" s="2">
        <f t="shared" si="2"/>
        <v>0</v>
      </c>
      <c r="L75" s="2">
        <v>973.49</v>
      </c>
      <c r="M75" s="1"/>
    </row>
    <row r="76" spans="1:13" x14ac:dyDescent="0.2">
      <c r="A76" s="1" t="s">
        <v>761</v>
      </c>
      <c r="B76" s="7"/>
      <c r="C76" s="7"/>
      <c r="D76" s="7"/>
      <c r="E76" s="7"/>
      <c r="F76" s="7"/>
      <c r="G76" s="7"/>
      <c r="H76" s="2">
        <f t="shared" si="0"/>
        <v>0</v>
      </c>
      <c r="I76" s="2">
        <f t="shared" si="1"/>
        <v>0</v>
      </c>
      <c r="J76" s="2">
        <f>D76*0.2646</f>
        <v>0</v>
      </c>
      <c r="K76" s="2">
        <f t="shared" si="2"/>
        <v>0</v>
      </c>
      <c r="L76" s="2">
        <v>21543.57</v>
      </c>
      <c r="M76" s="1"/>
    </row>
    <row r="77" spans="1:13" x14ac:dyDescent="0.2">
      <c r="A77" s="1" t="s">
        <v>699</v>
      </c>
      <c r="B77" s="7"/>
      <c r="C77" s="7"/>
      <c r="D77" s="7">
        <v>1081508</v>
      </c>
      <c r="E77" s="7"/>
      <c r="F77" s="7">
        <v>0</v>
      </c>
      <c r="G77" s="7">
        <v>0</v>
      </c>
      <c r="H77" s="2">
        <f>B77*0.1862</f>
        <v>0</v>
      </c>
      <c r="I77" s="2">
        <f>C77*0.2058</f>
        <v>0</v>
      </c>
      <c r="J77" s="2">
        <f>D77*0.2646</f>
        <v>286167.02</v>
      </c>
      <c r="K77" s="2">
        <f>E77*0.2156</f>
        <v>0</v>
      </c>
      <c r="L77" s="2">
        <f>+H77+I77+J77+K77</f>
        <v>286167.02</v>
      </c>
      <c r="M77" s="1"/>
    </row>
    <row r="78" spans="1:13" x14ac:dyDescent="0.2">
      <c r="A78" s="1" t="s">
        <v>54</v>
      </c>
      <c r="B78" s="7"/>
      <c r="C78" s="7"/>
      <c r="D78" s="7">
        <v>47397</v>
      </c>
      <c r="E78" s="7"/>
      <c r="F78" s="7">
        <v>111873</v>
      </c>
      <c r="G78" s="7">
        <v>112594</v>
      </c>
      <c r="H78" s="2">
        <f t="shared" si="0"/>
        <v>0</v>
      </c>
      <c r="I78" s="2">
        <f t="shared" si="1"/>
        <v>0</v>
      </c>
      <c r="J78" s="2">
        <f>D78*0.2646-0.01</f>
        <v>12541.24</v>
      </c>
      <c r="K78" s="2">
        <f t="shared" si="2"/>
        <v>0</v>
      </c>
      <c r="L78" s="2">
        <f t="shared" si="3"/>
        <v>12541.24</v>
      </c>
      <c r="M78" s="1"/>
    </row>
    <row r="79" spans="1:13" x14ac:dyDescent="0.2">
      <c r="A79" s="1" t="s">
        <v>770</v>
      </c>
      <c r="B79" s="7"/>
      <c r="C79" s="7"/>
      <c r="D79" s="7">
        <v>-17198</v>
      </c>
      <c r="E79" s="7"/>
      <c r="F79" s="7"/>
      <c r="G79" s="7"/>
      <c r="H79" s="2">
        <f t="shared" si="0"/>
        <v>0</v>
      </c>
      <c r="I79" s="2">
        <f t="shared" si="1"/>
        <v>0</v>
      </c>
      <c r="J79" s="2">
        <v>0</v>
      </c>
      <c r="K79" s="2">
        <f t="shared" si="2"/>
        <v>0</v>
      </c>
      <c r="L79" s="2">
        <f>+H79+I79+J79+K79-4643.46</f>
        <v>-4643.46</v>
      </c>
      <c r="M79" s="1"/>
    </row>
    <row r="80" spans="1:13" x14ac:dyDescent="0.2">
      <c r="A80" s="1" t="s">
        <v>771</v>
      </c>
      <c r="B80" s="7"/>
      <c r="C80" s="7"/>
      <c r="D80" s="7">
        <v>-22996</v>
      </c>
      <c r="E80" s="7"/>
      <c r="F80" s="7"/>
      <c r="G80" s="7"/>
      <c r="H80" s="2">
        <f t="shared" si="0"/>
        <v>0</v>
      </c>
      <c r="I80" s="2">
        <f t="shared" si="1"/>
        <v>0</v>
      </c>
      <c r="J80" s="2">
        <v>0</v>
      </c>
      <c r="K80" s="2">
        <f t="shared" si="2"/>
        <v>0</v>
      </c>
      <c r="L80" s="2">
        <f>+H80+I80+J80+K80-6208.92</f>
        <v>-6208.92</v>
      </c>
      <c r="M80" s="1"/>
    </row>
    <row r="81" spans="1:13" x14ac:dyDescent="0.2">
      <c r="A81" s="1" t="s">
        <v>772</v>
      </c>
      <c r="B81" s="7"/>
      <c r="C81" s="7"/>
      <c r="D81" s="7">
        <v>-20890</v>
      </c>
      <c r="E81" s="7"/>
      <c r="F81" s="7"/>
      <c r="G81" s="7"/>
      <c r="H81" s="2">
        <f t="shared" si="0"/>
        <v>0</v>
      </c>
      <c r="I81" s="2">
        <f t="shared" si="1"/>
        <v>0</v>
      </c>
      <c r="J81" s="2">
        <v>0</v>
      </c>
      <c r="K81" s="2">
        <f t="shared" si="2"/>
        <v>0</v>
      </c>
      <c r="L81" s="2">
        <f>+H81+I81+J81+K81-5640.3</f>
        <v>-5640.3</v>
      </c>
      <c r="M81" s="1"/>
    </row>
    <row r="82" spans="1:13" x14ac:dyDescent="0.2">
      <c r="A82" s="1" t="s">
        <v>773</v>
      </c>
      <c r="B82" s="7"/>
      <c r="C82" s="7"/>
      <c r="D82" s="7">
        <v>-20692</v>
      </c>
      <c r="E82" s="7"/>
      <c r="F82" s="7"/>
      <c r="G82" s="7"/>
      <c r="H82" s="2">
        <f t="shared" si="0"/>
        <v>0</v>
      </c>
      <c r="I82" s="2">
        <f t="shared" si="1"/>
        <v>0</v>
      </c>
      <c r="J82" s="2">
        <v>0</v>
      </c>
      <c r="K82" s="2">
        <f t="shared" si="2"/>
        <v>0</v>
      </c>
      <c r="L82" s="2">
        <f>+H82+I82+J82+K82-5586.84</f>
        <v>-5586.84</v>
      </c>
      <c r="M82" s="1"/>
    </row>
    <row r="83" spans="1:13" x14ac:dyDescent="0.2">
      <c r="A83" s="1" t="s">
        <v>774</v>
      </c>
      <c r="B83" s="7"/>
      <c r="C83" s="7"/>
      <c r="D83" s="7">
        <v>-27511</v>
      </c>
      <c r="E83" s="7"/>
      <c r="F83" s="7"/>
      <c r="G83" s="7"/>
      <c r="H83" s="2">
        <f t="shared" si="0"/>
        <v>0</v>
      </c>
      <c r="I83" s="2">
        <f t="shared" si="1"/>
        <v>0</v>
      </c>
      <c r="J83" s="2">
        <v>0</v>
      </c>
      <c r="K83" s="2">
        <f t="shared" si="2"/>
        <v>0</v>
      </c>
      <c r="L83" s="2">
        <f>+H83+I83+J83+K83-7279.41</f>
        <v>-7279.41</v>
      </c>
      <c r="M83" s="1"/>
    </row>
    <row r="84" spans="1:13" x14ac:dyDescent="0.2">
      <c r="A84" s="1" t="s">
        <v>617</v>
      </c>
      <c r="B84" s="7"/>
      <c r="C84" s="7"/>
      <c r="D84" s="7">
        <v>48785</v>
      </c>
      <c r="E84" s="7"/>
      <c r="F84" s="7">
        <v>0</v>
      </c>
      <c r="G84" s="7">
        <v>0</v>
      </c>
      <c r="H84" s="2">
        <f>B84*0.1862</f>
        <v>0</v>
      </c>
      <c r="I84" s="2">
        <f>C84*0.2058</f>
        <v>0</v>
      </c>
      <c r="J84" s="2">
        <f>D84*0.2646</f>
        <v>12908.51</v>
      </c>
      <c r="K84" s="2">
        <f>E84*0.2156</f>
        <v>0</v>
      </c>
      <c r="L84" s="2">
        <f>+H84+I84+J84+K84</f>
        <v>12908.51</v>
      </c>
      <c r="M84" s="1"/>
    </row>
    <row r="85" spans="1:13" x14ac:dyDescent="0.2">
      <c r="A85" s="1" t="s">
        <v>618</v>
      </c>
      <c r="B85" s="7"/>
      <c r="C85" s="7"/>
      <c r="D85" s="7"/>
      <c r="E85" s="7">
        <v>83025</v>
      </c>
      <c r="F85" s="7">
        <v>0</v>
      </c>
      <c r="G85" s="7">
        <v>0</v>
      </c>
      <c r="H85" s="2">
        <f>B85*0.1862</f>
        <v>0</v>
      </c>
      <c r="I85" s="2">
        <f>C85*0.2058</f>
        <v>0</v>
      </c>
      <c r="J85" s="2">
        <f>D85*0.2646</f>
        <v>0</v>
      </c>
      <c r="K85" s="2">
        <f>E85*0.2156</f>
        <v>17900.189999999999</v>
      </c>
      <c r="L85" s="2">
        <f>+H85+I85+J85+K85</f>
        <v>17900.189999999999</v>
      </c>
      <c r="M85" s="1"/>
    </row>
    <row r="86" spans="1:13" x14ac:dyDescent="0.2">
      <c r="A86" s="1" t="s">
        <v>55</v>
      </c>
      <c r="B86" s="7"/>
      <c r="C86" s="7"/>
      <c r="D86" s="7">
        <v>0</v>
      </c>
      <c r="E86" s="7"/>
      <c r="F86" s="7">
        <v>749872</v>
      </c>
      <c r="G86" s="7">
        <v>749872</v>
      </c>
      <c r="H86" s="2">
        <f t="shared" si="0"/>
        <v>0</v>
      </c>
      <c r="I86" s="2">
        <f t="shared" si="1"/>
        <v>0</v>
      </c>
      <c r="J86" s="2">
        <f>D86*0.2646</f>
        <v>0</v>
      </c>
      <c r="K86" s="2">
        <f t="shared" si="2"/>
        <v>0</v>
      </c>
      <c r="L86" s="2">
        <f t="shared" si="3"/>
        <v>0</v>
      </c>
      <c r="M86" s="1"/>
    </row>
    <row r="87" spans="1:13" x14ac:dyDescent="0.2">
      <c r="A87" s="1" t="s">
        <v>56</v>
      </c>
      <c r="B87" s="7"/>
      <c r="C87" s="7"/>
      <c r="D87" s="7">
        <v>4908</v>
      </c>
      <c r="E87" s="7">
        <v>406</v>
      </c>
      <c r="F87" s="7">
        <v>13466</v>
      </c>
      <c r="G87" s="7">
        <v>17603</v>
      </c>
      <c r="H87" s="2">
        <f t="shared" si="0"/>
        <v>0</v>
      </c>
      <c r="I87" s="2">
        <f t="shared" si="1"/>
        <v>0</v>
      </c>
      <c r="J87" s="2">
        <f>D87*0.2646</f>
        <v>1298.6600000000001</v>
      </c>
      <c r="K87" s="2">
        <f t="shared" si="2"/>
        <v>87.53</v>
      </c>
      <c r="L87" s="2">
        <f t="shared" si="3"/>
        <v>1386.19</v>
      </c>
      <c r="M87" s="1"/>
    </row>
    <row r="88" spans="1:13" x14ac:dyDescent="0.2">
      <c r="A88" s="1" t="s">
        <v>216</v>
      </c>
      <c r="B88" s="7"/>
      <c r="C88" s="7"/>
      <c r="D88" s="7">
        <v>0</v>
      </c>
      <c r="E88" s="7"/>
      <c r="F88" s="7">
        <v>152</v>
      </c>
      <c r="G88" s="7">
        <v>152</v>
      </c>
      <c r="H88" s="2">
        <f t="shared" si="0"/>
        <v>0</v>
      </c>
      <c r="I88" s="2">
        <f t="shared" si="1"/>
        <v>0</v>
      </c>
      <c r="J88" s="2">
        <f>D88*0.2646</f>
        <v>0</v>
      </c>
      <c r="K88" s="2">
        <f t="shared" si="2"/>
        <v>0</v>
      </c>
      <c r="L88" s="2">
        <f t="shared" si="3"/>
        <v>0</v>
      </c>
      <c r="M88" s="1"/>
    </row>
    <row r="89" spans="1:13" s="20" customFormat="1" x14ac:dyDescent="0.2">
      <c r="A89" s="18" t="s">
        <v>57</v>
      </c>
      <c r="B89" s="246"/>
      <c r="C89" s="246"/>
      <c r="D89" s="246">
        <v>62786</v>
      </c>
      <c r="E89" s="246"/>
      <c r="F89" s="246">
        <v>122854</v>
      </c>
      <c r="G89" s="246">
        <v>122068</v>
      </c>
      <c r="H89" s="2">
        <f t="shared" si="0"/>
        <v>0</v>
      </c>
      <c r="I89" s="2">
        <f t="shared" si="1"/>
        <v>0</v>
      </c>
      <c r="J89" s="2">
        <f>D89*0.2646-0.01</f>
        <v>16613.169999999998</v>
      </c>
      <c r="K89" s="2">
        <f t="shared" si="2"/>
        <v>0</v>
      </c>
      <c r="L89" s="2">
        <f t="shared" si="3"/>
        <v>16613.169999999998</v>
      </c>
      <c r="M89" s="18"/>
    </row>
    <row r="90" spans="1:13" x14ac:dyDescent="0.2">
      <c r="A90" s="1" t="s">
        <v>705</v>
      </c>
      <c r="B90" s="7"/>
      <c r="C90" s="7"/>
      <c r="D90" s="7">
        <v>118608</v>
      </c>
      <c r="E90" s="7"/>
      <c r="F90" s="7">
        <v>59870</v>
      </c>
      <c r="G90" s="7">
        <v>59870</v>
      </c>
      <c r="H90" s="2">
        <f>B90*0.1862</f>
        <v>0</v>
      </c>
      <c r="I90" s="2">
        <f>C90*0.2058</f>
        <v>0</v>
      </c>
      <c r="J90" s="2">
        <f>D90*0.2646</f>
        <v>31383.68</v>
      </c>
      <c r="K90" s="2">
        <f>E90*0.2156</f>
        <v>0</v>
      </c>
      <c r="L90" s="2">
        <f>+H90+I90+J90+K90</f>
        <v>31383.68</v>
      </c>
      <c r="M90" s="1"/>
    </row>
    <row r="91" spans="1:13" x14ac:dyDescent="0.2">
      <c r="A91" s="1" t="s">
        <v>437</v>
      </c>
      <c r="B91" s="7"/>
      <c r="C91" s="7"/>
      <c r="D91" s="7">
        <v>2225171</v>
      </c>
      <c r="E91" s="7"/>
      <c r="F91" s="7">
        <v>0</v>
      </c>
      <c r="G91" s="7">
        <v>0</v>
      </c>
      <c r="H91" s="2">
        <f t="shared" si="0"/>
        <v>0</v>
      </c>
      <c r="I91" s="2">
        <f t="shared" si="1"/>
        <v>0</v>
      </c>
      <c r="J91" s="2">
        <f>D91*0.2646</f>
        <v>588780.25</v>
      </c>
      <c r="K91" s="2">
        <f t="shared" si="2"/>
        <v>0</v>
      </c>
      <c r="L91" s="2">
        <f t="shared" si="3"/>
        <v>588780.25</v>
      </c>
      <c r="M91" s="1"/>
    </row>
    <row r="92" spans="1:13" x14ac:dyDescent="0.2">
      <c r="A92" s="1" t="s">
        <v>58</v>
      </c>
      <c r="B92" s="7"/>
      <c r="C92" s="7"/>
      <c r="D92" s="7">
        <v>137644</v>
      </c>
      <c r="E92" s="7"/>
      <c r="F92" s="7">
        <v>34844</v>
      </c>
      <c r="G92" s="7">
        <v>34844</v>
      </c>
      <c r="H92" s="2">
        <f t="shared" si="0"/>
        <v>0</v>
      </c>
      <c r="I92" s="2">
        <f t="shared" si="1"/>
        <v>0</v>
      </c>
      <c r="J92" s="2">
        <f>D92*0.2646+0.01</f>
        <v>36420.61</v>
      </c>
      <c r="K92" s="2">
        <f t="shared" si="2"/>
        <v>0</v>
      </c>
      <c r="L92" s="2">
        <f t="shared" si="3"/>
        <v>36420.61</v>
      </c>
      <c r="M92" s="1"/>
    </row>
    <row r="93" spans="1:13" x14ac:dyDescent="0.2">
      <c r="A93" s="1" t="s">
        <v>438</v>
      </c>
      <c r="B93" s="7"/>
      <c r="C93" s="7"/>
      <c r="D93" s="7">
        <v>2821382</v>
      </c>
      <c r="E93" s="7"/>
      <c r="F93" s="7">
        <v>0</v>
      </c>
      <c r="G93" s="7">
        <v>0</v>
      </c>
      <c r="H93" s="2">
        <f t="shared" si="0"/>
        <v>0</v>
      </c>
      <c r="I93" s="2">
        <f t="shared" si="1"/>
        <v>0</v>
      </c>
      <c r="J93" s="2">
        <f>D93*0.2646-0.01</f>
        <v>746537.67</v>
      </c>
      <c r="K93" s="2">
        <f t="shared" si="2"/>
        <v>0</v>
      </c>
      <c r="L93" s="2">
        <f t="shared" si="3"/>
        <v>746537.67</v>
      </c>
      <c r="M93" s="1"/>
    </row>
    <row r="94" spans="1:13" x14ac:dyDescent="0.2">
      <c r="A94" s="1" t="s">
        <v>439</v>
      </c>
      <c r="B94" s="7"/>
      <c r="C94" s="7"/>
      <c r="D94" s="7">
        <v>1100</v>
      </c>
      <c r="E94" s="7"/>
      <c r="F94" s="7">
        <v>0</v>
      </c>
      <c r="G94" s="7">
        <v>0</v>
      </c>
      <c r="H94" s="2">
        <f t="shared" si="0"/>
        <v>0</v>
      </c>
      <c r="I94" s="2">
        <f t="shared" si="1"/>
        <v>0</v>
      </c>
      <c r="J94" s="2">
        <f>D94*0.2646</f>
        <v>291.06</v>
      </c>
      <c r="K94" s="2">
        <f t="shared" si="2"/>
        <v>0</v>
      </c>
      <c r="L94" s="2">
        <f t="shared" si="3"/>
        <v>291.06</v>
      </c>
      <c r="M94" s="1"/>
    </row>
    <row r="95" spans="1:13" x14ac:dyDescent="0.2">
      <c r="A95" s="1" t="s">
        <v>351</v>
      </c>
      <c r="B95" s="7"/>
      <c r="C95" s="7"/>
      <c r="D95" s="7">
        <v>150007</v>
      </c>
      <c r="E95" s="7"/>
      <c r="F95" s="7">
        <v>0</v>
      </c>
      <c r="G95" s="7">
        <v>0</v>
      </c>
      <c r="H95" s="2">
        <f t="shared" si="0"/>
        <v>0</v>
      </c>
      <c r="I95" s="2">
        <f t="shared" si="1"/>
        <v>0</v>
      </c>
      <c r="J95" s="2">
        <f>D95*0.2646</f>
        <v>39691.85</v>
      </c>
      <c r="K95" s="2">
        <f t="shared" si="2"/>
        <v>0</v>
      </c>
      <c r="L95" s="2">
        <f t="shared" si="3"/>
        <v>39691.85</v>
      </c>
      <c r="M95" s="1"/>
    </row>
    <row r="96" spans="1:13" s="20" customFormat="1" x14ac:dyDescent="0.2">
      <c r="A96" s="18" t="s">
        <v>715</v>
      </c>
      <c r="B96" s="246"/>
      <c r="C96" s="246"/>
      <c r="D96" s="246">
        <v>2266</v>
      </c>
      <c r="E96" s="246"/>
      <c r="F96" s="246">
        <v>0</v>
      </c>
      <c r="G96" s="246">
        <v>0</v>
      </c>
      <c r="H96" s="2">
        <f>B96*0.1862</f>
        <v>0</v>
      </c>
      <c r="I96" s="2">
        <f>C96*0.2058</f>
        <v>0</v>
      </c>
      <c r="J96" s="2">
        <f>D96*0.2646-193.69</f>
        <v>405.89</v>
      </c>
      <c r="K96" s="2">
        <f>E96*0.2156</f>
        <v>0</v>
      </c>
      <c r="L96" s="2">
        <f>+H96+I96+J96+K96</f>
        <v>405.89</v>
      </c>
      <c r="M96" s="18"/>
    </row>
    <row r="97" spans="1:13" s="20" customFormat="1" x14ac:dyDescent="0.2">
      <c r="A97" s="18" t="s">
        <v>59</v>
      </c>
      <c r="B97" s="246"/>
      <c r="C97" s="246"/>
      <c r="D97" s="246">
        <v>2903623</v>
      </c>
      <c r="E97" s="246">
        <v>10</v>
      </c>
      <c r="F97" s="246">
        <v>1865407</v>
      </c>
      <c r="G97" s="246">
        <v>1867329</v>
      </c>
      <c r="H97" s="2">
        <f t="shared" si="0"/>
        <v>0</v>
      </c>
      <c r="I97" s="2">
        <f t="shared" si="1"/>
        <v>0</v>
      </c>
      <c r="J97" s="2">
        <f t="shared" ref="J97:J106" si="8">D97*0.2646</f>
        <v>768298.65</v>
      </c>
      <c r="K97" s="2">
        <f t="shared" si="2"/>
        <v>2.16</v>
      </c>
      <c r="L97" s="2">
        <f t="shared" si="3"/>
        <v>768300.81</v>
      </c>
      <c r="M97" s="18"/>
    </row>
    <row r="98" spans="1:13" x14ac:dyDescent="0.2">
      <c r="A98" s="1" t="s">
        <v>60</v>
      </c>
      <c r="B98" s="7"/>
      <c r="C98" s="7"/>
      <c r="D98" s="7">
        <v>214822</v>
      </c>
      <c r="E98" s="7"/>
      <c r="F98" s="7">
        <v>0</v>
      </c>
      <c r="G98" s="7">
        <v>0</v>
      </c>
      <c r="H98" s="2">
        <f t="shared" si="0"/>
        <v>0</v>
      </c>
      <c r="I98" s="2">
        <f t="shared" si="1"/>
        <v>0</v>
      </c>
      <c r="J98" s="2">
        <f t="shared" si="8"/>
        <v>56841.9</v>
      </c>
      <c r="K98" s="2">
        <f t="shared" si="2"/>
        <v>0</v>
      </c>
      <c r="L98" s="2">
        <f t="shared" si="3"/>
        <v>56841.9</v>
      </c>
      <c r="M98" s="1"/>
    </row>
    <row r="99" spans="1:13" ht="13.5" customHeight="1" x14ac:dyDescent="0.2">
      <c r="A99" s="1" t="s">
        <v>461</v>
      </c>
      <c r="B99" s="7"/>
      <c r="C99" s="7"/>
      <c r="D99" s="7">
        <v>400</v>
      </c>
      <c r="E99" s="7"/>
      <c r="F99" s="7">
        <v>35953</v>
      </c>
      <c r="G99" s="7">
        <v>38009</v>
      </c>
      <c r="H99" s="2">
        <f t="shared" si="0"/>
        <v>0</v>
      </c>
      <c r="I99" s="2">
        <f t="shared" si="1"/>
        <v>0</v>
      </c>
      <c r="J99" s="2">
        <f t="shared" si="8"/>
        <v>105.84</v>
      </c>
      <c r="K99" s="2">
        <f t="shared" si="2"/>
        <v>0</v>
      </c>
      <c r="L99" s="2">
        <f t="shared" si="3"/>
        <v>105.84</v>
      </c>
      <c r="M99" s="1"/>
    </row>
    <row r="100" spans="1:13" ht="13.5" customHeight="1" x14ac:dyDescent="0.2">
      <c r="A100" s="1" t="s">
        <v>619</v>
      </c>
      <c r="B100" s="7"/>
      <c r="C100" s="7"/>
      <c r="D100" s="7">
        <v>0</v>
      </c>
      <c r="E100" s="7"/>
      <c r="F100" s="7">
        <v>191485</v>
      </c>
      <c r="G100" s="7">
        <v>191485</v>
      </c>
      <c r="H100" s="2">
        <f>B100*0.1862</f>
        <v>0</v>
      </c>
      <c r="I100" s="2">
        <f>C100*0.2058</f>
        <v>0</v>
      </c>
      <c r="J100" s="2">
        <f t="shared" si="8"/>
        <v>0</v>
      </c>
      <c r="K100" s="2">
        <f>E100*0.2156</f>
        <v>0</v>
      </c>
      <c r="L100" s="2">
        <f>+H100+I100+J100+K100</f>
        <v>0</v>
      </c>
      <c r="M100" s="1"/>
    </row>
    <row r="101" spans="1:13" s="20" customFormat="1" x14ac:dyDescent="0.2">
      <c r="A101" s="18" t="s">
        <v>61</v>
      </c>
      <c r="B101" s="246"/>
      <c r="C101" s="246"/>
      <c r="D101" s="246">
        <v>1525418</v>
      </c>
      <c r="E101" s="246"/>
      <c r="F101" s="246">
        <v>1056569</v>
      </c>
      <c r="G101" s="246">
        <v>1055460</v>
      </c>
      <c r="H101" s="2">
        <f t="shared" si="0"/>
        <v>0</v>
      </c>
      <c r="I101" s="2">
        <f t="shared" si="1"/>
        <v>0</v>
      </c>
      <c r="J101" s="2">
        <f t="shared" si="8"/>
        <v>403625.6</v>
      </c>
      <c r="K101" s="2">
        <f t="shared" si="2"/>
        <v>0</v>
      </c>
      <c r="L101" s="2">
        <f t="shared" si="3"/>
        <v>403625.6</v>
      </c>
      <c r="M101" s="18"/>
    </row>
    <row r="102" spans="1:13" s="20" customFormat="1" x14ac:dyDescent="0.2">
      <c r="A102" s="1" t="s">
        <v>462</v>
      </c>
      <c r="B102" s="7"/>
      <c r="C102" s="7"/>
      <c r="D102" s="7">
        <v>55524</v>
      </c>
      <c r="E102" s="7"/>
      <c r="F102" s="7">
        <v>120495</v>
      </c>
      <c r="G102" s="7">
        <v>105151</v>
      </c>
      <c r="H102" s="2">
        <f t="shared" si="0"/>
        <v>0</v>
      </c>
      <c r="I102" s="2">
        <f t="shared" si="1"/>
        <v>0</v>
      </c>
      <c r="J102" s="2">
        <f t="shared" si="8"/>
        <v>14691.65</v>
      </c>
      <c r="K102" s="2">
        <f t="shared" si="2"/>
        <v>0</v>
      </c>
      <c r="L102" s="2">
        <f t="shared" si="3"/>
        <v>14691.65</v>
      </c>
      <c r="M102" s="1"/>
    </row>
    <row r="103" spans="1:13" s="20" customFormat="1" x14ac:dyDescent="0.2">
      <c r="A103" s="18" t="s">
        <v>62</v>
      </c>
      <c r="B103" s="246"/>
      <c r="C103" s="246"/>
      <c r="D103" s="246">
        <v>44045</v>
      </c>
      <c r="E103" s="246"/>
      <c r="F103" s="246">
        <v>96466</v>
      </c>
      <c r="G103" s="246">
        <v>96466</v>
      </c>
      <c r="H103" s="2">
        <f t="shared" si="0"/>
        <v>0</v>
      </c>
      <c r="I103" s="2">
        <f t="shared" si="1"/>
        <v>0</v>
      </c>
      <c r="J103" s="2">
        <f t="shared" si="8"/>
        <v>11654.31</v>
      </c>
      <c r="K103" s="2">
        <f t="shared" si="2"/>
        <v>0</v>
      </c>
      <c r="L103" s="2">
        <f t="shared" si="3"/>
        <v>11654.31</v>
      </c>
      <c r="M103" s="18"/>
    </row>
    <row r="104" spans="1:13" x14ac:dyDescent="0.2">
      <c r="A104" s="1" t="s">
        <v>63</v>
      </c>
      <c r="B104" s="7"/>
      <c r="C104" s="7"/>
      <c r="D104" s="7">
        <v>1511</v>
      </c>
      <c r="E104" s="7"/>
      <c r="F104" s="7">
        <v>4018</v>
      </c>
      <c r="G104" s="7">
        <v>4018</v>
      </c>
      <c r="H104" s="2">
        <f t="shared" si="0"/>
        <v>0</v>
      </c>
      <c r="I104" s="2">
        <f t="shared" si="1"/>
        <v>0</v>
      </c>
      <c r="J104" s="2">
        <f t="shared" si="8"/>
        <v>399.81</v>
      </c>
      <c r="K104" s="2">
        <f t="shared" si="2"/>
        <v>0</v>
      </c>
      <c r="L104" s="2">
        <f t="shared" si="3"/>
        <v>399.81</v>
      </c>
      <c r="M104" s="1"/>
    </row>
    <row r="105" spans="1:13" x14ac:dyDescent="0.2">
      <c r="A105" s="1" t="s">
        <v>64</v>
      </c>
      <c r="B105" s="7"/>
      <c r="C105" s="7"/>
      <c r="D105" s="7">
        <v>17064</v>
      </c>
      <c r="E105" s="7"/>
      <c r="F105" s="7">
        <v>20056</v>
      </c>
      <c r="G105" s="7">
        <v>20056</v>
      </c>
      <c r="H105" s="2">
        <f t="shared" si="0"/>
        <v>0</v>
      </c>
      <c r="I105" s="2">
        <f t="shared" si="1"/>
        <v>0</v>
      </c>
      <c r="J105" s="2">
        <f t="shared" si="8"/>
        <v>4515.13</v>
      </c>
      <c r="K105" s="2">
        <f t="shared" si="2"/>
        <v>0</v>
      </c>
      <c r="L105" s="2">
        <f t="shared" si="3"/>
        <v>4515.13</v>
      </c>
      <c r="M105" s="1"/>
    </row>
    <row r="106" spans="1:13" s="20" customFormat="1" x14ac:dyDescent="0.2">
      <c r="A106" s="18" t="s">
        <v>721</v>
      </c>
      <c r="B106" s="246"/>
      <c r="C106" s="246"/>
      <c r="D106" s="246">
        <v>62107</v>
      </c>
      <c r="E106" s="246"/>
      <c r="F106" s="246">
        <v>0</v>
      </c>
      <c r="G106" s="246">
        <v>0</v>
      </c>
      <c r="H106" s="2">
        <f>B106*0.1862</f>
        <v>0</v>
      </c>
      <c r="I106" s="2">
        <f>C106*0.2058</f>
        <v>0</v>
      </c>
      <c r="J106" s="2">
        <f t="shared" si="8"/>
        <v>16433.509999999998</v>
      </c>
      <c r="K106" s="2">
        <f>E106*0.2156</f>
        <v>0</v>
      </c>
      <c r="L106" s="2">
        <f>+H106+I106+J106+K106</f>
        <v>16433.509999999998</v>
      </c>
      <c r="M106" s="18"/>
    </row>
    <row r="107" spans="1:13" s="20" customFormat="1" x14ac:dyDescent="0.2">
      <c r="A107" s="18" t="s">
        <v>634</v>
      </c>
      <c r="B107" s="246"/>
      <c r="C107" s="246"/>
      <c r="D107" s="246">
        <v>317386</v>
      </c>
      <c r="E107" s="246"/>
      <c r="F107" s="246">
        <v>0</v>
      </c>
      <c r="G107" s="246">
        <v>0</v>
      </c>
      <c r="H107" s="2">
        <f t="shared" si="0"/>
        <v>0</v>
      </c>
      <c r="I107" s="2">
        <f t="shared" si="1"/>
        <v>0</v>
      </c>
      <c r="J107" s="2">
        <f>D107*0.2646-0.01</f>
        <v>83980.33</v>
      </c>
      <c r="K107" s="2">
        <f t="shared" si="2"/>
        <v>0</v>
      </c>
      <c r="L107" s="2">
        <f t="shared" si="3"/>
        <v>83980.33</v>
      </c>
      <c r="M107" s="18"/>
    </row>
    <row r="108" spans="1:13" x14ac:dyDescent="0.2">
      <c r="A108" s="1" t="s">
        <v>734</v>
      </c>
      <c r="B108" s="7"/>
      <c r="C108" s="7"/>
      <c r="D108" s="7"/>
      <c r="E108" s="7"/>
      <c r="F108" s="7"/>
      <c r="G108" s="7"/>
      <c r="H108" s="2">
        <f t="shared" si="0"/>
        <v>0</v>
      </c>
      <c r="I108" s="2">
        <f t="shared" si="1"/>
        <v>0</v>
      </c>
      <c r="J108" s="2">
        <v>0.01</v>
      </c>
      <c r="K108" s="2">
        <f t="shared" si="2"/>
        <v>0</v>
      </c>
      <c r="L108" s="2">
        <f t="shared" si="3"/>
        <v>0.01</v>
      </c>
      <c r="M108" s="1"/>
    </row>
    <row r="109" spans="1:13" x14ac:dyDescent="0.2">
      <c r="A109" s="1" t="s">
        <v>743</v>
      </c>
      <c r="B109" s="7"/>
      <c r="C109" s="7"/>
      <c r="D109" s="7">
        <v>-51993</v>
      </c>
      <c r="E109" s="7"/>
      <c r="F109" s="7">
        <v>0</v>
      </c>
      <c r="G109" s="7">
        <v>0</v>
      </c>
      <c r="H109" s="2">
        <f t="shared" si="0"/>
        <v>0</v>
      </c>
      <c r="I109" s="2">
        <f t="shared" si="1"/>
        <v>0</v>
      </c>
      <c r="J109" s="2">
        <f>D109*0.2646</f>
        <v>-13757.35</v>
      </c>
      <c r="K109" s="2">
        <f t="shared" si="2"/>
        <v>0</v>
      </c>
      <c r="L109" s="2">
        <f t="shared" si="3"/>
        <v>-13757.35</v>
      </c>
      <c r="M109" s="1"/>
    </row>
    <row r="110" spans="1:13" s="20" customFormat="1" x14ac:dyDescent="0.2">
      <c r="A110" s="18" t="s">
        <v>569</v>
      </c>
      <c r="B110" s="246"/>
      <c r="C110" s="246"/>
      <c r="D110" s="246">
        <v>0</v>
      </c>
      <c r="E110" s="246"/>
      <c r="F110" s="246">
        <v>2618204</v>
      </c>
      <c r="G110" s="246">
        <v>2145997</v>
      </c>
      <c r="H110" s="2">
        <f t="shared" si="0"/>
        <v>0</v>
      </c>
      <c r="I110" s="2">
        <f t="shared" si="1"/>
        <v>0</v>
      </c>
      <c r="J110" s="2">
        <f>D110*0.2646</f>
        <v>0</v>
      </c>
      <c r="K110" s="2">
        <f t="shared" si="2"/>
        <v>0</v>
      </c>
      <c r="L110" s="2">
        <f t="shared" si="3"/>
        <v>0</v>
      </c>
      <c r="M110" s="18"/>
    </row>
    <row r="111" spans="1:13" s="20" customFormat="1" x14ac:dyDescent="0.2">
      <c r="A111" s="18" t="s">
        <v>441</v>
      </c>
      <c r="B111" s="246"/>
      <c r="C111" s="246"/>
      <c r="D111" s="246">
        <v>138255</v>
      </c>
      <c r="E111" s="246"/>
      <c r="F111" s="246">
        <v>0</v>
      </c>
      <c r="G111" s="246">
        <v>0</v>
      </c>
      <c r="H111" s="2">
        <f t="shared" ref="H111:H126" si="9">B111*0.1862</f>
        <v>0</v>
      </c>
      <c r="I111" s="2">
        <f t="shared" ref="I111:I126" si="10">C111*0.2058</f>
        <v>0</v>
      </c>
      <c r="J111" s="2">
        <f t="shared" ref="J111:J126" si="11">D111*0.2646</f>
        <v>36582.269999999997</v>
      </c>
      <c r="K111" s="2">
        <f t="shared" ref="K111:K126" si="12">E111*0.2156</f>
        <v>0</v>
      </c>
      <c r="L111" s="2">
        <f t="shared" ref="L111:L126" si="13">+H111+I111+J111+K111</f>
        <v>36582.269999999997</v>
      </c>
      <c r="M111" s="18"/>
    </row>
    <row r="112" spans="1:13" x14ac:dyDescent="0.2">
      <c r="A112" s="18" t="s">
        <v>66</v>
      </c>
      <c r="B112" s="246"/>
      <c r="C112" s="246"/>
      <c r="D112" s="246">
        <v>54226</v>
      </c>
      <c r="E112" s="246"/>
      <c r="F112" s="246">
        <v>0</v>
      </c>
      <c r="G112" s="246">
        <v>0</v>
      </c>
      <c r="H112" s="2">
        <f t="shared" si="9"/>
        <v>0</v>
      </c>
      <c r="I112" s="2">
        <f t="shared" si="10"/>
        <v>0</v>
      </c>
      <c r="J112" s="2">
        <f t="shared" si="11"/>
        <v>14348.2</v>
      </c>
      <c r="K112" s="2">
        <f t="shared" si="12"/>
        <v>0</v>
      </c>
      <c r="L112" s="2">
        <f t="shared" si="13"/>
        <v>14348.2</v>
      </c>
      <c r="M112" s="18"/>
    </row>
    <row r="113" spans="1:32" x14ac:dyDescent="0.2">
      <c r="A113" s="18" t="s">
        <v>477</v>
      </c>
      <c r="B113" s="246"/>
      <c r="C113" s="246"/>
      <c r="D113" s="246">
        <v>952726</v>
      </c>
      <c r="E113" s="246"/>
      <c r="F113" s="246">
        <v>118206</v>
      </c>
      <c r="G113" s="246">
        <v>118206</v>
      </c>
      <c r="H113" s="2">
        <f t="shared" si="9"/>
        <v>0</v>
      </c>
      <c r="I113" s="2">
        <f t="shared" si="10"/>
        <v>0</v>
      </c>
      <c r="J113" s="2">
        <f t="shared" si="11"/>
        <v>252091.3</v>
      </c>
      <c r="K113" s="2">
        <f t="shared" si="12"/>
        <v>0</v>
      </c>
      <c r="L113" s="2">
        <f t="shared" si="13"/>
        <v>252091.3</v>
      </c>
      <c r="M113" s="18"/>
    </row>
    <row r="114" spans="1:32" x14ac:dyDescent="0.2">
      <c r="A114" s="18" t="s">
        <v>83</v>
      </c>
      <c r="B114" s="246"/>
      <c r="C114" s="246"/>
      <c r="D114" s="246">
        <v>282080</v>
      </c>
      <c r="E114" s="246"/>
      <c r="F114" s="246">
        <v>0</v>
      </c>
      <c r="G114" s="246">
        <v>0</v>
      </c>
      <c r="H114" s="2">
        <f t="shared" si="9"/>
        <v>0</v>
      </c>
      <c r="I114" s="2">
        <f t="shared" si="10"/>
        <v>0</v>
      </c>
      <c r="J114" s="2">
        <f t="shared" si="11"/>
        <v>74638.37</v>
      </c>
      <c r="K114" s="2">
        <f t="shared" si="12"/>
        <v>0</v>
      </c>
      <c r="L114" s="2">
        <f t="shared" si="13"/>
        <v>74638.37</v>
      </c>
      <c r="M114" s="18"/>
    </row>
    <row r="115" spans="1:32" x14ac:dyDescent="0.2">
      <c r="A115" s="18" t="s">
        <v>352</v>
      </c>
      <c r="B115" s="246"/>
      <c r="C115" s="246"/>
      <c r="D115" s="246">
        <v>2290687</v>
      </c>
      <c r="E115" s="246"/>
      <c r="F115" s="246">
        <v>7364</v>
      </c>
      <c r="G115" s="246">
        <v>7364</v>
      </c>
      <c r="H115" s="2">
        <f t="shared" si="9"/>
        <v>0</v>
      </c>
      <c r="I115" s="2">
        <f t="shared" si="10"/>
        <v>0</v>
      </c>
      <c r="J115" s="2">
        <f t="shared" si="11"/>
        <v>606115.78</v>
      </c>
      <c r="K115" s="2">
        <f t="shared" si="12"/>
        <v>0</v>
      </c>
      <c r="L115" s="2">
        <f t="shared" si="13"/>
        <v>606115.78</v>
      </c>
      <c r="M115" s="18"/>
    </row>
    <row r="116" spans="1:32" s="20" customFormat="1" x14ac:dyDescent="0.2">
      <c r="A116" s="18" t="s">
        <v>365</v>
      </c>
      <c r="B116" s="246"/>
      <c r="C116" s="246"/>
      <c r="D116" s="246">
        <v>53264</v>
      </c>
      <c r="E116" s="246"/>
      <c r="F116" s="246">
        <v>255387</v>
      </c>
      <c r="G116" s="246">
        <v>255387</v>
      </c>
      <c r="H116" s="2">
        <f t="shared" si="9"/>
        <v>0</v>
      </c>
      <c r="I116" s="2">
        <f t="shared" si="10"/>
        <v>0</v>
      </c>
      <c r="J116" s="2">
        <f t="shared" si="11"/>
        <v>14093.65</v>
      </c>
      <c r="K116" s="2">
        <f t="shared" si="12"/>
        <v>0</v>
      </c>
      <c r="L116" s="2">
        <f t="shared" si="13"/>
        <v>14093.65</v>
      </c>
      <c r="M116" s="18"/>
    </row>
    <row r="117" spans="1:32" x14ac:dyDescent="0.2">
      <c r="A117" s="1" t="s">
        <v>68</v>
      </c>
      <c r="B117" s="7"/>
      <c r="C117" s="7"/>
      <c r="D117" s="7">
        <v>25068</v>
      </c>
      <c r="E117" s="7"/>
      <c r="F117" s="7">
        <v>115034</v>
      </c>
      <c r="G117" s="7">
        <v>115034</v>
      </c>
      <c r="H117" s="2">
        <f t="shared" si="9"/>
        <v>0</v>
      </c>
      <c r="I117" s="2">
        <f t="shared" si="10"/>
        <v>0</v>
      </c>
      <c r="J117" s="2">
        <f t="shared" si="11"/>
        <v>6632.99</v>
      </c>
      <c r="K117" s="2">
        <f t="shared" si="12"/>
        <v>0</v>
      </c>
      <c r="L117" s="2">
        <f t="shared" si="13"/>
        <v>6632.99</v>
      </c>
      <c r="M117" s="1"/>
    </row>
    <row r="118" spans="1:32" x14ac:dyDescent="0.2">
      <c r="A118" s="1" t="s">
        <v>570</v>
      </c>
      <c r="B118" s="7"/>
      <c r="C118" s="7"/>
      <c r="D118" s="7">
        <v>142338</v>
      </c>
      <c r="E118" s="7"/>
      <c r="F118" s="7">
        <v>0</v>
      </c>
      <c r="G118" s="7">
        <v>0</v>
      </c>
      <c r="H118" s="2">
        <f t="shared" si="9"/>
        <v>0</v>
      </c>
      <c r="I118" s="2">
        <f t="shared" si="10"/>
        <v>0</v>
      </c>
      <c r="J118" s="2">
        <f>D118*0.2646+0.01</f>
        <v>37662.639999999999</v>
      </c>
      <c r="K118" s="2">
        <f t="shared" si="12"/>
        <v>0</v>
      </c>
      <c r="L118" s="2">
        <f t="shared" si="13"/>
        <v>37662.639999999999</v>
      </c>
      <c r="M118" s="1"/>
    </row>
    <row r="119" spans="1:32" x14ac:dyDescent="0.2">
      <c r="A119" s="1" t="s">
        <v>442</v>
      </c>
      <c r="B119" s="7"/>
      <c r="C119" s="7"/>
      <c r="D119" s="7">
        <v>6013</v>
      </c>
      <c r="E119" s="7"/>
      <c r="F119" s="7">
        <v>0</v>
      </c>
      <c r="G119" s="7">
        <v>0</v>
      </c>
      <c r="H119" s="2">
        <f t="shared" si="9"/>
        <v>0</v>
      </c>
      <c r="I119" s="2">
        <f t="shared" si="10"/>
        <v>0</v>
      </c>
      <c r="J119" s="2">
        <f t="shared" si="11"/>
        <v>1591.04</v>
      </c>
      <c r="K119" s="2">
        <f t="shared" si="12"/>
        <v>0</v>
      </c>
      <c r="L119" s="2">
        <f t="shared" si="13"/>
        <v>1591.04</v>
      </c>
      <c r="M119" s="1"/>
    </row>
    <row r="120" spans="1:32" x14ac:dyDescent="0.2">
      <c r="A120" s="1" t="s">
        <v>695</v>
      </c>
      <c r="B120" s="7"/>
      <c r="C120" s="7"/>
      <c r="D120" s="7">
        <v>10066</v>
      </c>
      <c r="E120" s="7"/>
      <c r="F120" s="7">
        <v>0</v>
      </c>
      <c r="G120" s="7">
        <v>0</v>
      </c>
      <c r="H120" s="2">
        <f>B120*0.1862</f>
        <v>0</v>
      </c>
      <c r="I120" s="2">
        <f>C120*0.2058</f>
        <v>0</v>
      </c>
      <c r="J120" s="2">
        <f>D120*0.2646</f>
        <v>2663.46</v>
      </c>
      <c r="K120" s="2">
        <f>E120*0.2156</f>
        <v>0</v>
      </c>
      <c r="L120" s="2">
        <f>+H120+I120+J120+K120</f>
        <v>2663.46</v>
      </c>
      <c r="M120" s="1"/>
    </row>
    <row r="121" spans="1:32" x14ac:dyDescent="0.2">
      <c r="A121" s="1" t="s">
        <v>443</v>
      </c>
      <c r="B121" s="7"/>
      <c r="C121" s="7"/>
      <c r="D121" s="7">
        <v>2494</v>
      </c>
      <c r="E121" s="7"/>
      <c r="F121" s="7">
        <v>0</v>
      </c>
      <c r="G121" s="7">
        <v>0</v>
      </c>
      <c r="H121" s="2">
        <f t="shared" si="9"/>
        <v>0</v>
      </c>
      <c r="I121" s="2">
        <f t="shared" si="10"/>
        <v>0</v>
      </c>
      <c r="J121" s="2">
        <f t="shared" si="11"/>
        <v>659.91</v>
      </c>
      <c r="K121" s="2">
        <f t="shared" si="12"/>
        <v>0</v>
      </c>
      <c r="L121" s="2">
        <f t="shared" si="13"/>
        <v>659.91</v>
      </c>
      <c r="M121" s="1"/>
    </row>
    <row r="122" spans="1:32" x14ac:dyDescent="0.2">
      <c r="A122" s="1" t="s">
        <v>84</v>
      </c>
      <c r="B122" s="7"/>
      <c r="C122" s="7"/>
      <c r="D122" s="7">
        <v>2527</v>
      </c>
      <c r="E122" s="7"/>
      <c r="F122" s="7">
        <v>4208</v>
      </c>
      <c r="G122" s="7">
        <v>4208</v>
      </c>
      <c r="H122" s="2">
        <f t="shared" si="9"/>
        <v>0</v>
      </c>
      <c r="I122" s="2">
        <f t="shared" si="10"/>
        <v>0</v>
      </c>
      <c r="J122" s="2">
        <f t="shared" si="11"/>
        <v>668.64</v>
      </c>
      <c r="K122" s="2">
        <f t="shared" si="12"/>
        <v>0</v>
      </c>
      <c r="L122" s="2">
        <f t="shared" si="13"/>
        <v>668.64</v>
      </c>
      <c r="M122" s="1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x14ac:dyDescent="0.2">
      <c r="A123" s="18" t="s">
        <v>571</v>
      </c>
      <c r="B123" s="246"/>
      <c r="C123" s="246"/>
      <c r="D123" s="246">
        <v>7559</v>
      </c>
      <c r="E123" s="246"/>
      <c r="F123" s="246">
        <v>117861</v>
      </c>
      <c r="G123" s="246">
        <v>117861</v>
      </c>
      <c r="H123" s="2">
        <f t="shared" si="9"/>
        <v>0</v>
      </c>
      <c r="I123" s="2">
        <f t="shared" si="10"/>
        <v>0</v>
      </c>
      <c r="J123" s="2">
        <f>D123*0.2646+0.01</f>
        <v>2000.12</v>
      </c>
      <c r="K123" s="2">
        <f t="shared" si="12"/>
        <v>0</v>
      </c>
      <c r="L123" s="2">
        <f t="shared" si="13"/>
        <v>2000.12</v>
      </c>
      <c r="M123" s="18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</row>
    <row r="124" spans="1:32" x14ac:dyDescent="0.2">
      <c r="A124" s="1" t="s">
        <v>775</v>
      </c>
      <c r="B124" s="7"/>
      <c r="C124" s="7"/>
      <c r="D124" s="7">
        <v>-3845</v>
      </c>
      <c r="E124" s="7"/>
      <c r="F124" s="7"/>
      <c r="G124" s="7"/>
      <c r="H124" s="2">
        <f>B124*0.1862</f>
        <v>0</v>
      </c>
      <c r="I124" s="2">
        <f>C124*0.2058</f>
        <v>0</v>
      </c>
      <c r="J124" s="2">
        <v>0</v>
      </c>
      <c r="K124" s="2">
        <f>E124*0.2156</f>
        <v>0</v>
      </c>
      <c r="L124" s="2">
        <f>+H124+I124+J124+K124-1038.15</f>
        <v>-1038.1500000000001</v>
      </c>
      <c r="M124" s="1"/>
    </row>
    <row r="125" spans="1:32" x14ac:dyDescent="0.2">
      <c r="A125" s="18" t="s">
        <v>70</v>
      </c>
      <c r="B125" s="246"/>
      <c r="C125" s="246"/>
      <c r="D125" s="246">
        <v>384327</v>
      </c>
      <c r="E125" s="246">
        <v>2241</v>
      </c>
      <c r="F125" s="246">
        <v>0</v>
      </c>
      <c r="G125" s="246">
        <v>0</v>
      </c>
      <c r="H125" s="2">
        <f t="shared" si="9"/>
        <v>0</v>
      </c>
      <c r="I125" s="2">
        <f t="shared" si="10"/>
        <v>0</v>
      </c>
      <c r="J125" s="2">
        <f>D125*0.2646+0.01</f>
        <v>101692.93</v>
      </c>
      <c r="K125" s="2">
        <f t="shared" si="12"/>
        <v>483.16</v>
      </c>
      <c r="L125" s="2">
        <f t="shared" si="13"/>
        <v>102176.09</v>
      </c>
      <c r="M125" s="18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</row>
    <row r="126" spans="1:32" x14ac:dyDescent="0.2">
      <c r="A126" s="1" t="s">
        <v>71</v>
      </c>
      <c r="B126" s="7"/>
      <c r="C126" s="7"/>
      <c r="D126" s="7">
        <v>63721</v>
      </c>
      <c r="E126" s="7"/>
      <c r="F126" s="7">
        <v>71238</v>
      </c>
      <c r="G126" s="7">
        <v>80150</v>
      </c>
      <c r="H126" s="2">
        <f t="shared" si="9"/>
        <v>0</v>
      </c>
      <c r="I126" s="2">
        <f t="shared" si="10"/>
        <v>0</v>
      </c>
      <c r="J126" s="2">
        <f t="shared" si="11"/>
        <v>16860.580000000002</v>
      </c>
      <c r="K126" s="2">
        <f t="shared" si="12"/>
        <v>0</v>
      </c>
      <c r="L126" s="2">
        <f t="shared" si="13"/>
        <v>16860.580000000002</v>
      </c>
      <c r="M126" s="1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x14ac:dyDescent="0.2">
      <c r="A127" s="1" t="s">
        <v>612</v>
      </c>
      <c r="B127" s="7"/>
      <c r="C127" s="7"/>
      <c r="D127" s="7">
        <v>0</v>
      </c>
      <c r="E127" s="7"/>
      <c r="F127" s="7">
        <v>34844</v>
      </c>
      <c r="G127" s="7">
        <v>34844</v>
      </c>
      <c r="H127" s="2">
        <f>B127*0.1862</f>
        <v>0</v>
      </c>
      <c r="I127" s="2">
        <f>C127*0.2058</f>
        <v>0</v>
      </c>
      <c r="J127" s="2">
        <f>D127*0.2646</f>
        <v>0</v>
      </c>
      <c r="K127" s="2">
        <f>E127*0.2156</f>
        <v>0</v>
      </c>
      <c r="L127" s="2">
        <f>+H127+I127+J127+K127</f>
        <v>0</v>
      </c>
      <c r="M127" s="1"/>
    </row>
    <row r="128" spans="1:32" x14ac:dyDescent="0.2">
      <c r="A128" s="1" t="s">
        <v>363</v>
      </c>
      <c r="B128" s="7"/>
      <c r="C128" s="7"/>
      <c r="D128" s="7">
        <v>18815</v>
      </c>
      <c r="E128" s="7"/>
      <c r="F128" s="7">
        <v>0</v>
      </c>
      <c r="G128" s="7">
        <v>0</v>
      </c>
      <c r="H128" s="2">
        <f>B128*0.1862</f>
        <v>0</v>
      </c>
      <c r="I128" s="2">
        <f>C128*0.2058</f>
        <v>0</v>
      </c>
      <c r="J128" s="2">
        <f>D128*0.2646</f>
        <v>4978.45</v>
      </c>
      <c r="K128" s="2">
        <f>E128*0.2156</f>
        <v>0</v>
      </c>
      <c r="L128" s="2">
        <f>+H128+I128+J128+K128</f>
        <v>4978.45</v>
      </c>
      <c r="M128" s="1"/>
    </row>
    <row r="129" spans="1:13" x14ac:dyDescent="0.2">
      <c r="A129" s="1" t="s">
        <v>725</v>
      </c>
      <c r="B129" s="7"/>
      <c r="C129" s="7"/>
      <c r="D129" s="7">
        <v>0</v>
      </c>
      <c r="E129" s="7"/>
      <c r="F129" s="7">
        <v>12028</v>
      </c>
      <c r="G129" s="7">
        <v>12028</v>
      </c>
      <c r="H129" s="2">
        <f>B129*0.1862</f>
        <v>0</v>
      </c>
      <c r="I129" s="2">
        <f>C129*0.2058</f>
        <v>0</v>
      </c>
      <c r="J129" s="2">
        <f>D129*0.2646</f>
        <v>0</v>
      </c>
      <c r="K129" s="2">
        <f>E129*0.2156</f>
        <v>0</v>
      </c>
      <c r="L129" s="2">
        <f>+H129+I129+J129+K129</f>
        <v>0</v>
      </c>
      <c r="M129" s="1"/>
    </row>
    <row r="130" spans="1:13" x14ac:dyDescent="0.2">
      <c r="A130" s="10"/>
      <c r="B130" s="32"/>
      <c r="C130" s="32"/>
      <c r="D130" s="32"/>
      <c r="E130" s="32"/>
      <c r="F130" s="32"/>
      <c r="G130" s="32"/>
      <c r="H130" s="33"/>
      <c r="I130" s="33"/>
      <c r="J130" s="33"/>
      <c r="K130" s="33"/>
      <c r="L130" s="33"/>
      <c r="M130" s="90"/>
    </row>
    <row r="131" spans="1:13" s="142" customFormat="1" x14ac:dyDescent="0.2">
      <c r="A131" s="129" t="s">
        <v>72</v>
      </c>
      <c r="B131" s="285">
        <f t="shared" ref="B131:G131" si="14">SUM(B12:B130)</f>
        <v>0</v>
      </c>
      <c r="C131" s="285">
        <f t="shared" si="14"/>
        <v>-279</v>
      </c>
      <c r="D131" s="285">
        <f t="shared" si="14"/>
        <v>30084982</v>
      </c>
      <c r="E131" s="285">
        <f t="shared" si="14"/>
        <v>85862</v>
      </c>
      <c r="F131" s="285">
        <f t="shared" si="14"/>
        <v>20104636</v>
      </c>
      <c r="G131" s="285">
        <f t="shared" si="14"/>
        <v>20094599</v>
      </c>
      <c r="H131" s="286">
        <f>SUM(H13:H130)</f>
        <v>0</v>
      </c>
      <c r="I131" s="286">
        <f>SUM(I13:I130)</f>
        <v>-57.42</v>
      </c>
      <c r="J131" s="286">
        <f>SUM(J13:J130)</f>
        <v>7982940.3499999996</v>
      </c>
      <c r="K131" s="286">
        <f>SUM(K13:K130)</f>
        <v>18511.849999999999</v>
      </c>
      <c r="L131" s="286">
        <f>SUM(L13:L130)</f>
        <v>7993514.7599999998</v>
      </c>
      <c r="M131" s="285"/>
    </row>
    <row r="132" spans="1:13" hidden="1" x14ac:dyDescent="0.2">
      <c r="A132" s="128" t="s">
        <v>596</v>
      </c>
      <c r="B132" s="7">
        <v>0</v>
      </c>
      <c r="C132" s="7"/>
      <c r="D132" s="7"/>
      <c r="E132" s="7"/>
      <c r="F132" s="7"/>
      <c r="G132" s="7"/>
      <c r="H132" s="287"/>
      <c r="I132" s="287">
        <v>-57.42</v>
      </c>
      <c r="J132" s="287">
        <v>7982940.3499999996</v>
      </c>
      <c r="K132" s="287">
        <v>18511.849999999999</v>
      </c>
      <c r="L132" s="287">
        <v>8023911.8399999999</v>
      </c>
      <c r="M132" s="1"/>
    </row>
    <row r="133" spans="1:13" hidden="1" x14ac:dyDescent="0.2">
      <c r="A133" s="128" t="s">
        <v>692</v>
      </c>
      <c r="B133" s="7"/>
      <c r="C133" s="7"/>
      <c r="D133" s="7"/>
      <c r="E133" s="7"/>
      <c r="F133" s="7"/>
      <c r="G133" s="7"/>
      <c r="H133" s="287"/>
      <c r="I133" s="287"/>
      <c r="J133" s="287"/>
      <c r="K133" s="287"/>
      <c r="L133" s="287">
        <v>-30397.08</v>
      </c>
      <c r="M133" s="1"/>
    </row>
    <row r="134" spans="1:13" hidden="1" x14ac:dyDescent="0.2">
      <c r="A134" s="128" t="s">
        <v>762</v>
      </c>
      <c r="B134" s="7"/>
      <c r="C134" s="7"/>
      <c r="D134" s="7"/>
      <c r="E134" s="7"/>
      <c r="F134" s="7"/>
      <c r="G134" s="7"/>
      <c r="H134" s="287"/>
      <c r="I134" s="287"/>
      <c r="J134" s="287"/>
      <c r="K134" s="287"/>
      <c r="L134" s="287">
        <v>22517.06</v>
      </c>
      <c r="M134" s="1"/>
    </row>
    <row r="135" spans="1:13" ht="13.5" hidden="1" thickBot="1" x14ac:dyDescent="0.25">
      <c r="A135" s="129" t="s">
        <v>311</v>
      </c>
      <c r="B135" s="34">
        <f t="shared" ref="B135:L135" si="15">+B131-B132-B133</f>
        <v>0</v>
      </c>
      <c r="C135" s="34">
        <f t="shared" si="15"/>
        <v>-279</v>
      </c>
      <c r="D135" s="34">
        <f t="shared" si="15"/>
        <v>30084982</v>
      </c>
      <c r="E135" s="34">
        <f t="shared" si="15"/>
        <v>85862</v>
      </c>
      <c r="F135" s="34">
        <f t="shared" si="15"/>
        <v>20104636</v>
      </c>
      <c r="G135" s="34">
        <f t="shared" si="15"/>
        <v>20094599</v>
      </c>
      <c r="H135" s="288">
        <f t="shared" si="15"/>
        <v>0</v>
      </c>
      <c r="I135" s="288">
        <f t="shared" si="15"/>
        <v>0</v>
      </c>
      <c r="J135" s="288">
        <f t="shared" si="15"/>
        <v>0</v>
      </c>
      <c r="K135" s="288">
        <f t="shared" si="15"/>
        <v>0</v>
      </c>
      <c r="L135" s="288">
        <f t="shared" si="15"/>
        <v>0</v>
      </c>
      <c r="M135" s="1"/>
    </row>
    <row r="136" spans="1:13" hidden="1" x14ac:dyDescent="0.2">
      <c r="A136" s="1"/>
      <c r="B136" s="7" t="s">
        <v>82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>
        <f>'s6, s6a'!L28</f>
        <v>7239.65</v>
      </c>
      <c r="M137" s="2"/>
    </row>
    <row r="138" spans="1:13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1"/>
    </row>
    <row r="139" spans="1:13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79">
        <v>7239.65</v>
      </c>
      <c r="M139" s="1"/>
    </row>
    <row r="140" spans="1:13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</row>
    <row r="141" spans="1:13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>
        <f>ST12.65+_ST5+ST5.35</f>
        <v>20401387.890000001</v>
      </c>
      <c r="K141" s="1"/>
      <c r="L141" s="2">
        <f>+L135+L137-L139</f>
        <v>0</v>
      </c>
      <c r="M141" s="1"/>
    </row>
    <row r="142" spans="1:13" hidden="1" x14ac:dyDescent="0.2">
      <c r="A142" s="1"/>
      <c r="B142" s="1"/>
      <c r="C142" s="1"/>
      <c r="D142" s="1"/>
      <c r="E142" s="1"/>
      <c r="F142" s="1"/>
      <c r="G142" s="1"/>
      <c r="H142" s="1" t="s">
        <v>499</v>
      </c>
      <c r="I142" s="1"/>
      <c r="J142" s="235">
        <v>20401387.890000001</v>
      </c>
      <c r="K142" s="1"/>
      <c r="L142" s="1"/>
      <c r="M142" s="1"/>
    </row>
    <row r="143" spans="1:13" hidden="1" x14ac:dyDescent="0.2">
      <c r="J143" s="223">
        <f>J141-J142</f>
        <v>0</v>
      </c>
    </row>
    <row r="144" spans="1:13" hidden="1" x14ac:dyDescent="0.2"/>
    <row r="145" spans="13:13" hidden="1" x14ac:dyDescent="0.2"/>
    <row r="146" spans="13:13" hidden="1" x14ac:dyDescent="0.2"/>
    <row r="147" spans="13:13" hidden="1" x14ac:dyDescent="0.2"/>
    <row r="148" spans="13:13" hidden="1" x14ac:dyDescent="0.2"/>
    <row r="149" spans="13:13" hidden="1" x14ac:dyDescent="0.2">
      <c r="M149" s="1" t="s">
        <v>80</v>
      </c>
    </row>
    <row r="150" spans="13:13" hidden="1" x14ac:dyDescent="0.2"/>
    <row r="151" spans="13:13" hidden="1" x14ac:dyDescent="0.2"/>
    <row r="152" spans="13:13" hidden="1" x14ac:dyDescent="0.2"/>
    <row r="153" spans="13:13" hidden="1" x14ac:dyDescent="0.2"/>
    <row r="154" spans="13:13" hidden="1" x14ac:dyDescent="0.2"/>
    <row r="155" spans="13:13" hidden="1" x14ac:dyDescent="0.2"/>
    <row r="156" spans="13:13" hidden="1" x14ac:dyDescent="0.2"/>
    <row r="157" spans="13:13" hidden="1" x14ac:dyDescent="0.2"/>
    <row r="158" spans="13:13" hidden="1" x14ac:dyDescent="0.2"/>
    <row r="159" spans="13:13" hidden="1" x14ac:dyDescent="0.2"/>
    <row r="160" spans="13:13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zoomScaleNormal="100" workbookViewId="0">
      <selection activeCell="F1" sqref="F1"/>
    </sheetView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1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509</v>
      </c>
    </row>
    <row r="2" spans="1:7" x14ac:dyDescent="0.2">
      <c r="A2" t="s">
        <v>510</v>
      </c>
      <c r="B2" t="str">
        <f>+'s1'!$A$2</f>
        <v>APRIL 2004</v>
      </c>
      <c r="C2" t="s">
        <v>561</v>
      </c>
      <c r="G2" t="s">
        <v>12</v>
      </c>
    </row>
    <row r="3" spans="1:7" x14ac:dyDescent="0.2">
      <c r="C3" t="s">
        <v>562</v>
      </c>
      <c r="D3" s="172" t="s">
        <v>557</v>
      </c>
      <c r="E3" t="s">
        <v>558</v>
      </c>
      <c r="F3" t="s">
        <v>560</v>
      </c>
      <c r="G3" t="s">
        <v>559</v>
      </c>
    </row>
    <row r="4" spans="1:7" x14ac:dyDescent="0.2">
      <c r="A4" s="257">
        <v>3921</v>
      </c>
      <c r="B4" s="258" t="s">
        <v>530</v>
      </c>
      <c r="C4" s="162">
        <f>-SUM(C6:C8)/2</f>
        <v>129283.72</v>
      </c>
      <c r="G4" s="11">
        <f>+C4+E4</f>
        <v>129283.72</v>
      </c>
    </row>
    <row r="5" spans="1:7" x14ac:dyDescent="0.2">
      <c r="A5" s="257">
        <v>3922</v>
      </c>
      <c r="B5" s="258" t="s">
        <v>531</v>
      </c>
      <c r="C5" s="162">
        <f>+C4</f>
        <v>129283.72</v>
      </c>
      <c r="G5" s="11">
        <f>+C5+E5</f>
        <v>129283.72</v>
      </c>
    </row>
    <row r="6" spans="1:7" x14ac:dyDescent="0.2">
      <c r="A6" s="257">
        <v>3924</v>
      </c>
      <c r="B6" s="258" t="s">
        <v>554</v>
      </c>
      <c r="C6" s="259">
        <f>-'s4'!C8</f>
        <v>-142246.49</v>
      </c>
      <c r="E6" s="11">
        <f>-'s4'!D8</f>
        <v>-57541.3</v>
      </c>
      <c r="F6" s="11">
        <f>+'s4'!F8</f>
        <v>0</v>
      </c>
      <c r="G6" s="11">
        <f>+C6+E6+F6</f>
        <v>-199787.79</v>
      </c>
    </row>
    <row r="7" spans="1:7" x14ac:dyDescent="0.2">
      <c r="A7" s="257">
        <v>3925</v>
      </c>
      <c r="B7" s="258" t="s">
        <v>555</v>
      </c>
      <c r="C7" s="259">
        <f>-'s4'!C9</f>
        <v>-56210.23</v>
      </c>
      <c r="E7" s="11">
        <f>-'s4'!D9</f>
        <v>-22743.57</v>
      </c>
      <c r="F7" s="11">
        <f>+'s4'!F9</f>
        <v>0</v>
      </c>
      <c r="G7" s="11">
        <f>+C7+E7+F7</f>
        <v>-78953.8</v>
      </c>
    </row>
    <row r="8" spans="1:7" x14ac:dyDescent="0.2">
      <c r="A8" s="257">
        <v>3926</v>
      </c>
      <c r="B8" s="258" t="s">
        <v>556</v>
      </c>
      <c r="C8" s="259">
        <f>-LessWP535</f>
        <v>-60110.720000000001</v>
      </c>
      <c r="E8" s="11">
        <f>-'s4'!D10</f>
        <v>-24335.55</v>
      </c>
      <c r="F8" s="11">
        <f>-LessAF535</f>
        <v>-15805.83</v>
      </c>
      <c r="G8" s="11">
        <f>+C8+E8+F8</f>
        <v>-100252.1</v>
      </c>
    </row>
    <row r="9" spans="1:7" x14ac:dyDescent="0.2">
      <c r="A9" t="s">
        <v>532</v>
      </c>
      <c r="E9" s="11" t="s">
        <v>82</v>
      </c>
      <c r="G9" s="11" t="s">
        <v>82</v>
      </c>
    </row>
    <row r="10" spans="1:7" x14ac:dyDescent="0.2">
      <c r="A10" t="s">
        <v>529</v>
      </c>
      <c r="B10" t="str">
        <f>+'s1'!$A$2</f>
        <v>APRIL 2004</v>
      </c>
    </row>
    <row r="11" spans="1:7" x14ac:dyDescent="0.2">
      <c r="D11" s="172"/>
    </row>
    <row r="12" spans="1:7" x14ac:dyDescent="0.2">
      <c r="A12" s="260">
        <v>3904</v>
      </c>
      <c r="B12" s="261" t="s">
        <v>511</v>
      </c>
      <c r="C12" s="261"/>
      <c r="D12" s="151">
        <f>+'s3, s3b, s3d'!E121</f>
        <v>104772.36</v>
      </c>
      <c r="E12" s="11">
        <f>-'s4'!D15-'s4'!D16</f>
        <v>-149.84</v>
      </c>
      <c r="F12" s="151">
        <f>-SUM('s4'!F15:F16)</f>
        <v>-1340.67</v>
      </c>
      <c r="G12" s="162">
        <f>+D12+E12+F12</f>
        <v>103281.85</v>
      </c>
    </row>
    <row r="13" spans="1:7" x14ac:dyDescent="0.2">
      <c r="A13" s="260">
        <v>3905</v>
      </c>
      <c r="B13" s="261" t="s">
        <v>512</v>
      </c>
      <c r="C13" s="261"/>
      <c r="D13" s="151">
        <f>+'s3, s3b, s3d'!E122</f>
        <v>80143.09</v>
      </c>
      <c r="E13" s="11">
        <f>-'s4'!D17-'s4'!D18</f>
        <v>-2871.99</v>
      </c>
      <c r="F13" s="151">
        <f>-SUM('s4'!F17:F18)</f>
        <v>-150.43</v>
      </c>
      <c r="G13" s="162">
        <f t="shared" ref="G13:G52" si="0">+D13+E13+F13</f>
        <v>77120.67</v>
      </c>
    </row>
    <row r="14" spans="1:7" x14ac:dyDescent="0.2">
      <c r="A14" s="260">
        <v>3906</v>
      </c>
      <c r="B14" s="261" t="s">
        <v>513</v>
      </c>
      <c r="C14" s="261"/>
      <c r="D14" s="151">
        <f>+'s3, s3b, s3d'!E125</f>
        <v>1581684.12</v>
      </c>
      <c r="E14" s="11">
        <f>-'s4'!D19-'s4'!D20</f>
        <v>-7137.91</v>
      </c>
      <c r="F14" s="151">
        <f>-SUM('s4'!F19:F20)</f>
        <v>-26716.84</v>
      </c>
      <c r="G14" s="162">
        <f t="shared" si="0"/>
        <v>1547829.37</v>
      </c>
    </row>
    <row r="15" spans="1:7" x14ac:dyDescent="0.2">
      <c r="A15" s="260">
        <v>3907</v>
      </c>
      <c r="B15" s="261" t="s">
        <v>514</v>
      </c>
      <c r="C15" s="261"/>
      <c r="D15" s="151">
        <f>+'s3, s3b, s3d'!E132</f>
        <v>81780.98</v>
      </c>
      <c r="E15" s="11">
        <f>-'s4'!D21-'s4'!D22</f>
        <v>-122.88</v>
      </c>
      <c r="F15" s="151">
        <f>-SUM('s4'!F21:F22)</f>
        <v>-394.06</v>
      </c>
      <c r="G15" s="162">
        <f t="shared" si="0"/>
        <v>81264.039999999994</v>
      </c>
    </row>
    <row r="16" spans="1:7" x14ac:dyDescent="0.2">
      <c r="A16" s="260">
        <v>3908</v>
      </c>
      <c r="B16" s="261" t="s">
        <v>515</v>
      </c>
      <c r="C16" s="261"/>
      <c r="D16" s="151">
        <f>+'s3, s3b, s3d'!E133</f>
        <v>186920.27</v>
      </c>
      <c r="E16" s="11">
        <f>-'s4'!D23-'s4'!D24</f>
        <v>-1029.33</v>
      </c>
      <c r="F16" s="151">
        <f>-SUM('s4'!F23:F24)</f>
        <v>-421.69</v>
      </c>
      <c r="G16" s="162">
        <f t="shared" si="0"/>
        <v>185469.25</v>
      </c>
    </row>
    <row r="17" spans="1:7" x14ac:dyDescent="0.2">
      <c r="A17" s="260">
        <v>3909</v>
      </c>
      <c r="B17" s="261" t="s">
        <v>516</v>
      </c>
      <c r="C17" s="261"/>
      <c r="D17" s="151">
        <f>+'s3, s3b, s3d'!E139</f>
        <v>46134.89</v>
      </c>
      <c r="E17" s="11">
        <f>-'s4'!D25-'s4'!D26</f>
        <v>0</v>
      </c>
      <c r="F17" s="151">
        <f>-SUM('s4'!F25:F26)</f>
        <v>-6.36</v>
      </c>
      <c r="G17" s="162">
        <f t="shared" si="0"/>
        <v>46128.53</v>
      </c>
    </row>
    <row r="18" spans="1:7" x14ac:dyDescent="0.2">
      <c r="A18" s="260">
        <v>3910</v>
      </c>
      <c r="B18" s="261" t="s">
        <v>517</v>
      </c>
      <c r="C18" s="261"/>
      <c r="D18" s="151">
        <f>+'s3, s3b, s3d'!E140</f>
        <v>59864.73</v>
      </c>
      <c r="E18" s="11">
        <f>-'s4'!D27-'s4'!D28</f>
        <v>-84.18</v>
      </c>
      <c r="F18" s="151">
        <f>-SUM('s4'!F27:F28)</f>
        <v>-19.87</v>
      </c>
      <c r="G18" s="162">
        <f t="shared" si="0"/>
        <v>59760.68</v>
      </c>
    </row>
    <row r="19" spans="1:7" x14ac:dyDescent="0.2">
      <c r="A19" s="260">
        <v>3911</v>
      </c>
      <c r="B19" s="261" t="s">
        <v>518</v>
      </c>
      <c r="C19" s="261"/>
      <c r="D19" s="151">
        <f>+'s3, s3b, s3d'!E141</f>
        <v>122883.31</v>
      </c>
      <c r="E19" s="11">
        <f>-'s4'!D29-'s4'!D30</f>
        <v>-524.79</v>
      </c>
      <c r="F19" s="151">
        <f>-SUM('s4'!F29:F30)</f>
        <v>-600.67999999999995</v>
      </c>
      <c r="G19" s="162">
        <f t="shared" si="0"/>
        <v>121757.84</v>
      </c>
    </row>
    <row r="20" spans="1:7" x14ac:dyDescent="0.2">
      <c r="A20" s="260">
        <v>3912</v>
      </c>
      <c r="B20" s="261" t="s">
        <v>519</v>
      </c>
      <c r="C20" s="261"/>
      <c r="D20" s="151">
        <f>+'s3, s3b, s3d'!E144</f>
        <v>79923.7</v>
      </c>
      <c r="E20" s="11">
        <f>-'s4'!D31-'s4'!D32</f>
        <v>-393.52</v>
      </c>
      <c r="F20" s="151">
        <f>-SUM('s4'!F31:F32)</f>
        <v>-130.19</v>
      </c>
      <c r="G20" s="162">
        <f t="shared" si="0"/>
        <v>79399.990000000005</v>
      </c>
    </row>
    <row r="21" spans="1:7" x14ac:dyDescent="0.2">
      <c r="A21" s="260">
        <v>3913</v>
      </c>
      <c r="B21" s="261" t="s">
        <v>520</v>
      </c>
      <c r="C21" s="261"/>
      <c r="D21" s="151">
        <f>+'s3, s3b, s3d'!E147</f>
        <v>125872.45</v>
      </c>
      <c r="E21" s="11">
        <f>-'s4'!D33-'s4'!D34</f>
        <v>-39.75</v>
      </c>
      <c r="F21" s="151">
        <f>-SUM('s4'!F33:F34)</f>
        <v>-32.56</v>
      </c>
      <c r="G21" s="162">
        <f t="shared" si="0"/>
        <v>125800.14</v>
      </c>
    </row>
    <row r="22" spans="1:7" x14ac:dyDescent="0.2">
      <c r="A22" s="260">
        <v>3914</v>
      </c>
      <c r="B22" s="261" t="s">
        <v>521</v>
      </c>
      <c r="C22" s="261"/>
      <c r="D22" s="151">
        <f>+'s3, s3b, s3d'!E150</f>
        <v>66924.31</v>
      </c>
      <c r="E22" s="11">
        <f>-'s4'!D35-'s4'!D36</f>
        <v>-5707.98</v>
      </c>
      <c r="F22" s="151">
        <f>-SUM('s4'!F35:F36)</f>
        <v>-646.53</v>
      </c>
      <c r="G22" s="162">
        <f t="shared" si="0"/>
        <v>60569.8</v>
      </c>
    </row>
    <row r="23" spans="1:7" x14ac:dyDescent="0.2">
      <c r="A23" s="260">
        <v>3915</v>
      </c>
      <c r="B23" s="261" t="s">
        <v>522</v>
      </c>
      <c r="C23" s="261"/>
      <c r="D23" s="151">
        <f>+'s3, s3b, s3d'!E154</f>
        <v>46219.13</v>
      </c>
      <c r="E23" s="11">
        <f>-'s4'!D37-'s4'!D38</f>
        <v>-3451.47</v>
      </c>
      <c r="F23" s="151">
        <f>-SUM('s4'!F37:F38)</f>
        <v>-126.41</v>
      </c>
      <c r="G23" s="162">
        <f t="shared" si="0"/>
        <v>42641.25</v>
      </c>
    </row>
    <row r="24" spans="1:7" x14ac:dyDescent="0.2">
      <c r="A24" s="260">
        <v>3916</v>
      </c>
      <c r="B24" s="261" t="s">
        <v>523</v>
      </c>
      <c r="C24" s="261"/>
      <c r="D24" s="151">
        <f>+'s3, s3b, s3d'!E155</f>
        <v>208780.14</v>
      </c>
      <c r="E24" s="11">
        <f>-'s4'!D39-'s4'!D40</f>
        <v>-284.05</v>
      </c>
      <c r="F24" s="151">
        <f>-SUM('s4'!F39:F40)</f>
        <v>-424.95</v>
      </c>
      <c r="G24" s="162">
        <f t="shared" si="0"/>
        <v>208071.14</v>
      </c>
    </row>
    <row r="25" spans="1:7" x14ac:dyDescent="0.2">
      <c r="A25" s="260">
        <v>3917</v>
      </c>
      <c r="B25" s="261" t="s">
        <v>524</v>
      </c>
      <c r="C25" s="261"/>
      <c r="D25" s="151">
        <f>+'s3, s3b, s3d'!E160</f>
        <v>87567.96</v>
      </c>
      <c r="E25" s="11">
        <f>-'s4'!D41-'s4'!D42</f>
        <v>-70.86</v>
      </c>
      <c r="F25" s="151">
        <f>-SUM('s4'!F41:F42)</f>
        <v>-115.03</v>
      </c>
      <c r="G25" s="162">
        <f t="shared" si="0"/>
        <v>87382.07</v>
      </c>
    </row>
    <row r="26" spans="1:7" x14ac:dyDescent="0.2">
      <c r="A26" s="260">
        <v>3918</v>
      </c>
      <c r="B26" s="261" t="s">
        <v>525</v>
      </c>
      <c r="C26" s="261"/>
      <c r="D26" s="151">
        <f>+'s3, s3b, s3d'!E163</f>
        <v>7019.74</v>
      </c>
      <c r="E26" s="11">
        <f>-'s4'!D43-'s4'!D44</f>
        <v>0</v>
      </c>
      <c r="F26" s="151">
        <f>-SUM('s4'!F43:F44)</f>
        <v>-4.9000000000000004</v>
      </c>
      <c r="G26" s="162">
        <f t="shared" si="0"/>
        <v>7014.84</v>
      </c>
    </row>
    <row r="27" spans="1:7" x14ac:dyDescent="0.2">
      <c r="A27" s="260">
        <v>3919</v>
      </c>
      <c r="B27" s="261" t="s">
        <v>526</v>
      </c>
      <c r="C27" s="261"/>
      <c r="D27" s="151">
        <f>+'s3, s3b, s3d'!E164</f>
        <v>377390.87</v>
      </c>
      <c r="E27" s="11">
        <f>-'s4'!D45-'s4'!D46</f>
        <v>-21247.96</v>
      </c>
      <c r="F27" s="151">
        <f>-SUM('s4'!F45:F46)</f>
        <v>-6842.5</v>
      </c>
      <c r="G27" s="162">
        <f t="shared" si="0"/>
        <v>349300.41</v>
      </c>
    </row>
    <row r="28" spans="1:7" x14ac:dyDescent="0.2">
      <c r="A28" s="260">
        <v>3920</v>
      </c>
      <c r="B28" s="261" t="s">
        <v>527</v>
      </c>
      <c r="C28" s="261"/>
      <c r="D28" s="151">
        <f>+'s3, s3b, s3d'!E168</f>
        <v>117267.55</v>
      </c>
      <c r="E28" s="11">
        <f>-'s4'!D47-'s4'!D48</f>
        <v>-416.89</v>
      </c>
      <c r="F28" s="151">
        <f>-SUM('s4'!F47:F48)</f>
        <v>-254.25</v>
      </c>
      <c r="G28" s="162">
        <f t="shared" si="0"/>
        <v>116596.41</v>
      </c>
    </row>
    <row r="29" spans="1:7" x14ac:dyDescent="0.2">
      <c r="A29" s="262">
        <v>3940</v>
      </c>
      <c r="B29" s="258" t="s">
        <v>533</v>
      </c>
      <c r="C29" s="258"/>
      <c r="D29" s="151">
        <f>+'s3, s3b, s3d'!E123</f>
        <v>8184.9</v>
      </c>
      <c r="G29" s="162">
        <f t="shared" si="0"/>
        <v>8184.9</v>
      </c>
    </row>
    <row r="30" spans="1:7" x14ac:dyDescent="0.2">
      <c r="A30" s="262">
        <v>3941</v>
      </c>
      <c r="B30" s="258" t="s">
        <v>534</v>
      </c>
      <c r="C30" s="258"/>
      <c r="D30" s="151">
        <f>+'s3, s3b, s3d'!E126</f>
        <v>23088.21</v>
      </c>
      <c r="G30" s="162">
        <f t="shared" si="0"/>
        <v>23088.21</v>
      </c>
    </row>
    <row r="31" spans="1:7" x14ac:dyDescent="0.2">
      <c r="A31" s="262">
        <v>3942</v>
      </c>
      <c r="B31" s="258" t="s">
        <v>535</v>
      </c>
      <c r="C31" s="258"/>
      <c r="D31" s="151">
        <f>+'s3, s3b, s3d'!E127</f>
        <v>237213.17</v>
      </c>
      <c r="G31" s="162">
        <f t="shared" si="0"/>
        <v>237213.17</v>
      </c>
    </row>
    <row r="32" spans="1:7" x14ac:dyDescent="0.2">
      <c r="A32" s="262">
        <v>3943</v>
      </c>
      <c r="B32" s="258" t="s">
        <v>536</v>
      </c>
      <c r="C32" s="258"/>
      <c r="D32" s="151">
        <f>+'s3, s3b, s3d'!E128</f>
        <v>455649.84</v>
      </c>
      <c r="G32" s="162">
        <f t="shared" si="0"/>
        <v>455649.84</v>
      </c>
    </row>
    <row r="33" spans="1:7" x14ac:dyDescent="0.2">
      <c r="A33" s="262">
        <v>3944</v>
      </c>
      <c r="B33" s="258" t="s">
        <v>537</v>
      </c>
      <c r="C33" s="258"/>
      <c r="D33" s="151">
        <f>+'s3, s3b, s3d'!E129</f>
        <v>12778.92</v>
      </c>
      <c r="G33" s="162">
        <f t="shared" si="0"/>
        <v>12778.92</v>
      </c>
    </row>
    <row r="34" spans="1:7" x14ac:dyDescent="0.2">
      <c r="A34" s="262">
        <v>3945</v>
      </c>
      <c r="B34" s="258" t="s">
        <v>538</v>
      </c>
      <c r="C34" s="258"/>
      <c r="D34" s="151">
        <f>+'s3, s3b, s3d'!E130</f>
        <v>119669.59</v>
      </c>
      <c r="G34" s="162">
        <f t="shared" si="0"/>
        <v>119669.59</v>
      </c>
    </row>
    <row r="35" spans="1:7" x14ac:dyDescent="0.2">
      <c r="A35" s="262">
        <v>3946</v>
      </c>
      <c r="B35" s="258" t="s">
        <v>539</v>
      </c>
      <c r="C35" s="258"/>
      <c r="D35" s="151">
        <f>+'s3, s3b, s3d'!E134</f>
        <v>3093.07</v>
      </c>
      <c r="G35" s="162">
        <f t="shared" si="0"/>
        <v>3093.07</v>
      </c>
    </row>
    <row r="36" spans="1:7" x14ac:dyDescent="0.2">
      <c r="A36" s="262">
        <v>3947</v>
      </c>
      <c r="B36" s="258" t="s">
        <v>540</v>
      </c>
      <c r="C36" s="258"/>
      <c r="D36" s="151">
        <f>+'s3, s3b, s3d'!E135</f>
        <v>31834.44</v>
      </c>
      <c r="G36" s="162">
        <f t="shared" si="0"/>
        <v>31834.44</v>
      </c>
    </row>
    <row r="37" spans="1:7" x14ac:dyDescent="0.2">
      <c r="A37" s="262">
        <v>3948</v>
      </c>
      <c r="B37" s="258" t="s">
        <v>541</v>
      </c>
      <c r="C37" s="258"/>
      <c r="D37" s="151">
        <f>+'s3, s3b, s3d'!E136</f>
        <v>2574.65</v>
      </c>
      <c r="G37" s="162">
        <f t="shared" si="0"/>
        <v>2574.65</v>
      </c>
    </row>
    <row r="38" spans="1:7" x14ac:dyDescent="0.2">
      <c r="A38" s="262">
        <v>3949</v>
      </c>
      <c r="B38" s="258" t="s">
        <v>542</v>
      </c>
      <c r="C38" s="258"/>
      <c r="D38" s="151">
        <f>+'s3, s3b, s3d'!E137</f>
        <v>7252.01</v>
      </c>
      <c r="G38" s="162">
        <f t="shared" si="0"/>
        <v>7252.01</v>
      </c>
    </row>
    <row r="39" spans="1:7" x14ac:dyDescent="0.2">
      <c r="A39" s="262">
        <v>3950</v>
      </c>
      <c r="B39" s="258" t="s">
        <v>543</v>
      </c>
      <c r="C39" s="258"/>
      <c r="D39" s="151">
        <f>+'s3, s3b, s3d'!E142</f>
        <v>17490.13</v>
      </c>
      <c r="G39" s="162">
        <f t="shared" si="0"/>
        <v>17490.13</v>
      </c>
    </row>
    <row r="40" spans="1:7" x14ac:dyDescent="0.2">
      <c r="A40" s="262">
        <v>3951</v>
      </c>
      <c r="B40" s="258" t="s">
        <v>544</v>
      </c>
      <c r="C40" s="258"/>
      <c r="D40" s="151">
        <f>+'s3, s3b, s3d'!E145</f>
        <v>53.71</v>
      </c>
      <c r="G40" s="162">
        <f t="shared" si="0"/>
        <v>53.71</v>
      </c>
    </row>
    <row r="41" spans="1:7" x14ac:dyDescent="0.2">
      <c r="A41" s="262">
        <v>3952</v>
      </c>
      <c r="B41" s="258" t="s">
        <v>545</v>
      </c>
      <c r="C41" s="258"/>
      <c r="D41" s="151">
        <f>+'s3, s3b, s3d'!E148</f>
        <v>6480.08</v>
      </c>
      <c r="G41" s="162">
        <f t="shared" si="0"/>
        <v>6480.08</v>
      </c>
    </row>
    <row r="42" spans="1:7" x14ac:dyDescent="0.2">
      <c r="A42" s="262">
        <v>3953</v>
      </c>
      <c r="B42" s="258" t="s">
        <v>546</v>
      </c>
      <c r="C42" s="258"/>
      <c r="D42" s="151">
        <f>+'s3, s3b, s3d'!E152</f>
        <v>13345.35</v>
      </c>
      <c r="G42" s="162">
        <f t="shared" si="0"/>
        <v>13345.35</v>
      </c>
    </row>
    <row r="43" spans="1:7" x14ac:dyDescent="0.2">
      <c r="A43" s="262">
        <v>3954</v>
      </c>
      <c r="B43" s="258" t="s">
        <v>547</v>
      </c>
      <c r="C43" s="258"/>
      <c r="D43" s="151">
        <f>+'s3, s3b, s3d'!E151</f>
        <v>2520.2199999999998</v>
      </c>
      <c r="G43" s="162">
        <f t="shared" si="0"/>
        <v>2520.2199999999998</v>
      </c>
    </row>
    <row r="44" spans="1:7" x14ac:dyDescent="0.2">
      <c r="A44" s="262">
        <v>3955</v>
      </c>
      <c r="B44" s="258" t="s">
        <v>548</v>
      </c>
      <c r="C44" s="258"/>
      <c r="D44" s="151">
        <f>+'s3, s3b, s3d'!E156</f>
        <v>25316.87</v>
      </c>
      <c r="G44" s="162">
        <f t="shared" si="0"/>
        <v>25316.87</v>
      </c>
    </row>
    <row r="45" spans="1:7" x14ac:dyDescent="0.2">
      <c r="A45" s="262">
        <v>3956</v>
      </c>
      <c r="B45" s="258" t="s">
        <v>578</v>
      </c>
      <c r="C45" s="258"/>
      <c r="D45" s="151">
        <f>+'s3, s3b, s3d'!E157</f>
        <v>4355</v>
      </c>
      <c r="G45" s="162">
        <f t="shared" si="0"/>
        <v>4355</v>
      </c>
    </row>
    <row r="46" spans="1:7" x14ac:dyDescent="0.2">
      <c r="A46" s="262">
        <v>3957</v>
      </c>
      <c r="B46" s="258" t="s">
        <v>549</v>
      </c>
      <c r="C46" s="258"/>
      <c r="D46" s="151">
        <f>+'s3, s3b, s3d'!E158</f>
        <v>1060.32</v>
      </c>
      <c r="G46" s="162">
        <f t="shared" si="0"/>
        <v>1060.32</v>
      </c>
    </row>
    <row r="47" spans="1:7" x14ac:dyDescent="0.2">
      <c r="A47" s="262">
        <v>3958</v>
      </c>
      <c r="B47" s="258" t="s">
        <v>550</v>
      </c>
      <c r="C47" s="258"/>
      <c r="D47" s="151">
        <f>+'s3, s3b, s3d'!E161</f>
        <v>6277.53</v>
      </c>
      <c r="G47" s="162">
        <f t="shared" si="0"/>
        <v>6277.53</v>
      </c>
    </row>
    <row r="48" spans="1:7" x14ac:dyDescent="0.2">
      <c r="A48" s="262">
        <v>3959</v>
      </c>
      <c r="B48" s="258" t="s">
        <v>551</v>
      </c>
      <c r="C48" s="258"/>
      <c r="D48" s="151">
        <f>+'s3, s3b, s3d'!E165</f>
        <v>195331.65</v>
      </c>
      <c r="G48" s="162">
        <f t="shared" si="0"/>
        <v>195331.65</v>
      </c>
    </row>
    <row r="49" spans="1:7" x14ac:dyDescent="0.2">
      <c r="A49" s="262">
        <v>3960</v>
      </c>
      <c r="B49" s="258" t="s">
        <v>552</v>
      </c>
      <c r="C49" s="258"/>
      <c r="D49" s="151">
        <f>+'s3, s3b, s3d'!E166</f>
        <v>69807.42</v>
      </c>
      <c r="G49" s="162">
        <f t="shared" si="0"/>
        <v>69807.42</v>
      </c>
    </row>
    <row r="50" spans="1:7" x14ac:dyDescent="0.2">
      <c r="A50" s="262">
        <v>3961</v>
      </c>
      <c r="B50" s="258" t="s">
        <v>553</v>
      </c>
      <c r="C50" s="258"/>
      <c r="D50" s="151">
        <f>+'s3, s3b, s3d'!E169</f>
        <v>13250.47</v>
      </c>
      <c r="G50" s="162">
        <f t="shared" si="0"/>
        <v>13250.47</v>
      </c>
    </row>
    <row r="51" spans="1:7" x14ac:dyDescent="0.2">
      <c r="A51" s="260">
        <v>3926</v>
      </c>
      <c r="B51" s="261" t="s">
        <v>556</v>
      </c>
      <c r="C51" s="261"/>
      <c r="D51" s="151">
        <f>-SUM(D11:D50)</f>
        <v>-4637777.1500000004</v>
      </c>
      <c r="G51" s="162">
        <f t="shared" si="0"/>
        <v>-4637777.1500000004</v>
      </c>
    </row>
    <row r="52" spans="1:7" x14ac:dyDescent="0.2">
      <c r="A52" s="281">
        <v>3999</v>
      </c>
      <c r="B52" s="281" t="s">
        <v>577</v>
      </c>
      <c r="C52" s="281"/>
      <c r="D52" s="282"/>
      <c r="E52" s="283">
        <f>-SUM(E6:E28)</f>
        <v>148153.82</v>
      </c>
      <c r="F52" s="276"/>
      <c r="G52" s="162">
        <f t="shared" si="0"/>
        <v>148153.82</v>
      </c>
    </row>
    <row r="53" spans="1:7" x14ac:dyDescent="0.2">
      <c r="A53" s="257">
        <v>3923</v>
      </c>
      <c r="B53" s="257" t="s">
        <v>528</v>
      </c>
      <c r="C53" s="257"/>
      <c r="F53" s="151">
        <f>-SUM(F6:F28)</f>
        <v>54033.75</v>
      </c>
      <c r="G53" s="162">
        <f>+F53</f>
        <v>54033.75</v>
      </c>
    </row>
    <row r="54" spans="1:7" x14ac:dyDescent="0.2">
      <c r="C54" s="151">
        <f>SUM(C4:C53)</f>
        <v>0</v>
      </c>
      <c r="D54" s="151">
        <f>SUM(D4:D53)</f>
        <v>0</v>
      </c>
      <c r="E54" s="151">
        <f>SUM(E4:E53)</f>
        <v>0</v>
      </c>
      <c r="F54" s="151">
        <f>SUM(F4:F53)</f>
        <v>0</v>
      </c>
      <c r="G54" s="151">
        <f>+C54+D54+E54+F54</f>
        <v>0</v>
      </c>
    </row>
    <row r="55" spans="1:7" ht="13.5" thickBot="1" x14ac:dyDescent="0.25">
      <c r="F55" t="s">
        <v>579</v>
      </c>
      <c r="G55" s="284">
        <f>SUM(G4:G53)</f>
        <v>0</v>
      </c>
    </row>
    <row r="56" spans="1:7" ht="13.5" thickTop="1" x14ac:dyDescent="0.2"/>
    <row r="57" spans="1:7" x14ac:dyDescent="0.2">
      <c r="A57" s="258"/>
      <c r="B57" s="258"/>
      <c r="C57" s="258"/>
    </row>
    <row r="58" spans="1:7" x14ac:dyDescent="0.2">
      <c r="A58" s="258"/>
      <c r="B58" s="258"/>
      <c r="C58" s="258"/>
    </row>
    <row r="60" spans="1:7" x14ac:dyDescent="0.2">
      <c r="A60" s="257"/>
      <c r="B60" s="257"/>
      <c r="C60" s="257"/>
    </row>
    <row r="61" spans="1:7" x14ac:dyDescent="0.2">
      <c r="A61" s="257"/>
      <c r="B61" s="257"/>
      <c r="C61" s="257"/>
    </row>
    <row r="62" spans="1:7" x14ac:dyDescent="0.2">
      <c r="A62" s="257"/>
      <c r="B62" s="257"/>
      <c r="C62" s="257"/>
    </row>
    <row r="63" spans="1:7" x14ac:dyDescent="0.2">
      <c r="A63" s="257"/>
      <c r="B63" s="257"/>
      <c r="C63" s="257"/>
    </row>
    <row r="64" spans="1:7" x14ac:dyDescent="0.2">
      <c r="A64" s="257"/>
      <c r="B64" s="257"/>
      <c r="C64" s="257"/>
    </row>
    <row r="65" spans="1:3" x14ac:dyDescent="0.2">
      <c r="A65" s="257"/>
      <c r="B65" s="257"/>
      <c r="C65" s="257"/>
    </row>
    <row r="66" spans="1:3" x14ac:dyDescent="0.2">
      <c r="A66" s="257"/>
      <c r="B66" s="257"/>
      <c r="C66" s="257"/>
    </row>
    <row r="67" spans="1:3" x14ac:dyDescent="0.2">
      <c r="A67" s="257"/>
      <c r="B67" s="257"/>
      <c r="C67" s="257"/>
    </row>
    <row r="68" spans="1:3" x14ac:dyDescent="0.2">
      <c r="A68" s="257"/>
      <c r="B68" s="257"/>
      <c r="C68" s="257"/>
    </row>
    <row r="69" spans="1:3" x14ac:dyDescent="0.2">
      <c r="A69" s="257"/>
      <c r="B69" s="257"/>
      <c r="C69" s="257"/>
    </row>
    <row r="70" spans="1:3" x14ac:dyDescent="0.2">
      <c r="A70" s="257"/>
      <c r="B70" s="257"/>
      <c r="C70" s="257"/>
    </row>
    <row r="71" spans="1:3" x14ac:dyDescent="0.2">
      <c r="A71" s="257"/>
      <c r="B71" s="257"/>
      <c r="C71" s="257"/>
    </row>
    <row r="72" spans="1:3" x14ac:dyDescent="0.2">
      <c r="A72" s="257"/>
      <c r="B72" s="257"/>
      <c r="C72" s="257"/>
    </row>
    <row r="73" spans="1:3" x14ac:dyDescent="0.2">
      <c r="A73" s="257"/>
      <c r="B73" s="257"/>
      <c r="C73" s="257"/>
    </row>
    <row r="74" spans="1:3" x14ac:dyDescent="0.2">
      <c r="A74" s="257"/>
      <c r="B74" s="257"/>
      <c r="C74" s="257"/>
    </row>
    <row r="75" spans="1:3" x14ac:dyDescent="0.2">
      <c r="A75" s="257"/>
      <c r="B75" s="257"/>
      <c r="C75" s="257"/>
    </row>
    <row r="76" spans="1:3" x14ac:dyDescent="0.2">
      <c r="A76" s="257"/>
      <c r="B76" s="257"/>
      <c r="C76" s="257"/>
    </row>
    <row r="81" spans="2:3" x14ac:dyDescent="0.2">
      <c r="B81" s="258"/>
      <c r="C81" s="258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19"/>
  <sheetViews>
    <sheetView workbookViewId="0">
      <selection activeCell="B5" sqref="B5"/>
    </sheetView>
  </sheetViews>
  <sheetFormatPr defaultRowHeight="12.75" x14ac:dyDescent="0.2"/>
  <cols>
    <col min="1" max="1" width="2.7109375" customWidth="1"/>
    <col min="2" max="2" width="7.7109375" customWidth="1"/>
    <col min="3" max="3" width="33.28515625" customWidth="1"/>
    <col min="4" max="4" width="15.28515625" hidden="1" customWidth="1"/>
    <col min="5" max="5" width="2.85546875" customWidth="1"/>
    <col min="7" max="7" width="35.28515625" customWidth="1"/>
    <col min="8" max="8" width="14" hidden="1" customWidth="1"/>
  </cols>
  <sheetData>
    <row r="1" spans="1:7" ht="15.75" x14ac:dyDescent="0.25">
      <c r="A1" s="63" t="s">
        <v>0</v>
      </c>
      <c r="C1" s="1"/>
      <c r="D1" s="1"/>
      <c r="E1" s="1"/>
    </row>
    <row r="2" spans="1:7" ht="15.75" x14ac:dyDescent="0.25">
      <c r="A2" s="116" t="str">
        <f>ReportMonth</f>
        <v>APRIL 2004</v>
      </c>
      <c r="C2" s="1"/>
      <c r="D2" s="1"/>
      <c r="E2" s="1"/>
    </row>
    <row r="3" spans="1:7" ht="15.75" x14ac:dyDescent="0.25">
      <c r="A3" s="95" t="s">
        <v>81</v>
      </c>
      <c r="B3" s="43"/>
      <c r="C3" s="42"/>
      <c r="D3" s="42"/>
      <c r="E3" s="42"/>
      <c r="F3" s="43"/>
      <c r="G3" s="43"/>
    </row>
    <row r="4" spans="1:7" ht="9" customHeight="1" thickBot="1" x14ac:dyDescent="0.25">
      <c r="A4" s="1"/>
      <c r="B4" s="104"/>
      <c r="C4" s="105"/>
      <c r="D4" s="105"/>
      <c r="E4" s="105"/>
      <c r="F4" s="250"/>
      <c r="G4" s="251"/>
    </row>
    <row r="5" spans="1:7" ht="19.5" customHeight="1" x14ac:dyDescent="0.2">
      <c r="A5" s="103"/>
      <c r="B5" s="43"/>
      <c r="C5" s="42" t="s">
        <v>508</v>
      </c>
      <c r="D5" s="42"/>
      <c r="E5" s="42"/>
      <c r="F5" s="43"/>
      <c r="G5" s="43"/>
    </row>
    <row r="6" spans="1:7" ht="9" customHeight="1" x14ac:dyDescent="0.2">
      <c r="A6" s="102"/>
      <c r="B6" s="43"/>
      <c r="C6" s="42"/>
      <c r="D6" s="1"/>
      <c r="E6" s="1"/>
    </row>
    <row r="7" spans="1:7" ht="12.75" customHeight="1" x14ac:dyDescent="0.2"/>
    <row r="8" spans="1:7" ht="12.75" customHeight="1" x14ac:dyDescent="0.2">
      <c r="A8" s="29" t="s">
        <v>506</v>
      </c>
      <c r="B8" s="254">
        <v>14527</v>
      </c>
      <c r="C8" s="20" t="s">
        <v>469</v>
      </c>
      <c r="D8" s="252"/>
      <c r="E8" s="6" t="s">
        <v>506</v>
      </c>
      <c r="F8" s="254">
        <v>14813</v>
      </c>
      <c r="G8" s="20" t="s">
        <v>781</v>
      </c>
    </row>
    <row r="9" spans="1:7" x14ac:dyDescent="0.2">
      <c r="A9" s="6" t="s">
        <v>506</v>
      </c>
      <c r="B9" s="254">
        <v>13420</v>
      </c>
      <c r="C9" s="20" t="s">
        <v>470</v>
      </c>
      <c r="D9" s="20"/>
      <c r="E9" s="6"/>
      <c r="F9" s="387">
        <v>14814</v>
      </c>
      <c r="G9" s="249" t="s">
        <v>489</v>
      </c>
    </row>
    <row r="10" spans="1:7" x14ac:dyDescent="0.2">
      <c r="A10" s="6"/>
      <c r="B10" s="254">
        <v>14919</v>
      </c>
      <c r="C10" s="20" t="s">
        <v>581</v>
      </c>
      <c r="D10" s="20"/>
      <c r="E10" s="6"/>
      <c r="F10" s="387">
        <v>14821</v>
      </c>
      <c r="G10" s="253" t="s">
        <v>782</v>
      </c>
    </row>
    <row r="11" spans="1:7" x14ac:dyDescent="0.2">
      <c r="A11" s="6"/>
      <c r="B11" s="254">
        <v>14542</v>
      </c>
      <c r="C11" s="20" t="s">
        <v>471</v>
      </c>
      <c r="D11" s="20"/>
      <c r="E11" s="6"/>
      <c r="F11" s="388">
        <v>13474</v>
      </c>
      <c r="G11" s="253" t="s">
        <v>625</v>
      </c>
    </row>
    <row r="12" spans="1:7" x14ac:dyDescent="0.2">
      <c r="A12" s="6"/>
      <c r="B12" s="254">
        <v>14543</v>
      </c>
      <c r="C12" s="20" t="s">
        <v>582</v>
      </c>
      <c r="D12" s="20"/>
      <c r="E12" s="254"/>
      <c r="F12" s="387">
        <v>14828</v>
      </c>
      <c r="G12" s="249" t="s">
        <v>479</v>
      </c>
    </row>
    <row r="13" spans="1:7" x14ac:dyDescent="0.2">
      <c r="A13" s="6"/>
      <c r="B13" s="254">
        <v>13426</v>
      </c>
      <c r="C13" s="20" t="s">
        <v>786</v>
      </c>
      <c r="D13" s="20"/>
      <c r="E13" s="254" t="s">
        <v>506</v>
      </c>
      <c r="F13" s="387">
        <v>14829</v>
      </c>
      <c r="G13" s="249" t="s">
        <v>480</v>
      </c>
    </row>
    <row r="14" spans="1:7" x14ac:dyDescent="0.2">
      <c r="A14" s="6"/>
      <c r="B14" s="254">
        <v>13663</v>
      </c>
      <c r="C14" s="20" t="s">
        <v>621</v>
      </c>
      <c r="D14" s="20"/>
      <c r="E14" s="254"/>
      <c r="F14" s="388">
        <v>14830</v>
      </c>
      <c r="G14" s="253" t="s">
        <v>584</v>
      </c>
    </row>
    <row r="15" spans="1:7" x14ac:dyDescent="0.2">
      <c r="A15" s="6" t="s">
        <v>506</v>
      </c>
      <c r="B15" s="254">
        <v>14549</v>
      </c>
      <c r="C15" s="20" t="s">
        <v>620</v>
      </c>
      <c r="D15" s="20"/>
      <c r="E15" s="254"/>
      <c r="F15" s="388">
        <v>14873</v>
      </c>
      <c r="G15" s="253" t="s">
        <v>580</v>
      </c>
    </row>
    <row r="16" spans="1:7" x14ac:dyDescent="0.2">
      <c r="A16" s="6"/>
      <c r="B16" s="254">
        <v>15103</v>
      </c>
      <c r="C16" s="20" t="s">
        <v>787</v>
      </c>
      <c r="D16" s="20"/>
      <c r="E16" s="254" t="s">
        <v>506</v>
      </c>
      <c r="F16" s="387">
        <v>14835</v>
      </c>
      <c r="G16" s="249" t="s">
        <v>481</v>
      </c>
    </row>
    <row r="17" spans="1:7" x14ac:dyDescent="0.2">
      <c r="A17" s="6"/>
      <c r="B17" s="254">
        <v>13885</v>
      </c>
      <c r="C17" s="20" t="s">
        <v>788</v>
      </c>
      <c r="D17" s="20"/>
      <c r="E17" s="254" t="s">
        <v>506</v>
      </c>
      <c r="F17" s="387">
        <v>14838</v>
      </c>
      <c r="G17" s="249" t="s">
        <v>482</v>
      </c>
    </row>
    <row r="18" spans="1:7" x14ac:dyDescent="0.2">
      <c r="A18" s="6" t="s">
        <v>506</v>
      </c>
      <c r="B18" s="254">
        <v>14323</v>
      </c>
      <c r="C18" s="20" t="s">
        <v>353</v>
      </c>
      <c r="D18" s="20"/>
      <c r="E18" s="254" t="s">
        <v>506</v>
      </c>
      <c r="F18" s="388">
        <v>26431</v>
      </c>
      <c r="G18" s="253" t="s">
        <v>783</v>
      </c>
    </row>
    <row r="19" spans="1:7" x14ac:dyDescent="0.2">
      <c r="A19" s="6"/>
      <c r="B19" s="254">
        <v>14887</v>
      </c>
      <c r="C19" s="20" t="s">
        <v>778</v>
      </c>
      <c r="D19" s="20"/>
      <c r="E19" s="254" t="s">
        <v>506</v>
      </c>
      <c r="F19" s="387">
        <v>14839</v>
      </c>
      <c r="G19" s="253" t="s">
        <v>483</v>
      </c>
    </row>
    <row r="20" spans="1:7" x14ac:dyDescent="0.2">
      <c r="A20" s="6" t="s">
        <v>506</v>
      </c>
      <c r="B20" s="254">
        <v>13889</v>
      </c>
      <c r="C20" s="20" t="s">
        <v>583</v>
      </c>
      <c r="D20" s="20"/>
      <c r="E20" s="254" t="s">
        <v>506</v>
      </c>
      <c r="F20" s="387">
        <v>14841</v>
      </c>
      <c r="G20" s="20" t="s">
        <v>611</v>
      </c>
    </row>
    <row r="21" spans="1:7" x14ac:dyDescent="0.2">
      <c r="A21" s="6" t="s">
        <v>506</v>
      </c>
      <c r="B21" s="254">
        <v>13442</v>
      </c>
      <c r="C21" s="20" t="s">
        <v>622</v>
      </c>
      <c r="D21" s="20"/>
      <c r="E21" s="254" t="s">
        <v>506</v>
      </c>
      <c r="F21" s="388">
        <v>13490</v>
      </c>
      <c r="G21" s="253" t="s">
        <v>784</v>
      </c>
    </row>
    <row r="22" spans="1:7" x14ac:dyDescent="0.2">
      <c r="A22" s="6" t="s">
        <v>506</v>
      </c>
      <c r="B22" s="254">
        <v>13441</v>
      </c>
      <c r="C22" s="20" t="s">
        <v>623</v>
      </c>
      <c r="D22" s="20"/>
      <c r="E22" s="254" t="s">
        <v>506</v>
      </c>
      <c r="F22" s="387">
        <v>14847</v>
      </c>
      <c r="G22" s="249" t="s">
        <v>484</v>
      </c>
    </row>
    <row r="23" spans="1:7" x14ac:dyDescent="0.2">
      <c r="A23" s="6"/>
      <c r="B23" s="254">
        <v>13447</v>
      </c>
      <c r="C23" s="20" t="s">
        <v>624</v>
      </c>
      <c r="D23" s="20"/>
      <c r="E23" s="254"/>
      <c r="F23" s="388">
        <v>14850</v>
      </c>
      <c r="G23" s="253" t="s">
        <v>507</v>
      </c>
    </row>
    <row r="24" spans="1:7" x14ac:dyDescent="0.2">
      <c r="A24" s="6"/>
      <c r="B24" s="254">
        <v>14884</v>
      </c>
      <c r="C24" s="20" t="s">
        <v>779</v>
      </c>
      <c r="D24" s="20"/>
      <c r="E24" s="254" t="s">
        <v>506</v>
      </c>
      <c r="F24" s="387">
        <v>14080</v>
      </c>
      <c r="G24" s="253" t="s">
        <v>485</v>
      </c>
    </row>
    <row r="25" spans="1:7" x14ac:dyDescent="0.2">
      <c r="A25" s="6" t="s">
        <v>506</v>
      </c>
      <c r="B25" s="254">
        <v>14561</v>
      </c>
      <c r="C25" s="20" t="s">
        <v>780</v>
      </c>
      <c r="D25" s="20"/>
      <c r="E25" s="254" t="s">
        <v>506</v>
      </c>
      <c r="F25" s="388">
        <v>14865</v>
      </c>
      <c r="G25" s="253" t="s">
        <v>626</v>
      </c>
    </row>
    <row r="26" spans="1:7" x14ac:dyDescent="0.2">
      <c r="A26" s="6" t="s">
        <v>506</v>
      </c>
      <c r="B26" s="254">
        <v>14245</v>
      </c>
      <c r="C26" s="20" t="s">
        <v>473</v>
      </c>
      <c r="D26" s="20"/>
      <c r="E26" s="254"/>
      <c r="F26" s="387">
        <v>13503</v>
      </c>
      <c r="G26" s="20" t="s">
        <v>486</v>
      </c>
    </row>
    <row r="27" spans="1:7" x14ac:dyDescent="0.2">
      <c r="A27" s="6"/>
      <c r="B27" s="254">
        <v>14321</v>
      </c>
      <c r="C27" s="20" t="s">
        <v>474</v>
      </c>
      <c r="D27" s="20"/>
      <c r="E27" s="254"/>
      <c r="F27" s="387">
        <v>14314</v>
      </c>
      <c r="G27" s="20" t="s">
        <v>488</v>
      </c>
    </row>
    <row r="28" spans="1:7" x14ac:dyDescent="0.2">
      <c r="A28" s="29"/>
      <c r="B28" s="29"/>
      <c r="D28" s="20"/>
      <c r="E28" s="29"/>
      <c r="F28" s="29">
        <v>13504</v>
      </c>
      <c r="G28" s="253" t="s">
        <v>487</v>
      </c>
    </row>
    <row r="29" spans="1:7" x14ac:dyDescent="0.2">
      <c r="A29" s="29"/>
      <c r="B29" s="29"/>
      <c r="E29" s="29"/>
      <c r="F29" s="29"/>
    </row>
    <row r="30" spans="1:7" x14ac:dyDescent="0.2">
      <c r="A30" s="29"/>
      <c r="B30" s="29"/>
      <c r="E30" s="29"/>
      <c r="F30" s="29"/>
    </row>
    <row r="31" spans="1:7" x14ac:dyDescent="0.2">
      <c r="A31" s="29"/>
      <c r="B31" s="29"/>
      <c r="E31" s="29"/>
      <c r="F31" s="29"/>
    </row>
    <row r="32" spans="1:7" x14ac:dyDescent="0.2">
      <c r="A32" s="29"/>
      <c r="B32" s="29"/>
      <c r="E32" s="29"/>
      <c r="F32" s="29"/>
    </row>
    <row r="33" spans="1:6" x14ac:dyDescent="0.2">
      <c r="A33" s="29"/>
      <c r="B33" s="29"/>
      <c r="E33" s="29"/>
      <c r="F33" s="29"/>
    </row>
    <row r="34" spans="1:6" x14ac:dyDescent="0.2">
      <c r="A34" s="29"/>
      <c r="B34" s="29"/>
      <c r="E34" s="29"/>
      <c r="F34" s="29"/>
    </row>
    <row r="35" spans="1:6" x14ac:dyDescent="0.2">
      <c r="A35" s="29"/>
      <c r="B35" s="29"/>
      <c r="E35" s="29"/>
      <c r="F35" s="29"/>
    </row>
    <row r="36" spans="1:6" x14ac:dyDescent="0.2">
      <c r="A36" s="29"/>
      <c r="B36" s="29"/>
      <c r="E36" s="29"/>
      <c r="F36" s="29"/>
    </row>
    <row r="37" spans="1:6" x14ac:dyDescent="0.2">
      <c r="A37" s="29"/>
      <c r="B37" s="29"/>
      <c r="E37" s="29"/>
      <c r="F37" s="29"/>
    </row>
    <row r="38" spans="1:6" x14ac:dyDescent="0.2">
      <c r="A38" s="29"/>
      <c r="B38" s="29"/>
      <c r="E38" s="29"/>
      <c r="F38" s="29"/>
    </row>
    <row r="39" spans="1:6" x14ac:dyDescent="0.2">
      <c r="A39" s="29"/>
      <c r="B39" s="29"/>
      <c r="E39" s="29"/>
      <c r="F39" s="29"/>
    </row>
    <row r="40" spans="1:6" x14ac:dyDescent="0.2">
      <c r="A40" s="29"/>
      <c r="B40" s="29"/>
      <c r="E40" s="29"/>
      <c r="F40" s="29"/>
    </row>
    <row r="41" spans="1:6" x14ac:dyDescent="0.2">
      <c r="A41" s="29"/>
      <c r="B41" s="29"/>
      <c r="E41" s="29"/>
      <c r="F41" s="29"/>
    </row>
    <row r="42" spans="1:6" x14ac:dyDescent="0.2">
      <c r="A42" s="29"/>
      <c r="B42" s="29"/>
      <c r="E42" s="29"/>
      <c r="F42" s="29"/>
    </row>
    <row r="43" spans="1:6" x14ac:dyDescent="0.2">
      <c r="A43" s="29"/>
      <c r="B43" s="29"/>
      <c r="E43" s="29"/>
      <c r="F43" s="29"/>
    </row>
    <row r="44" spans="1:6" x14ac:dyDescent="0.2">
      <c r="A44" s="29"/>
      <c r="B44" s="29"/>
      <c r="E44" s="29"/>
      <c r="F44" s="29"/>
    </row>
    <row r="45" spans="1:6" x14ac:dyDescent="0.2">
      <c r="A45" s="29"/>
      <c r="B45" s="29"/>
      <c r="E45" s="29"/>
      <c r="F45" s="29"/>
    </row>
    <row r="46" spans="1:6" x14ac:dyDescent="0.2">
      <c r="A46" s="29"/>
      <c r="B46" s="29"/>
      <c r="E46" s="29"/>
      <c r="F46" s="29"/>
    </row>
    <row r="47" spans="1:6" x14ac:dyDescent="0.2">
      <c r="A47" s="29"/>
      <c r="B47" s="29"/>
      <c r="E47" s="29"/>
      <c r="F47" s="29"/>
    </row>
    <row r="48" spans="1:6" x14ac:dyDescent="0.2">
      <c r="A48" s="29"/>
      <c r="B48" s="29"/>
      <c r="E48" s="29"/>
      <c r="F48" s="29"/>
    </row>
    <row r="49" spans="1:6" x14ac:dyDescent="0.2">
      <c r="A49" s="29"/>
      <c r="B49" s="29"/>
      <c r="E49" s="29"/>
      <c r="F49" s="29"/>
    </row>
    <row r="50" spans="1:6" x14ac:dyDescent="0.2">
      <c r="A50" s="29"/>
      <c r="B50" s="29"/>
      <c r="E50" s="29"/>
      <c r="F50" s="29"/>
    </row>
    <row r="51" spans="1:6" x14ac:dyDescent="0.2">
      <c r="A51" s="29"/>
      <c r="B51" s="29"/>
      <c r="E51" s="29"/>
      <c r="F51" s="29"/>
    </row>
    <row r="52" spans="1:6" x14ac:dyDescent="0.2">
      <c r="A52" s="29"/>
      <c r="B52" s="29"/>
      <c r="E52" s="29"/>
      <c r="F52" s="29"/>
    </row>
    <row r="53" spans="1:6" x14ac:dyDescent="0.2">
      <c r="A53" s="29"/>
      <c r="B53" s="29"/>
      <c r="E53" s="29"/>
      <c r="F53" s="29"/>
    </row>
    <row r="54" spans="1:6" x14ac:dyDescent="0.2">
      <c r="A54" s="29"/>
      <c r="B54" s="29"/>
      <c r="E54" s="29"/>
      <c r="F54" s="29"/>
    </row>
    <row r="55" spans="1:6" x14ac:dyDescent="0.2">
      <c r="A55" s="29"/>
      <c r="B55" s="29"/>
      <c r="E55" s="29"/>
      <c r="F55" s="29"/>
    </row>
    <row r="56" spans="1:6" x14ac:dyDescent="0.2">
      <c r="A56" s="29"/>
      <c r="B56" s="29"/>
      <c r="E56" s="29"/>
      <c r="F56" s="29"/>
    </row>
    <row r="57" spans="1:6" x14ac:dyDescent="0.2">
      <c r="A57" s="29"/>
      <c r="B57" s="29"/>
      <c r="E57" s="29"/>
      <c r="F57" s="29"/>
    </row>
    <row r="58" spans="1:6" x14ac:dyDescent="0.2">
      <c r="A58" s="29"/>
      <c r="B58" s="29"/>
      <c r="E58" s="29"/>
      <c r="F58" s="29"/>
    </row>
    <row r="59" spans="1:6" x14ac:dyDescent="0.2">
      <c r="A59" s="29"/>
      <c r="B59" s="29"/>
      <c r="E59" s="29"/>
      <c r="F59" s="29"/>
    </row>
    <row r="60" spans="1:6" x14ac:dyDescent="0.2">
      <c r="A60" s="29"/>
      <c r="B60" s="29"/>
      <c r="E60" s="29"/>
      <c r="F60" s="29"/>
    </row>
    <row r="61" spans="1:6" x14ac:dyDescent="0.2">
      <c r="A61" s="29"/>
      <c r="B61" s="29"/>
      <c r="E61" s="29"/>
      <c r="F61" s="29"/>
    </row>
    <row r="62" spans="1:6" x14ac:dyDescent="0.2">
      <c r="A62" s="29"/>
      <c r="B62" s="29"/>
      <c r="E62" s="29"/>
      <c r="F62" s="29"/>
    </row>
    <row r="63" spans="1:6" x14ac:dyDescent="0.2">
      <c r="A63" s="29"/>
      <c r="B63" s="29"/>
      <c r="E63" s="29"/>
      <c r="F63" s="29"/>
    </row>
    <row r="64" spans="1:6" x14ac:dyDescent="0.2">
      <c r="A64" s="29"/>
      <c r="B64" s="29"/>
      <c r="E64" s="29"/>
      <c r="F64" s="29"/>
    </row>
    <row r="65" spans="1:6" x14ac:dyDescent="0.2">
      <c r="A65" s="29"/>
      <c r="B65" s="29"/>
      <c r="E65" s="29"/>
      <c r="F65" s="29"/>
    </row>
    <row r="66" spans="1:6" x14ac:dyDescent="0.2">
      <c r="A66" s="29"/>
      <c r="B66" s="29"/>
      <c r="E66" s="29"/>
      <c r="F66" s="29"/>
    </row>
    <row r="67" spans="1:6" x14ac:dyDescent="0.2">
      <c r="A67" s="29"/>
      <c r="B67" s="29"/>
      <c r="E67" s="29"/>
      <c r="F67" s="29"/>
    </row>
    <row r="68" spans="1:6" x14ac:dyDescent="0.2">
      <c r="A68" s="29"/>
      <c r="B68" s="29"/>
      <c r="E68" s="29"/>
      <c r="F68" s="29"/>
    </row>
    <row r="69" spans="1:6" x14ac:dyDescent="0.2">
      <c r="A69" s="29"/>
      <c r="B69" s="29"/>
      <c r="E69" s="29"/>
      <c r="F69" s="29"/>
    </row>
    <row r="70" spans="1:6" x14ac:dyDescent="0.2">
      <c r="A70" s="29"/>
      <c r="B70" s="29"/>
      <c r="E70" s="29"/>
      <c r="F70" s="29"/>
    </row>
    <row r="71" spans="1:6" x14ac:dyDescent="0.2">
      <c r="A71" s="29"/>
      <c r="B71" s="29"/>
      <c r="E71" s="29"/>
      <c r="F71" s="29"/>
    </row>
    <row r="72" spans="1:6" x14ac:dyDescent="0.2">
      <c r="A72" s="29"/>
      <c r="B72" s="29"/>
      <c r="E72" s="29"/>
      <c r="F72" s="29"/>
    </row>
    <row r="73" spans="1:6" x14ac:dyDescent="0.2">
      <c r="A73" s="29"/>
      <c r="B73" s="29"/>
      <c r="E73" s="29"/>
      <c r="F73" s="29"/>
    </row>
    <row r="74" spans="1:6" x14ac:dyDescent="0.2">
      <c r="A74" s="29"/>
      <c r="B74" s="29"/>
      <c r="E74" s="29"/>
      <c r="F74" s="29"/>
    </row>
    <row r="75" spans="1:6" x14ac:dyDescent="0.2">
      <c r="A75" s="29"/>
      <c r="B75" s="29"/>
      <c r="E75" s="29"/>
      <c r="F75" s="29"/>
    </row>
    <row r="76" spans="1:6" x14ac:dyDescent="0.2">
      <c r="A76" s="29"/>
      <c r="B76" s="29"/>
      <c r="E76" s="29"/>
      <c r="F76" s="29"/>
    </row>
    <row r="77" spans="1:6" x14ac:dyDescent="0.2">
      <c r="A77" s="29"/>
      <c r="B77" s="29"/>
      <c r="E77" s="29"/>
      <c r="F77" s="29"/>
    </row>
    <row r="78" spans="1:6" x14ac:dyDescent="0.2">
      <c r="A78" s="29"/>
      <c r="B78" s="29"/>
      <c r="E78" s="29"/>
      <c r="F78" s="29"/>
    </row>
    <row r="79" spans="1:6" x14ac:dyDescent="0.2">
      <c r="A79" s="29"/>
      <c r="B79" s="29"/>
      <c r="E79" s="29"/>
      <c r="F79" s="29"/>
    </row>
    <row r="80" spans="1:6" x14ac:dyDescent="0.2">
      <c r="A80" s="29"/>
      <c r="B80" s="29"/>
      <c r="E80" s="29"/>
      <c r="F80" s="29"/>
    </row>
    <row r="81" spans="1:6" x14ac:dyDescent="0.2">
      <c r="A81" s="29"/>
      <c r="B81" s="29"/>
      <c r="E81" s="29"/>
      <c r="F81" s="29"/>
    </row>
    <row r="82" spans="1:6" x14ac:dyDescent="0.2">
      <c r="A82" s="29"/>
      <c r="B82" s="29"/>
      <c r="E82" s="29"/>
      <c r="F82" s="29"/>
    </row>
    <row r="83" spans="1:6" x14ac:dyDescent="0.2">
      <c r="A83" s="29"/>
      <c r="B83" s="29"/>
      <c r="E83" s="29"/>
      <c r="F83" s="29"/>
    </row>
    <row r="84" spans="1:6" x14ac:dyDescent="0.2">
      <c r="A84" s="29"/>
      <c r="B84" s="29"/>
      <c r="E84" s="29"/>
      <c r="F84" s="29"/>
    </row>
    <row r="85" spans="1:6" x14ac:dyDescent="0.2">
      <c r="A85" s="29"/>
      <c r="B85" s="29"/>
      <c r="E85" s="29"/>
      <c r="F85" s="29"/>
    </row>
    <row r="86" spans="1:6" x14ac:dyDescent="0.2">
      <c r="A86" s="29"/>
      <c r="B86" s="29"/>
      <c r="E86" s="29"/>
      <c r="F86" s="29"/>
    </row>
    <row r="87" spans="1:6" x14ac:dyDescent="0.2">
      <c r="A87" s="29"/>
      <c r="B87" s="29"/>
      <c r="E87" s="29"/>
      <c r="F87" s="29"/>
    </row>
    <row r="88" spans="1:6" x14ac:dyDescent="0.2">
      <c r="A88" s="29"/>
      <c r="B88" s="29"/>
      <c r="E88" s="29"/>
      <c r="F88" s="29"/>
    </row>
    <row r="89" spans="1:6" x14ac:dyDescent="0.2">
      <c r="A89" s="29"/>
      <c r="B89" s="29"/>
      <c r="E89" s="29"/>
      <c r="F89" s="29"/>
    </row>
    <row r="90" spans="1:6" x14ac:dyDescent="0.2">
      <c r="A90" s="29"/>
      <c r="B90" s="29"/>
      <c r="E90" s="29"/>
      <c r="F90" s="29"/>
    </row>
    <row r="91" spans="1:6" x14ac:dyDescent="0.2">
      <c r="A91" s="29"/>
      <c r="B91" s="29"/>
      <c r="E91" s="29"/>
      <c r="F91" s="29"/>
    </row>
    <row r="92" spans="1:6" x14ac:dyDescent="0.2">
      <c r="A92" s="29"/>
      <c r="B92" s="29"/>
      <c r="E92" s="29"/>
      <c r="F92" s="29"/>
    </row>
    <row r="93" spans="1:6" x14ac:dyDescent="0.2">
      <c r="A93" s="29"/>
      <c r="B93" s="29"/>
      <c r="E93" s="29"/>
      <c r="F93" s="29"/>
    </row>
    <row r="94" spans="1:6" x14ac:dyDescent="0.2">
      <c r="A94" s="29"/>
      <c r="B94" s="29"/>
      <c r="E94" s="29"/>
      <c r="F94" s="29"/>
    </row>
    <row r="95" spans="1:6" x14ac:dyDescent="0.2">
      <c r="A95" s="29"/>
      <c r="B95" s="29"/>
      <c r="E95" s="29"/>
      <c r="F95" s="29"/>
    </row>
    <row r="96" spans="1:6" x14ac:dyDescent="0.2">
      <c r="A96" s="29"/>
      <c r="B96" s="29"/>
      <c r="E96" s="29"/>
      <c r="F96" s="29"/>
    </row>
    <row r="97" spans="1:6" x14ac:dyDescent="0.2">
      <c r="A97" s="29"/>
      <c r="B97" s="29"/>
      <c r="E97" s="29"/>
      <c r="F97" s="29"/>
    </row>
    <row r="98" spans="1:6" x14ac:dyDescent="0.2">
      <c r="A98" s="29"/>
      <c r="B98" s="29"/>
      <c r="E98" s="29"/>
      <c r="F98" s="29"/>
    </row>
    <row r="99" spans="1:6" x14ac:dyDescent="0.2">
      <c r="A99" s="29"/>
      <c r="B99" s="29"/>
      <c r="E99" s="29"/>
      <c r="F99" s="29"/>
    </row>
    <row r="100" spans="1:6" x14ac:dyDescent="0.2">
      <c r="A100" s="29"/>
      <c r="B100" s="29"/>
      <c r="E100" s="29"/>
      <c r="F100" s="29"/>
    </row>
    <row r="101" spans="1:6" x14ac:dyDescent="0.2">
      <c r="A101" s="29"/>
      <c r="B101" s="29"/>
      <c r="E101" s="29"/>
      <c r="F101" s="29"/>
    </row>
    <row r="102" spans="1:6" x14ac:dyDescent="0.2">
      <c r="A102" s="29"/>
      <c r="B102" s="29"/>
      <c r="E102" s="29"/>
      <c r="F102" s="29"/>
    </row>
    <row r="103" spans="1:6" x14ac:dyDescent="0.2">
      <c r="A103" s="29"/>
      <c r="B103" s="29"/>
      <c r="E103" s="29"/>
      <c r="F103" s="29"/>
    </row>
    <row r="104" spans="1:6" x14ac:dyDescent="0.2">
      <c r="A104" s="29"/>
      <c r="B104" s="29"/>
      <c r="E104" s="29"/>
      <c r="F104" s="29"/>
    </row>
    <row r="105" spans="1:6" x14ac:dyDescent="0.2">
      <c r="A105" s="29"/>
      <c r="B105" s="29"/>
      <c r="E105" s="29"/>
      <c r="F105" s="29"/>
    </row>
    <row r="106" spans="1:6" x14ac:dyDescent="0.2">
      <c r="A106" s="29"/>
      <c r="B106" s="29"/>
      <c r="E106" s="29"/>
      <c r="F106" s="29"/>
    </row>
    <row r="107" spans="1:6" x14ac:dyDescent="0.2">
      <c r="A107" s="29"/>
      <c r="B107" s="29"/>
      <c r="E107" s="29"/>
      <c r="F107" s="29"/>
    </row>
    <row r="108" spans="1:6" x14ac:dyDescent="0.2">
      <c r="A108" s="29"/>
      <c r="B108" s="29"/>
      <c r="E108" s="29"/>
      <c r="F108" s="29"/>
    </row>
    <row r="109" spans="1:6" x14ac:dyDescent="0.2">
      <c r="A109" s="29"/>
      <c r="B109" s="29"/>
      <c r="E109" s="29"/>
      <c r="F109" s="29"/>
    </row>
    <row r="110" spans="1:6" x14ac:dyDescent="0.2">
      <c r="A110" s="29"/>
      <c r="B110" s="29"/>
      <c r="E110" s="29"/>
      <c r="F110" s="29"/>
    </row>
    <row r="111" spans="1:6" x14ac:dyDescent="0.2">
      <c r="A111" s="29"/>
      <c r="B111" s="29"/>
      <c r="E111" s="29"/>
      <c r="F111" s="29"/>
    </row>
    <row r="112" spans="1:6" x14ac:dyDescent="0.2">
      <c r="A112" s="29"/>
      <c r="B112" s="29"/>
      <c r="E112" s="29"/>
      <c r="F112" s="29"/>
    </row>
    <row r="113" spans="1:6" x14ac:dyDescent="0.2">
      <c r="A113" s="29"/>
      <c r="B113" s="29"/>
      <c r="E113" s="29"/>
      <c r="F113" s="29"/>
    </row>
    <row r="114" spans="1:6" x14ac:dyDescent="0.2">
      <c r="A114" s="29"/>
      <c r="B114" s="29"/>
      <c r="E114" s="29"/>
      <c r="F114" s="29"/>
    </row>
    <row r="115" spans="1:6" x14ac:dyDescent="0.2">
      <c r="A115" s="29"/>
      <c r="B115" s="29"/>
      <c r="E115" s="29"/>
      <c r="F115" s="29"/>
    </row>
    <row r="116" spans="1:6" x14ac:dyDescent="0.2">
      <c r="A116" s="29"/>
      <c r="B116" s="29"/>
      <c r="E116" s="29"/>
      <c r="F116" s="29"/>
    </row>
    <row r="117" spans="1:6" x14ac:dyDescent="0.2">
      <c r="A117" s="29"/>
      <c r="B117" s="29"/>
      <c r="E117" s="29"/>
      <c r="F117" s="29"/>
    </row>
    <row r="118" spans="1:6" x14ac:dyDescent="0.2">
      <c r="A118" s="29"/>
      <c r="B118" s="29"/>
      <c r="E118" s="29"/>
      <c r="F118" s="29"/>
    </row>
    <row r="119" spans="1:6" x14ac:dyDescent="0.2">
      <c r="A119" s="29"/>
      <c r="B119" s="29"/>
      <c r="E119" s="29"/>
      <c r="F119" s="29"/>
    </row>
    <row r="120" spans="1:6" x14ac:dyDescent="0.2">
      <c r="A120" s="29"/>
      <c r="B120" s="29"/>
      <c r="E120" s="29"/>
      <c r="F120" s="29"/>
    </row>
    <row r="121" spans="1:6" x14ac:dyDescent="0.2">
      <c r="A121" s="29"/>
      <c r="B121" s="29"/>
      <c r="E121" s="29"/>
      <c r="F121" s="29"/>
    </row>
    <row r="122" spans="1:6" x14ac:dyDescent="0.2">
      <c r="A122" s="29"/>
      <c r="B122" s="29"/>
      <c r="E122" s="29"/>
      <c r="F122" s="29"/>
    </row>
    <row r="123" spans="1:6" x14ac:dyDescent="0.2">
      <c r="A123" s="29"/>
      <c r="B123" s="29"/>
      <c r="E123" s="29"/>
      <c r="F123" s="29"/>
    </row>
    <row r="124" spans="1:6" x14ac:dyDescent="0.2">
      <c r="A124" s="29"/>
      <c r="B124" s="29"/>
      <c r="E124" s="29"/>
      <c r="F124" s="29"/>
    </row>
    <row r="125" spans="1:6" x14ac:dyDescent="0.2">
      <c r="A125" s="29"/>
      <c r="B125" s="29"/>
      <c r="E125" s="29"/>
      <c r="F125" s="29"/>
    </row>
    <row r="126" spans="1:6" x14ac:dyDescent="0.2">
      <c r="A126" s="29"/>
      <c r="B126" s="29"/>
      <c r="E126" s="29"/>
      <c r="F126" s="29"/>
    </row>
    <row r="127" spans="1:6" x14ac:dyDescent="0.2">
      <c r="A127" s="29"/>
      <c r="B127" s="29"/>
      <c r="E127" s="29"/>
      <c r="F127" s="29"/>
    </row>
    <row r="128" spans="1:6" x14ac:dyDescent="0.2">
      <c r="A128" s="29"/>
      <c r="B128" s="29"/>
      <c r="E128" s="29"/>
      <c r="F128" s="29"/>
    </row>
    <row r="129" spans="1:6" x14ac:dyDescent="0.2">
      <c r="A129" s="29"/>
      <c r="B129" s="29"/>
      <c r="E129" s="29"/>
      <c r="F129" s="29"/>
    </row>
    <row r="130" spans="1:6" x14ac:dyDescent="0.2">
      <c r="A130" s="29"/>
      <c r="B130" s="29"/>
      <c r="E130" s="29"/>
      <c r="F130" s="29"/>
    </row>
    <row r="131" spans="1:6" x14ac:dyDescent="0.2">
      <c r="A131" s="29"/>
      <c r="B131" s="29"/>
      <c r="E131" s="29"/>
      <c r="F131" s="29"/>
    </row>
    <row r="132" spans="1:6" x14ac:dyDescent="0.2">
      <c r="A132" s="29"/>
      <c r="B132" s="29"/>
      <c r="E132" s="29"/>
      <c r="F132" s="29"/>
    </row>
    <row r="133" spans="1:6" x14ac:dyDescent="0.2">
      <c r="A133" s="29"/>
      <c r="B133" s="29"/>
      <c r="E133" s="29"/>
      <c r="F133" s="29"/>
    </row>
    <row r="134" spans="1:6" x14ac:dyDescent="0.2">
      <c r="A134" s="29"/>
      <c r="B134" s="29"/>
      <c r="E134" s="29"/>
      <c r="F134" s="29"/>
    </row>
    <row r="135" spans="1:6" x14ac:dyDescent="0.2">
      <c r="A135" s="29"/>
      <c r="B135" s="29"/>
      <c r="E135" s="29"/>
      <c r="F135" s="29"/>
    </row>
    <row r="136" spans="1:6" x14ac:dyDescent="0.2">
      <c r="A136" s="29"/>
      <c r="B136" s="29"/>
      <c r="E136" s="29"/>
      <c r="F136" s="29"/>
    </row>
    <row r="137" spans="1:6" x14ac:dyDescent="0.2">
      <c r="A137" s="29"/>
      <c r="B137" s="29"/>
      <c r="E137" s="29"/>
      <c r="F137" s="29"/>
    </row>
    <row r="138" spans="1:6" x14ac:dyDescent="0.2">
      <c r="A138" s="29"/>
      <c r="B138" s="29"/>
      <c r="E138" s="29"/>
      <c r="F138" s="29"/>
    </row>
    <row r="139" spans="1:6" x14ac:dyDescent="0.2">
      <c r="A139" s="29"/>
      <c r="B139" s="29"/>
      <c r="E139" s="29"/>
      <c r="F139" s="29"/>
    </row>
    <row r="140" spans="1:6" x14ac:dyDescent="0.2">
      <c r="A140" s="29"/>
      <c r="B140" s="29"/>
      <c r="E140" s="29"/>
      <c r="F140" s="29"/>
    </row>
    <row r="141" spans="1:6" x14ac:dyDescent="0.2">
      <c r="A141" s="29"/>
      <c r="B141" s="29"/>
      <c r="E141" s="29"/>
      <c r="F141" s="29"/>
    </row>
    <row r="142" spans="1:6" x14ac:dyDescent="0.2">
      <c r="A142" s="29"/>
      <c r="B142" s="29"/>
      <c r="E142" s="29"/>
      <c r="F142" s="29"/>
    </row>
    <row r="143" spans="1:6" x14ac:dyDescent="0.2">
      <c r="A143" s="29"/>
      <c r="B143" s="29"/>
      <c r="E143" s="29"/>
      <c r="F143" s="29"/>
    </row>
    <row r="144" spans="1:6" x14ac:dyDescent="0.2">
      <c r="A144" s="29"/>
      <c r="B144" s="29"/>
      <c r="E144" s="29"/>
      <c r="F144" s="29"/>
    </row>
    <row r="145" spans="1:6" x14ac:dyDescent="0.2">
      <c r="A145" s="29"/>
      <c r="B145" s="29"/>
      <c r="E145" s="29"/>
      <c r="F145" s="29"/>
    </row>
    <row r="146" spans="1:6" x14ac:dyDescent="0.2">
      <c r="A146" s="29"/>
      <c r="B146" s="29"/>
      <c r="E146" s="29"/>
      <c r="F146" s="29"/>
    </row>
    <row r="147" spans="1:6" x14ac:dyDescent="0.2">
      <c r="A147" s="29"/>
      <c r="B147" s="29"/>
      <c r="E147" s="29"/>
      <c r="F147" s="29"/>
    </row>
    <row r="148" spans="1:6" x14ac:dyDescent="0.2">
      <c r="A148" s="29"/>
      <c r="B148" s="29"/>
      <c r="E148" s="29"/>
      <c r="F148" s="29"/>
    </row>
    <row r="149" spans="1:6" x14ac:dyDescent="0.2">
      <c r="A149" s="29"/>
      <c r="B149" s="29"/>
      <c r="E149" s="29"/>
      <c r="F149" s="29"/>
    </row>
    <row r="150" spans="1:6" x14ac:dyDescent="0.2">
      <c r="A150" s="29"/>
      <c r="B150" s="29"/>
      <c r="E150" s="29"/>
      <c r="F150" s="29"/>
    </row>
    <row r="151" spans="1:6" x14ac:dyDescent="0.2">
      <c r="A151" s="29"/>
      <c r="B151" s="29"/>
      <c r="E151" s="29"/>
      <c r="F151" s="29"/>
    </row>
    <row r="152" spans="1:6" x14ac:dyDescent="0.2">
      <c r="A152" s="29"/>
      <c r="B152" s="29"/>
      <c r="E152" s="29"/>
      <c r="F152" s="29"/>
    </row>
    <row r="153" spans="1:6" x14ac:dyDescent="0.2">
      <c r="A153" s="29"/>
      <c r="B153" s="29"/>
      <c r="E153" s="29"/>
      <c r="F153" s="29"/>
    </row>
    <row r="154" spans="1:6" x14ac:dyDescent="0.2">
      <c r="A154" s="29"/>
      <c r="B154" s="29"/>
      <c r="E154" s="29"/>
      <c r="F154" s="29"/>
    </row>
    <row r="155" spans="1:6" x14ac:dyDescent="0.2">
      <c r="A155" s="29"/>
      <c r="B155" s="29"/>
      <c r="E155" s="29"/>
      <c r="F155" s="29"/>
    </row>
    <row r="156" spans="1:6" x14ac:dyDescent="0.2">
      <c r="A156" s="29"/>
      <c r="B156" s="29"/>
      <c r="E156" s="29"/>
      <c r="F156" s="29"/>
    </row>
    <row r="157" spans="1:6" x14ac:dyDescent="0.2">
      <c r="A157" s="29"/>
      <c r="B157" s="29"/>
      <c r="E157" s="29"/>
      <c r="F157" s="29"/>
    </row>
    <row r="158" spans="1:6" x14ac:dyDescent="0.2">
      <c r="A158" s="29"/>
      <c r="B158" s="29"/>
      <c r="E158" s="29"/>
      <c r="F158" s="29"/>
    </row>
    <row r="159" spans="1:6" x14ac:dyDescent="0.2">
      <c r="A159" s="29"/>
      <c r="B159" s="29"/>
      <c r="E159" s="29"/>
      <c r="F159" s="29"/>
    </row>
    <row r="160" spans="1:6" x14ac:dyDescent="0.2">
      <c r="A160" s="29"/>
      <c r="B160" s="29"/>
      <c r="E160" s="29"/>
      <c r="F160" s="29"/>
    </row>
    <row r="161" spans="1:6" x14ac:dyDescent="0.2">
      <c r="A161" s="29"/>
      <c r="B161" s="29"/>
      <c r="E161" s="29"/>
      <c r="F161" s="29"/>
    </row>
    <row r="162" spans="1:6" x14ac:dyDescent="0.2">
      <c r="A162" s="29"/>
      <c r="B162" s="29"/>
      <c r="E162" s="29"/>
      <c r="F162" s="29"/>
    </row>
    <row r="163" spans="1:6" x14ac:dyDescent="0.2">
      <c r="A163" s="29"/>
      <c r="B163" s="29"/>
      <c r="E163" s="29"/>
      <c r="F163" s="29"/>
    </row>
    <row r="164" spans="1:6" x14ac:dyDescent="0.2">
      <c r="A164" s="29"/>
      <c r="B164" s="29"/>
      <c r="E164" s="29"/>
      <c r="F164" s="29"/>
    </row>
    <row r="165" spans="1:6" x14ac:dyDescent="0.2">
      <c r="A165" s="29"/>
      <c r="B165" s="29"/>
      <c r="E165" s="29"/>
      <c r="F165" s="29"/>
    </row>
    <row r="166" spans="1:6" x14ac:dyDescent="0.2">
      <c r="A166" s="29"/>
      <c r="B166" s="29"/>
      <c r="E166" s="29"/>
      <c r="F166" s="29"/>
    </row>
    <row r="167" spans="1:6" x14ac:dyDescent="0.2">
      <c r="A167" s="29"/>
      <c r="B167" s="29"/>
      <c r="E167" s="29"/>
      <c r="F167" s="29"/>
    </row>
    <row r="168" spans="1:6" x14ac:dyDescent="0.2">
      <c r="A168" s="29"/>
      <c r="B168" s="29"/>
      <c r="E168" s="29"/>
      <c r="F168" s="29"/>
    </row>
    <row r="169" spans="1:6" x14ac:dyDescent="0.2">
      <c r="A169" s="29"/>
      <c r="B169" s="29"/>
      <c r="E169" s="29"/>
      <c r="F169" s="29"/>
    </row>
    <row r="170" spans="1:6" x14ac:dyDescent="0.2">
      <c r="A170" s="29"/>
      <c r="B170" s="29"/>
      <c r="E170" s="29"/>
      <c r="F170" s="29"/>
    </row>
    <row r="171" spans="1:6" x14ac:dyDescent="0.2">
      <c r="A171" s="29"/>
      <c r="B171" s="29"/>
      <c r="E171" s="29"/>
      <c r="F171" s="29"/>
    </row>
    <row r="172" spans="1:6" x14ac:dyDescent="0.2">
      <c r="A172" s="29"/>
      <c r="B172" s="29"/>
      <c r="E172" s="29"/>
      <c r="F172" s="29"/>
    </row>
    <row r="173" spans="1:6" x14ac:dyDescent="0.2">
      <c r="A173" s="29"/>
      <c r="B173" s="29"/>
      <c r="E173" s="29"/>
      <c r="F173" s="29"/>
    </row>
    <row r="174" spans="1:6" x14ac:dyDescent="0.2">
      <c r="A174" s="29"/>
      <c r="B174" s="29"/>
      <c r="E174" s="29"/>
      <c r="F174" s="29"/>
    </row>
    <row r="175" spans="1:6" x14ac:dyDescent="0.2">
      <c r="A175" s="29"/>
      <c r="B175" s="29"/>
      <c r="E175" s="29"/>
      <c r="F175" s="29"/>
    </row>
    <row r="176" spans="1:6" x14ac:dyDescent="0.2">
      <c r="A176" s="29"/>
      <c r="B176" s="29"/>
      <c r="E176" s="29"/>
      <c r="F176" s="29"/>
    </row>
    <row r="177" spans="1:6" x14ac:dyDescent="0.2">
      <c r="A177" s="29"/>
      <c r="B177" s="29"/>
      <c r="E177" s="29"/>
      <c r="F177" s="29"/>
    </row>
    <row r="178" spans="1:6" x14ac:dyDescent="0.2">
      <c r="A178" s="29"/>
      <c r="B178" s="29"/>
      <c r="E178" s="29"/>
      <c r="F178" s="29"/>
    </row>
    <row r="179" spans="1:6" x14ac:dyDescent="0.2">
      <c r="A179" s="29"/>
      <c r="B179" s="29"/>
      <c r="E179" s="29"/>
      <c r="F179" s="29"/>
    </row>
    <row r="180" spans="1:6" x14ac:dyDescent="0.2">
      <c r="A180" s="29"/>
      <c r="B180" s="29"/>
      <c r="E180" s="29"/>
      <c r="F180" s="29"/>
    </row>
    <row r="181" spans="1:6" x14ac:dyDescent="0.2">
      <c r="A181" s="29"/>
      <c r="B181" s="29"/>
      <c r="E181" s="29"/>
      <c r="F181" s="29"/>
    </row>
    <row r="182" spans="1:6" x14ac:dyDescent="0.2">
      <c r="A182" s="29"/>
      <c r="B182" s="29"/>
      <c r="E182" s="29"/>
      <c r="F182" s="29"/>
    </row>
    <row r="183" spans="1:6" x14ac:dyDescent="0.2">
      <c r="A183" s="29"/>
      <c r="B183" s="29"/>
      <c r="E183" s="29"/>
      <c r="F183" s="29"/>
    </row>
    <row r="184" spans="1:6" x14ac:dyDescent="0.2">
      <c r="A184" s="29"/>
      <c r="B184" s="29"/>
      <c r="E184" s="29"/>
      <c r="F184" s="29"/>
    </row>
    <row r="185" spans="1:6" x14ac:dyDescent="0.2">
      <c r="A185" s="29"/>
      <c r="B185" s="29"/>
      <c r="E185" s="29"/>
      <c r="F185" s="29"/>
    </row>
    <row r="186" spans="1:6" x14ac:dyDescent="0.2">
      <c r="A186" s="29"/>
      <c r="B186" s="29"/>
      <c r="E186" s="29"/>
      <c r="F186" s="29"/>
    </row>
    <row r="187" spans="1:6" x14ac:dyDescent="0.2">
      <c r="A187" s="29"/>
      <c r="B187" s="29"/>
      <c r="E187" s="29"/>
      <c r="F187" s="29"/>
    </row>
    <row r="188" spans="1:6" x14ac:dyDescent="0.2">
      <c r="A188" s="29"/>
      <c r="B188" s="29"/>
      <c r="E188" s="29"/>
      <c r="F188" s="29"/>
    </row>
    <row r="189" spans="1:6" x14ac:dyDescent="0.2">
      <c r="A189" s="29"/>
      <c r="B189" s="29"/>
      <c r="E189" s="29"/>
      <c r="F189" s="29"/>
    </row>
    <row r="190" spans="1:6" x14ac:dyDescent="0.2">
      <c r="A190" s="29"/>
      <c r="B190" s="29"/>
      <c r="E190" s="29"/>
      <c r="F190" s="29"/>
    </row>
    <row r="191" spans="1:6" x14ac:dyDescent="0.2">
      <c r="A191" s="29"/>
      <c r="B191" s="29"/>
      <c r="E191" s="29"/>
      <c r="F191" s="29"/>
    </row>
    <row r="192" spans="1:6" x14ac:dyDescent="0.2">
      <c r="A192" s="29"/>
      <c r="B192" s="29"/>
      <c r="E192" s="29"/>
      <c r="F192" s="29"/>
    </row>
    <row r="193" spans="1:6" x14ac:dyDescent="0.2">
      <c r="A193" s="29"/>
      <c r="B193" s="29"/>
      <c r="E193" s="29"/>
      <c r="F193" s="29"/>
    </row>
    <row r="194" spans="1:6" x14ac:dyDescent="0.2">
      <c r="A194" s="29"/>
      <c r="B194" s="29"/>
      <c r="E194" s="29"/>
      <c r="F194" s="29"/>
    </row>
    <row r="195" spans="1:6" x14ac:dyDescent="0.2">
      <c r="A195" s="29"/>
      <c r="B195" s="29"/>
      <c r="E195" s="29"/>
      <c r="F195" s="29"/>
    </row>
    <row r="196" spans="1:6" x14ac:dyDescent="0.2">
      <c r="A196" s="29"/>
      <c r="B196" s="29"/>
      <c r="E196" s="29"/>
      <c r="F196" s="29"/>
    </row>
    <row r="197" spans="1:6" x14ac:dyDescent="0.2">
      <c r="A197" s="29"/>
      <c r="B197" s="29"/>
      <c r="E197" s="29"/>
      <c r="F197" s="29"/>
    </row>
    <row r="198" spans="1:6" x14ac:dyDescent="0.2">
      <c r="A198" s="29"/>
      <c r="B198" s="29"/>
      <c r="E198" s="29"/>
      <c r="F198" s="29"/>
    </row>
    <row r="199" spans="1:6" x14ac:dyDescent="0.2">
      <c r="A199" s="29"/>
      <c r="B199" s="29"/>
      <c r="E199" s="29"/>
      <c r="F199" s="29"/>
    </row>
    <row r="200" spans="1:6" x14ac:dyDescent="0.2">
      <c r="A200" s="29"/>
      <c r="B200" s="29"/>
      <c r="E200" s="29"/>
      <c r="F200" s="29"/>
    </row>
    <row r="201" spans="1:6" x14ac:dyDescent="0.2">
      <c r="A201" s="29"/>
      <c r="B201" s="29"/>
      <c r="E201" s="29"/>
      <c r="F201" s="29"/>
    </row>
    <row r="202" spans="1:6" x14ac:dyDescent="0.2">
      <c r="A202" s="29"/>
      <c r="B202" s="29"/>
      <c r="E202" s="29"/>
      <c r="F202" s="29"/>
    </row>
    <row r="203" spans="1:6" x14ac:dyDescent="0.2">
      <c r="A203" s="29"/>
      <c r="B203" s="29"/>
      <c r="E203" s="29"/>
      <c r="F203" s="29"/>
    </row>
    <row r="204" spans="1:6" x14ac:dyDescent="0.2">
      <c r="A204" s="29"/>
      <c r="B204" s="29"/>
      <c r="E204" s="29"/>
      <c r="F204" s="29"/>
    </row>
    <row r="205" spans="1:6" x14ac:dyDescent="0.2">
      <c r="A205" s="29"/>
      <c r="B205" s="29"/>
      <c r="E205" s="29"/>
      <c r="F205" s="29"/>
    </row>
    <row r="206" spans="1:6" x14ac:dyDescent="0.2">
      <c r="A206" s="29"/>
      <c r="B206" s="29"/>
      <c r="E206" s="29"/>
      <c r="F206" s="29"/>
    </row>
    <row r="207" spans="1:6" x14ac:dyDescent="0.2">
      <c r="A207" s="29"/>
      <c r="B207" s="29"/>
      <c r="E207" s="29"/>
      <c r="F207" s="29"/>
    </row>
    <row r="208" spans="1:6" x14ac:dyDescent="0.2">
      <c r="A208" s="29"/>
      <c r="B208" s="29"/>
      <c r="E208" s="29"/>
      <c r="F208" s="29"/>
    </row>
    <row r="209" spans="1:6" x14ac:dyDescent="0.2">
      <c r="A209" s="29"/>
      <c r="B209" s="29"/>
      <c r="E209" s="29"/>
      <c r="F209" s="29"/>
    </row>
    <row r="210" spans="1:6" x14ac:dyDescent="0.2">
      <c r="A210" s="29"/>
      <c r="B210" s="29"/>
      <c r="E210" s="29"/>
      <c r="F210" s="29"/>
    </row>
    <row r="211" spans="1:6" x14ac:dyDescent="0.2">
      <c r="A211" s="29"/>
      <c r="B211" s="29"/>
      <c r="E211" s="29"/>
      <c r="F211" s="29"/>
    </row>
    <row r="212" spans="1:6" x14ac:dyDescent="0.2">
      <c r="A212" s="29"/>
      <c r="B212" s="29"/>
      <c r="E212" s="29"/>
      <c r="F212" s="29"/>
    </row>
    <row r="213" spans="1:6" x14ac:dyDescent="0.2">
      <c r="A213" s="29"/>
      <c r="B213" s="29"/>
      <c r="E213" s="29"/>
      <c r="F213" s="29"/>
    </row>
    <row r="214" spans="1:6" x14ac:dyDescent="0.2">
      <c r="A214" s="29"/>
      <c r="B214" s="29"/>
      <c r="E214" s="29"/>
      <c r="F214" s="29"/>
    </row>
    <row r="215" spans="1:6" x14ac:dyDescent="0.2">
      <c r="A215" s="29"/>
      <c r="B215" s="29"/>
      <c r="E215" s="29"/>
      <c r="F215" s="29"/>
    </row>
    <row r="216" spans="1:6" x14ac:dyDescent="0.2">
      <c r="A216" s="29"/>
      <c r="B216" s="29"/>
      <c r="E216" s="29"/>
      <c r="F216" s="29"/>
    </row>
    <row r="217" spans="1:6" x14ac:dyDescent="0.2">
      <c r="A217" s="29"/>
      <c r="B217" s="29"/>
      <c r="E217" s="29"/>
      <c r="F217" s="29"/>
    </row>
    <row r="218" spans="1:6" x14ac:dyDescent="0.2">
      <c r="A218" s="29"/>
      <c r="B218" s="29"/>
      <c r="E218" s="29"/>
      <c r="F218" s="29"/>
    </row>
    <row r="219" spans="1:6" x14ac:dyDescent="0.2">
      <c r="A219" s="29"/>
      <c r="B219" s="29"/>
      <c r="E219" s="29"/>
      <c r="F219" s="29"/>
    </row>
    <row r="220" spans="1:6" x14ac:dyDescent="0.2">
      <c r="A220" s="29"/>
      <c r="B220" s="29"/>
      <c r="E220" s="29"/>
      <c r="F220" s="29"/>
    </row>
    <row r="221" spans="1:6" x14ac:dyDescent="0.2">
      <c r="A221" s="29"/>
      <c r="B221" s="29"/>
      <c r="E221" s="29"/>
      <c r="F221" s="29"/>
    </row>
    <row r="222" spans="1:6" x14ac:dyDescent="0.2">
      <c r="A222" s="29"/>
      <c r="B222" s="29"/>
      <c r="E222" s="29"/>
      <c r="F222" s="29"/>
    </row>
    <row r="223" spans="1:6" x14ac:dyDescent="0.2">
      <c r="A223" s="29"/>
      <c r="B223" s="29"/>
      <c r="E223" s="29"/>
      <c r="F223" s="29"/>
    </row>
    <row r="224" spans="1:6" x14ac:dyDescent="0.2">
      <c r="A224" s="29"/>
      <c r="B224" s="29"/>
      <c r="E224" s="29"/>
      <c r="F224" s="29"/>
    </row>
    <row r="225" spans="1:6" x14ac:dyDescent="0.2">
      <c r="A225" s="29"/>
      <c r="B225" s="29"/>
      <c r="E225" s="29"/>
      <c r="F225" s="29"/>
    </row>
    <row r="226" spans="1:6" x14ac:dyDescent="0.2">
      <c r="A226" s="29"/>
      <c r="B226" s="29"/>
      <c r="E226" s="29"/>
      <c r="F226" s="29"/>
    </row>
    <row r="227" spans="1:6" x14ac:dyDescent="0.2">
      <c r="A227" s="29"/>
      <c r="B227" s="29"/>
      <c r="E227" s="29"/>
      <c r="F227" s="29"/>
    </row>
    <row r="228" spans="1:6" x14ac:dyDescent="0.2">
      <c r="A228" s="29"/>
      <c r="B228" s="29"/>
      <c r="E228" s="29"/>
      <c r="F228" s="29"/>
    </row>
    <row r="229" spans="1:6" x14ac:dyDescent="0.2">
      <c r="A229" s="29"/>
      <c r="B229" s="29"/>
      <c r="E229" s="29"/>
      <c r="F229" s="29"/>
    </row>
    <row r="230" spans="1:6" x14ac:dyDescent="0.2">
      <c r="A230" s="29"/>
      <c r="B230" s="29"/>
      <c r="E230" s="29"/>
      <c r="F230" s="29"/>
    </row>
    <row r="231" spans="1:6" x14ac:dyDescent="0.2">
      <c r="A231" s="29"/>
      <c r="B231" s="29"/>
      <c r="E231" s="29"/>
      <c r="F231" s="29"/>
    </row>
    <row r="232" spans="1:6" x14ac:dyDescent="0.2">
      <c r="A232" s="29"/>
      <c r="B232" s="29"/>
      <c r="E232" s="29"/>
      <c r="F232" s="29"/>
    </row>
    <row r="233" spans="1:6" x14ac:dyDescent="0.2">
      <c r="A233" s="29"/>
      <c r="B233" s="29"/>
      <c r="E233" s="29"/>
      <c r="F233" s="29"/>
    </row>
    <row r="234" spans="1:6" x14ac:dyDescent="0.2">
      <c r="A234" s="29"/>
      <c r="B234" s="29"/>
      <c r="E234" s="29"/>
      <c r="F234" s="29"/>
    </row>
    <row r="235" spans="1:6" x14ac:dyDescent="0.2">
      <c r="A235" s="29"/>
      <c r="B235" s="29"/>
      <c r="E235" s="29"/>
      <c r="F235" s="29"/>
    </row>
    <row r="236" spans="1:6" x14ac:dyDescent="0.2">
      <c r="A236" s="29"/>
      <c r="B236" s="29"/>
      <c r="E236" s="29"/>
      <c r="F236" s="29"/>
    </row>
    <row r="237" spans="1:6" x14ac:dyDescent="0.2">
      <c r="A237" s="29"/>
      <c r="B237" s="29"/>
      <c r="E237" s="29"/>
      <c r="F237" s="29"/>
    </row>
    <row r="238" spans="1:6" x14ac:dyDescent="0.2">
      <c r="A238" s="29"/>
      <c r="B238" s="29"/>
      <c r="E238" s="29"/>
      <c r="F238" s="29"/>
    </row>
    <row r="239" spans="1:6" x14ac:dyDescent="0.2">
      <c r="A239" s="29"/>
      <c r="B239" s="29"/>
      <c r="E239" s="29"/>
      <c r="F239" s="29"/>
    </row>
    <row r="240" spans="1:6" x14ac:dyDescent="0.2">
      <c r="B240" s="29"/>
      <c r="E240" s="29"/>
      <c r="F240" s="29"/>
    </row>
    <row r="241" spans="2:6" x14ac:dyDescent="0.2">
      <c r="B241" s="29"/>
      <c r="E241" s="29"/>
      <c r="F241" s="29"/>
    </row>
    <row r="242" spans="2:6" x14ac:dyDescent="0.2">
      <c r="B242" s="29"/>
      <c r="E242" s="29"/>
      <c r="F242" s="29"/>
    </row>
    <row r="243" spans="2:6" x14ac:dyDescent="0.2">
      <c r="B243" s="29"/>
      <c r="E243" s="29"/>
      <c r="F243" s="29"/>
    </row>
    <row r="244" spans="2:6" x14ac:dyDescent="0.2">
      <c r="B244" s="29"/>
      <c r="E244" s="29"/>
      <c r="F244" s="29"/>
    </row>
    <row r="245" spans="2:6" x14ac:dyDescent="0.2">
      <c r="B245" s="29"/>
      <c r="E245" s="29"/>
      <c r="F245" s="29"/>
    </row>
    <row r="246" spans="2:6" x14ac:dyDescent="0.2">
      <c r="B246" s="29"/>
      <c r="E246" s="29"/>
      <c r="F246" s="29"/>
    </row>
    <row r="247" spans="2:6" x14ac:dyDescent="0.2">
      <c r="B247" s="29"/>
      <c r="E247" s="29"/>
      <c r="F247" s="29"/>
    </row>
    <row r="248" spans="2:6" x14ac:dyDescent="0.2">
      <c r="B248" s="29"/>
      <c r="E248" s="29"/>
      <c r="F248" s="29"/>
    </row>
    <row r="249" spans="2:6" x14ac:dyDescent="0.2">
      <c r="B249" s="29"/>
      <c r="E249" s="29"/>
      <c r="F249" s="29"/>
    </row>
    <row r="250" spans="2:6" x14ac:dyDescent="0.2">
      <c r="B250" s="29"/>
      <c r="E250" s="29"/>
      <c r="F250" s="29"/>
    </row>
    <row r="251" spans="2:6" x14ac:dyDescent="0.2">
      <c r="B251" s="29"/>
      <c r="E251" s="29"/>
      <c r="F251" s="29"/>
    </row>
    <row r="252" spans="2:6" x14ac:dyDescent="0.2">
      <c r="B252" s="29"/>
      <c r="E252" s="29"/>
      <c r="F252" s="29"/>
    </row>
    <row r="253" spans="2:6" x14ac:dyDescent="0.2">
      <c r="B253" s="29"/>
      <c r="E253" s="29"/>
      <c r="F253" s="29"/>
    </row>
    <row r="254" spans="2:6" x14ac:dyDescent="0.2">
      <c r="B254" s="29"/>
      <c r="E254" s="29"/>
      <c r="F254" s="29"/>
    </row>
    <row r="255" spans="2:6" x14ac:dyDescent="0.2">
      <c r="B255" s="29"/>
      <c r="E255" s="29"/>
      <c r="F255" s="29"/>
    </row>
    <row r="256" spans="2:6" x14ac:dyDescent="0.2">
      <c r="B256" s="29"/>
      <c r="E256" s="29"/>
      <c r="F256" s="29"/>
    </row>
    <row r="257" spans="2:6" x14ac:dyDescent="0.2">
      <c r="B257" s="29"/>
      <c r="E257" s="29"/>
      <c r="F257" s="29"/>
    </row>
    <row r="258" spans="2:6" x14ac:dyDescent="0.2">
      <c r="B258" s="29"/>
      <c r="E258" s="29"/>
      <c r="F258" s="29"/>
    </row>
    <row r="259" spans="2:6" x14ac:dyDescent="0.2">
      <c r="B259" s="29"/>
      <c r="E259" s="29"/>
      <c r="F259" s="29"/>
    </row>
    <row r="260" spans="2:6" x14ac:dyDescent="0.2">
      <c r="B260" s="29"/>
      <c r="E260" s="29"/>
      <c r="F260" s="29"/>
    </row>
    <row r="261" spans="2:6" x14ac:dyDescent="0.2">
      <c r="B261" s="29"/>
      <c r="E261" s="29"/>
      <c r="F261" s="29"/>
    </row>
    <row r="262" spans="2:6" x14ac:dyDescent="0.2">
      <c r="B262" s="29"/>
      <c r="E262" s="29"/>
      <c r="F262" s="29"/>
    </row>
    <row r="263" spans="2:6" x14ac:dyDescent="0.2">
      <c r="B263" s="29"/>
      <c r="E263" s="29"/>
      <c r="F263" s="29"/>
    </row>
    <row r="264" spans="2:6" x14ac:dyDescent="0.2">
      <c r="B264" s="29"/>
      <c r="E264" s="29"/>
      <c r="F264" s="29"/>
    </row>
    <row r="265" spans="2:6" x14ac:dyDescent="0.2">
      <c r="B265" s="29"/>
      <c r="E265" s="29"/>
      <c r="F265" s="29"/>
    </row>
    <row r="266" spans="2:6" x14ac:dyDescent="0.2">
      <c r="B266" s="29"/>
      <c r="E266" s="29"/>
      <c r="F266" s="29"/>
    </row>
    <row r="267" spans="2:6" x14ac:dyDescent="0.2">
      <c r="B267" s="29"/>
      <c r="E267" s="29"/>
      <c r="F267" s="29"/>
    </row>
    <row r="268" spans="2:6" x14ac:dyDescent="0.2">
      <c r="B268" s="29"/>
      <c r="E268" s="29"/>
      <c r="F268" s="29"/>
    </row>
    <row r="269" spans="2:6" x14ac:dyDescent="0.2">
      <c r="B269" s="29"/>
      <c r="E269" s="29"/>
      <c r="F269" s="29"/>
    </row>
    <row r="270" spans="2:6" x14ac:dyDescent="0.2">
      <c r="B270" s="29"/>
      <c r="E270" s="29"/>
      <c r="F270" s="29"/>
    </row>
    <row r="271" spans="2:6" x14ac:dyDescent="0.2">
      <c r="B271" s="29"/>
      <c r="E271" s="29"/>
      <c r="F271" s="29"/>
    </row>
    <row r="272" spans="2:6" x14ac:dyDescent="0.2">
      <c r="B272" s="29"/>
      <c r="E272" s="29"/>
      <c r="F272" s="29"/>
    </row>
    <row r="273" spans="2:6" x14ac:dyDescent="0.2">
      <c r="B273" s="29"/>
      <c r="E273" s="29"/>
      <c r="F273" s="29"/>
    </row>
    <row r="274" spans="2:6" x14ac:dyDescent="0.2">
      <c r="B274" s="29"/>
      <c r="E274" s="29"/>
      <c r="F274" s="29"/>
    </row>
    <row r="275" spans="2:6" x14ac:dyDescent="0.2">
      <c r="B275" s="29"/>
      <c r="E275" s="29"/>
      <c r="F275" s="29"/>
    </row>
    <row r="276" spans="2:6" x14ac:dyDescent="0.2">
      <c r="B276" s="29"/>
      <c r="E276" s="29"/>
      <c r="F276" s="29"/>
    </row>
    <row r="277" spans="2:6" x14ac:dyDescent="0.2">
      <c r="B277" s="29"/>
      <c r="E277" s="29"/>
      <c r="F277" s="29"/>
    </row>
    <row r="278" spans="2:6" x14ac:dyDescent="0.2">
      <c r="B278" s="29"/>
      <c r="E278" s="29"/>
      <c r="F278" s="29"/>
    </row>
    <row r="279" spans="2:6" x14ac:dyDescent="0.2">
      <c r="B279" s="29"/>
      <c r="E279" s="29"/>
      <c r="F279" s="29"/>
    </row>
    <row r="280" spans="2:6" x14ac:dyDescent="0.2">
      <c r="B280" s="29"/>
      <c r="E280" s="29"/>
      <c r="F280" s="29"/>
    </row>
    <row r="281" spans="2:6" x14ac:dyDescent="0.2">
      <c r="B281" s="29"/>
      <c r="E281" s="29"/>
      <c r="F281" s="29"/>
    </row>
    <row r="282" spans="2:6" x14ac:dyDescent="0.2">
      <c r="B282" s="29"/>
      <c r="E282" s="29"/>
      <c r="F282" s="29"/>
    </row>
    <row r="283" spans="2:6" x14ac:dyDescent="0.2">
      <c r="B283" s="29"/>
      <c r="E283" s="29"/>
      <c r="F283" s="29"/>
    </row>
    <row r="284" spans="2:6" x14ac:dyDescent="0.2">
      <c r="B284" s="29"/>
      <c r="E284" s="29"/>
      <c r="F284" s="29"/>
    </row>
    <row r="285" spans="2:6" x14ac:dyDescent="0.2">
      <c r="B285" s="29"/>
      <c r="E285" s="29"/>
      <c r="F285" s="29"/>
    </row>
    <row r="286" spans="2:6" x14ac:dyDescent="0.2">
      <c r="B286" s="29"/>
      <c r="E286" s="29"/>
      <c r="F286" s="29"/>
    </row>
    <row r="287" spans="2:6" x14ac:dyDescent="0.2">
      <c r="B287" s="29"/>
      <c r="E287" s="29"/>
      <c r="F287" s="29"/>
    </row>
    <row r="288" spans="2:6" x14ac:dyDescent="0.2">
      <c r="B288" s="29"/>
      <c r="E288" s="29"/>
      <c r="F288" s="29"/>
    </row>
    <row r="289" spans="2:6" x14ac:dyDescent="0.2">
      <c r="B289" s="29"/>
      <c r="E289" s="29"/>
      <c r="F289" s="29"/>
    </row>
    <row r="290" spans="2:6" x14ac:dyDescent="0.2">
      <c r="B290" s="29"/>
      <c r="E290" s="29"/>
      <c r="F290" s="29"/>
    </row>
    <row r="291" spans="2:6" x14ac:dyDescent="0.2">
      <c r="B291" s="29"/>
      <c r="E291" s="29"/>
      <c r="F291" s="29"/>
    </row>
    <row r="292" spans="2:6" x14ac:dyDescent="0.2">
      <c r="B292" s="29"/>
      <c r="E292" s="29"/>
      <c r="F292" s="29"/>
    </row>
    <row r="293" spans="2:6" x14ac:dyDescent="0.2">
      <c r="B293" s="29"/>
      <c r="E293" s="29"/>
      <c r="F293" s="29"/>
    </row>
    <row r="294" spans="2:6" x14ac:dyDescent="0.2">
      <c r="B294" s="29"/>
      <c r="E294" s="29"/>
      <c r="F294" s="29"/>
    </row>
    <row r="295" spans="2:6" x14ac:dyDescent="0.2">
      <c r="B295" s="29"/>
      <c r="E295" s="29"/>
      <c r="F295" s="29"/>
    </row>
    <row r="296" spans="2:6" x14ac:dyDescent="0.2">
      <c r="B296" s="29"/>
      <c r="E296" s="29"/>
      <c r="F296" s="29"/>
    </row>
    <row r="297" spans="2:6" x14ac:dyDescent="0.2">
      <c r="B297" s="29"/>
      <c r="E297" s="29"/>
      <c r="F297" s="29"/>
    </row>
    <row r="298" spans="2:6" x14ac:dyDescent="0.2">
      <c r="B298" s="29"/>
      <c r="E298" s="29"/>
      <c r="F298" s="29"/>
    </row>
    <row r="299" spans="2:6" x14ac:dyDescent="0.2">
      <c r="B299" s="29"/>
      <c r="E299" s="29"/>
      <c r="F299" s="29"/>
    </row>
    <row r="300" spans="2:6" x14ac:dyDescent="0.2">
      <c r="B300" s="29"/>
      <c r="E300" s="29"/>
      <c r="F300" s="29"/>
    </row>
    <row r="301" spans="2:6" x14ac:dyDescent="0.2">
      <c r="B301" s="29"/>
      <c r="E301" s="29"/>
      <c r="F301" s="29"/>
    </row>
    <row r="302" spans="2:6" x14ac:dyDescent="0.2">
      <c r="B302" s="29"/>
      <c r="E302" s="29"/>
      <c r="F302" s="29"/>
    </row>
    <row r="303" spans="2:6" x14ac:dyDescent="0.2">
      <c r="B303" s="29"/>
      <c r="E303" s="29"/>
      <c r="F303" s="29"/>
    </row>
    <row r="304" spans="2:6" x14ac:dyDescent="0.2">
      <c r="B304" s="29"/>
      <c r="E304" s="29"/>
      <c r="F304" s="29"/>
    </row>
    <row r="305" spans="2:6" x14ac:dyDescent="0.2">
      <c r="B305" s="29"/>
      <c r="E305" s="29"/>
      <c r="F305" s="29"/>
    </row>
    <row r="306" spans="2:6" x14ac:dyDescent="0.2">
      <c r="B306" s="29"/>
      <c r="E306" s="29"/>
      <c r="F306" s="29"/>
    </row>
    <row r="307" spans="2:6" x14ac:dyDescent="0.2">
      <c r="B307" s="29"/>
      <c r="E307" s="29"/>
      <c r="F307" s="29"/>
    </row>
    <row r="308" spans="2:6" x14ac:dyDescent="0.2">
      <c r="B308" s="29"/>
      <c r="E308" s="29"/>
      <c r="F308" s="29"/>
    </row>
    <row r="309" spans="2:6" x14ac:dyDescent="0.2">
      <c r="B309" s="29"/>
      <c r="E309" s="29"/>
      <c r="F309" s="29"/>
    </row>
    <row r="310" spans="2:6" x14ac:dyDescent="0.2">
      <c r="B310" s="29"/>
      <c r="E310" s="29"/>
      <c r="F310" s="29"/>
    </row>
    <row r="311" spans="2:6" x14ac:dyDescent="0.2">
      <c r="B311" s="29"/>
      <c r="E311" s="29"/>
      <c r="F311" s="29"/>
    </row>
    <row r="312" spans="2:6" x14ac:dyDescent="0.2">
      <c r="B312" s="29"/>
      <c r="E312" s="29"/>
    </row>
    <row r="313" spans="2:6" x14ac:dyDescent="0.2">
      <c r="B313" s="29"/>
      <c r="E313" s="29"/>
    </row>
    <row r="314" spans="2:6" x14ac:dyDescent="0.2">
      <c r="B314" s="29"/>
    </row>
    <row r="315" spans="2:6" x14ac:dyDescent="0.2">
      <c r="B315" s="29"/>
    </row>
    <row r="316" spans="2:6" x14ac:dyDescent="0.2">
      <c r="B316" s="29"/>
    </row>
    <row r="317" spans="2:6" x14ac:dyDescent="0.2">
      <c r="B317" s="29"/>
    </row>
    <row r="318" spans="2:6" x14ac:dyDescent="0.2">
      <c r="B318" s="29"/>
    </row>
    <row r="319" spans="2:6" x14ac:dyDescent="0.2">
      <c r="B319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13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</cols>
  <sheetData>
    <row r="1" spans="1:24" ht="15.75" x14ac:dyDescent="0.25">
      <c r="A1" s="63" t="s">
        <v>85</v>
      </c>
      <c r="B1" s="1" t="s">
        <v>86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6" t="str">
        <f>ReportMonth</f>
        <v>APRIL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445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7" t="s">
        <v>88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82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9" t="s">
        <v>13</v>
      </c>
      <c r="B10" s="38" t="s">
        <v>89</v>
      </c>
      <c r="C10" s="38" t="s">
        <v>89</v>
      </c>
      <c r="D10" s="38" t="s">
        <v>89</v>
      </c>
      <c r="E10" s="38" t="s">
        <v>90</v>
      </c>
      <c r="F10" s="38" t="s">
        <v>90</v>
      </c>
      <c r="G10" s="38" t="s">
        <v>90</v>
      </c>
      <c r="H10" s="38" t="s">
        <v>90</v>
      </c>
      <c r="I10" s="38" t="s">
        <v>89</v>
      </c>
      <c r="J10" s="38" t="s">
        <v>89</v>
      </c>
      <c r="K10" s="38" t="s">
        <v>90</v>
      </c>
      <c r="L10" s="38" t="s">
        <v>89</v>
      </c>
      <c r="M10" s="38" t="s">
        <v>89</v>
      </c>
      <c r="N10" s="38" t="s">
        <v>90</v>
      </c>
      <c r="O10" s="38" t="s">
        <v>89</v>
      </c>
      <c r="P10" s="38" t="s">
        <v>90</v>
      </c>
      <c r="Q10" s="38" t="s">
        <v>89</v>
      </c>
      <c r="R10" s="38" t="s">
        <v>89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707</v>
      </c>
      <c r="B12" s="2">
        <f>+'s1'!AF13</f>
        <v>0</v>
      </c>
      <c r="C12" s="2">
        <f>+'s1'!AG13</f>
        <v>0</v>
      </c>
      <c r="D12" s="2">
        <f>+'s1'!AH13</f>
        <v>599.04999999999995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599.04999999999995</v>
      </c>
      <c r="T12" s="2"/>
    </row>
    <row r="13" spans="1:24" x14ac:dyDescent="0.2">
      <c r="A13" s="1" t="s">
        <v>38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5794.62</v>
      </c>
      <c r="G13" s="2">
        <f>+'s1'!AK14</f>
        <v>0</v>
      </c>
      <c r="H13" s="2">
        <f>+'s1'!AL14</f>
        <v>648.67999999999995</v>
      </c>
      <c r="I13" s="2">
        <f>+'s1'!AM14</f>
        <v>1224.6600000000001</v>
      </c>
      <c r="J13" s="2">
        <f>+'s1'!AN14</f>
        <v>3249.55</v>
      </c>
      <c r="K13" s="2">
        <f>+'s1'!AO14</f>
        <v>0</v>
      </c>
      <c r="L13" s="2">
        <f>+'s1'!AP14</f>
        <v>0</v>
      </c>
      <c r="M13" s="2">
        <f>+'s1'!AQ14</f>
        <v>354.74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0</v>
      </c>
      <c r="S13" s="2">
        <f t="shared" ref="S13:S91" si="0">SUM(B13:R13)</f>
        <v>11272.25</v>
      </c>
      <c r="T13" s="2"/>
    </row>
    <row r="14" spans="1:24" x14ac:dyDescent="0.2">
      <c r="A14" s="1" t="s">
        <v>345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2100.5700000000002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2100.5700000000002</v>
      </c>
      <c r="T14" s="2"/>
    </row>
    <row r="15" spans="1:24" x14ac:dyDescent="0.2">
      <c r="A15" s="7" t="s">
        <v>39</v>
      </c>
      <c r="B15" s="2">
        <f>+'s1'!AF16</f>
        <v>0</v>
      </c>
      <c r="C15" s="2">
        <f>+'s1'!AG16</f>
        <v>0</v>
      </c>
      <c r="D15" s="2">
        <f>+'s1'!AH16</f>
        <v>14.02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0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14.02</v>
      </c>
      <c r="T15" s="2"/>
    </row>
    <row r="16" spans="1:24" x14ac:dyDescent="0.2">
      <c r="A16" s="18" t="s">
        <v>605</v>
      </c>
      <c r="B16" s="2">
        <f>+'s1'!AF17</f>
        <v>0</v>
      </c>
      <c r="C16" s="2">
        <f>+'s1'!AG17</f>
        <v>0</v>
      </c>
      <c r="D16" s="2">
        <f>+'s1'!AH17</f>
        <v>439.41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15.08</v>
      </c>
      <c r="R16" s="2">
        <f>+'s1'!AV17</f>
        <v>0</v>
      </c>
      <c r="S16" s="2">
        <f t="shared" si="0"/>
        <v>454.49</v>
      </c>
      <c r="T16" s="1"/>
    </row>
    <row r="17" spans="1:20" s="20" customFormat="1" x14ac:dyDescent="0.2">
      <c r="A17" s="1" t="s">
        <v>491</v>
      </c>
      <c r="B17" s="2">
        <f>+'s1'!AF18</f>
        <v>0</v>
      </c>
      <c r="C17" s="2">
        <f>+'s1'!AG18</f>
        <v>0</v>
      </c>
      <c r="D17" s="2">
        <f>+'s1'!AH18</f>
        <v>18429.3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18429.3</v>
      </c>
      <c r="T17" s="78"/>
    </row>
    <row r="18" spans="1:20" x14ac:dyDescent="0.2">
      <c r="A18" s="7" t="s">
        <v>601</v>
      </c>
      <c r="B18" s="2">
        <f>+'s1'!AF19</f>
        <v>0</v>
      </c>
      <c r="C18" s="2">
        <f>+'s1'!AG19</f>
        <v>0</v>
      </c>
      <c r="D18" s="2">
        <f>+'s1'!AH19</f>
        <v>0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1329.44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0</v>
      </c>
      <c r="R18" s="2">
        <f>+'s1'!AV19</f>
        <v>0</v>
      </c>
      <c r="S18" s="2">
        <f t="shared" si="0"/>
        <v>1329.44</v>
      </c>
      <c r="T18" s="2"/>
    </row>
    <row r="19" spans="1:20" x14ac:dyDescent="0.2">
      <c r="A19" s="1" t="s">
        <v>719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1398.46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>SUM(B19:R19)</f>
        <v>1398.46</v>
      </c>
      <c r="T19" s="2"/>
    </row>
    <row r="20" spans="1:20" x14ac:dyDescent="0.2">
      <c r="A20" s="18" t="s">
        <v>702</v>
      </c>
      <c r="B20" s="2">
        <f>+'s1'!AF21</f>
        <v>0</v>
      </c>
      <c r="C20" s="2">
        <f>+'s1'!AG21</f>
        <v>0</v>
      </c>
      <c r="D20" s="2">
        <f>+'s1'!AH21</f>
        <v>0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3654.57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8615.91</v>
      </c>
      <c r="R20" s="2">
        <f>+'s1'!AV21</f>
        <v>0</v>
      </c>
      <c r="S20" s="2">
        <f t="shared" si="0"/>
        <v>12270.48</v>
      </c>
      <c r="T20" s="1"/>
    </row>
    <row r="21" spans="1:20" x14ac:dyDescent="0.2">
      <c r="A21" s="1" t="s">
        <v>40</v>
      </c>
      <c r="B21" s="2">
        <f>+'s1'!AF22</f>
        <v>0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471.87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 t="shared" si="0"/>
        <v>471.87</v>
      </c>
      <c r="T21" s="1"/>
    </row>
    <row r="22" spans="1:20" x14ac:dyDescent="0.2">
      <c r="A22" s="1" t="s">
        <v>432</v>
      </c>
      <c r="B22" s="2">
        <f>+'s1'!AF23</f>
        <v>0</v>
      </c>
      <c r="C22" s="2">
        <f>+'s1'!AG23</f>
        <v>0</v>
      </c>
      <c r="D22" s="2">
        <f>+'s1'!AH23</f>
        <v>111624.77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43800.74</v>
      </c>
      <c r="R22" s="2">
        <f>+'s1'!AV23</f>
        <v>0</v>
      </c>
      <c r="S22" s="2">
        <f t="shared" si="0"/>
        <v>155425.51</v>
      </c>
      <c r="T22" s="2"/>
    </row>
    <row r="23" spans="1:20" ht="12" customHeight="1" x14ac:dyDescent="0.2">
      <c r="A23" s="1" t="s">
        <v>708</v>
      </c>
      <c r="B23" s="2">
        <f>+'s1'!AF24</f>
        <v>3400.9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>SUM(B23:R23)</f>
        <v>3400.9</v>
      </c>
      <c r="T23" s="2"/>
    </row>
    <row r="24" spans="1:20" ht="12" customHeight="1" x14ac:dyDescent="0.2">
      <c r="A24" s="1" t="s">
        <v>447</v>
      </c>
      <c r="B24" s="2">
        <f>+'s1'!AF25</f>
        <v>0</v>
      </c>
      <c r="C24" s="2">
        <f>+'s1'!AG25</f>
        <v>22202.15</v>
      </c>
      <c r="D24" s="2">
        <f>+'s1'!AH25</f>
        <v>0</v>
      </c>
      <c r="E24" s="2">
        <f>+'s1'!AI25</f>
        <v>1698.73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0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0</v>
      </c>
      <c r="R24" s="2">
        <f>+'s1'!AV25</f>
        <v>0</v>
      </c>
      <c r="S24" s="2">
        <f>SUM(B24:R24)</f>
        <v>23900.880000000001</v>
      </c>
      <c r="T24" s="2"/>
    </row>
    <row r="25" spans="1:20" x14ac:dyDescent="0.2">
      <c r="A25" s="1" t="s">
        <v>448</v>
      </c>
      <c r="B25" s="2">
        <f>+'s1'!AF26</f>
        <v>42621.42</v>
      </c>
      <c r="C25" s="2">
        <f>+'s1'!AG26</f>
        <v>9945.9599999999991</v>
      </c>
      <c r="D25" s="2">
        <f>+'s1'!AH26</f>
        <v>394.52</v>
      </c>
      <c r="E25" s="2">
        <f>+'s1'!AI26</f>
        <v>24083.66</v>
      </c>
      <c r="F25" s="2">
        <f>+'s1'!AJ26</f>
        <v>11855.53</v>
      </c>
      <c r="G25" s="2">
        <f>+'s1'!AK26</f>
        <v>0</v>
      </c>
      <c r="H25" s="2">
        <f>+'s1'!AL26</f>
        <v>1491.68</v>
      </c>
      <c r="I25" s="2">
        <f>+'s1'!AM26</f>
        <v>16958.48</v>
      </c>
      <c r="J25" s="2">
        <f>+'s1'!AN26</f>
        <v>11795.34</v>
      </c>
      <c r="K25" s="2">
        <f>+'s1'!AO26</f>
        <v>0</v>
      </c>
      <c r="L25" s="2">
        <f>+'s1'!AP26</f>
        <v>23762.14</v>
      </c>
      <c r="M25" s="2">
        <f>+'s1'!AQ26</f>
        <v>3253.17</v>
      </c>
      <c r="N25" s="2">
        <f>+'s1'!AR26</f>
        <v>1624.92</v>
      </c>
      <c r="O25" s="2">
        <f>+'s1'!AS26</f>
        <v>7015.69</v>
      </c>
      <c r="P25" s="2">
        <f>+'s1'!AT26</f>
        <v>0</v>
      </c>
      <c r="Q25" s="2">
        <f>+'s1'!AU26</f>
        <v>457839.59</v>
      </c>
      <c r="R25" s="2">
        <f>+'s1'!AV26</f>
        <v>5845.37</v>
      </c>
      <c r="S25" s="2">
        <f t="shared" si="0"/>
        <v>618487.47</v>
      </c>
      <c r="T25" s="2"/>
    </row>
    <row r="26" spans="1:20" s="20" customFormat="1" ht="13.5" customHeight="1" x14ac:dyDescent="0.2">
      <c r="A26" s="1" t="s">
        <v>364</v>
      </c>
      <c r="B26" s="2">
        <f>+'s1'!AF27</f>
        <v>0</v>
      </c>
      <c r="C26" s="2">
        <f>+'s1'!AG27</f>
        <v>0</v>
      </c>
      <c r="D26" s="2">
        <f>+'s1'!AH27</f>
        <v>0</v>
      </c>
      <c r="E26" s="2">
        <f>+'s1'!AI27</f>
        <v>0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11907.97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0</v>
      </c>
      <c r="R26" s="2">
        <f>+'s1'!AV27</f>
        <v>0</v>
      </c>
      <c r="S26" s="2">
        <f t="shared" si="0"/>
        <v>11907.97</v>
      </c>
      <c r="T26" s="78"/>
    </row>
    <row r="27" spans="1:20" x14ac:dyDescent="0.2">
      <c r="A27" s="1" t="s">
        <v>449</v>
      </c>
      <c r="B27" s="2">
        <f>+'s1'!AF28</f>
        <v>100394.53</v>
      </c>
      <c r="C27" s="2">
        <f>+'s1'!AG28</f>
        <v>0</v>
      </c>
      <c r="D27" s="2">
        <f>+'s1'!AH28</f>
        <v>821227.02</v>
      </c>
      <c r="E27" s="2">
        <f>+'s1'!AI28</f>
        <v>28498.44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0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222080.1</v>
      </c>
      <c r="R27" s="2">
        <f>+'s1'!AV28</f>
        <v>0</v>
      </c>
      <c r="S27" s="2">
        <f t="shared" si="0"/>
        <v>1172200.0900000001</v>
      </c>
      <c r="T27" s="2"/>
    </row>
    <row r="28" spans="1:20" ht="13.5" customHeight="1" x14ac:dyDescent="0.2">
      <c r="A28" s="1" t="s">
        <v>349</v>
      </c>
      <c r="B28" s="2">
        <f>+'s1'!AF29</f>
        <v>0</v>
      </c>
      <c r="C28" s="2">
        <f>+'s1'!AG29</f>
        <v>0</v>
      </c>
      <c r="D28" s="2">
        <f>+'s1'!AH29</f>
        <v>20784.150000000001</v>
      </c>
      <c r="E28" s="2">
        <f>+'s1'!AI29</f>
        <v>0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708.86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21493.01</v>
      </c>
      <c r="T28" s="2"/>
    </row>
    <row r="29" spans="1:20" x14ac:dyDescent="0.2">
      <c r="A29" s="18" t="s">
        <v>492</v>
      </c>
      <c r="B29" s="2">
        <f>+'s1'!AF30</f>
        <v>0</v>
      </c>
      <c r="C29" s="2">
        <f>+'s1'!AG30</f>
        <v>0</v>
      </c>
      <c r="D29" s="2">
        <f>+'s1'!AH30</f>
        <v>0</v>
      </c>
      <c r="E29" s="2">
        <f>+'s1'!AI30</f>
        <v>0</v>
      </c>
      <c r="F29" s="2">
        <f>+'s1'!AJ30</f>
        <v>2348.86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2348.86</v>
      </c>
      <c r="T29" s="2"/>
    </row>
    <row r="30" spans="1:20" x14ac:dyDescent="0.2">
      <c r="A30" s="1" t="s">
        <v>295</v>
      </c>
      <c r="B30" s="2">
        <f>+'s1'!AF31</f>
        <v>0</v>
      </c>
      <c r="C30" s="2">
        <f>+'s1'!AG31</f>
        <v>0</v>
      </c>
      <c r="D30" s="2">
        <f>+'s1'!AH31</f>
        <v>9795.93</v>
      </c>
      <c r="E30" s="2">
        <f>+'s1'!AI31</f>
        <v>0</v>
      </c>
      <c r="F30" s="2">
        <f>+'s1'!AJ31</f>
        <v>0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9795.93</v>
      </c>
      <c r="T30" s="2"/>
    </row>
    <row r="31" spans="1:20" x14ac:dyDescent="0.2">
      <c r="A31" s="18" t="s">
        <v>633</v>
      </c>
      <c r="B31" s="2">
        <f>+'s1'!AF32</f>
        <v>0</v>
      </c>
      <c r="C31" s="2">
        <f>+'s1'!AG32</f>
        <v>0</v>
      </c>
      <c r="D31" s="2">
        <f>+'s1'!AH32</f>
        <v>0</v>
      </c>
      <c r="E31" s="2">
        <f>+'s1'!AI32</f>
        <v>0</v>
      </c>
      <c r="F31" s="2">
        <f>+'s1'!AJ32</f>
        <v>19.13</v>
      </c>
      <c r="G31" s="2">
        <f>+'s1'!AK32</f>
        <v>0</v>
      </c>
      <c r="H31" s="2">
        <f>+'s1'!AL32</f>
        <v>0</v>
      </c>
      <c r="I31" s="2">
        <f>+'s1'!AM32</f>
        <v>0</v>
      </c>
      <c r="J31" s="2">
        <f>+'s1'!AN32</f>
        <v>0</v>
      </c>
      <c r="K31" s="2">
        <f>+'s1'!AO32</f>
        <v>0</v>
      </c>
      <c r="L31" s="2">
        <f>+'s1'!AP32</f>
        <v>0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0</v>
      </c>
      <c r="Q31" s="2">
        <f>+'s1'!AU32</f>
        <v>0</v>
      </c>
      <c r="R31" s="2">
        <f>+'s1'!AV32</f>
        <v>0</v>
      </c>
      <c r="S31" s="2">
        <f t="shared" si="0"/>
        <v>19.13</v>
      </c>
      <c r="T31" s="1"/>
    </row>
    <row r="32" spans="1:20" x14ac:dyDescent="0.2">
      <c r="A32" s="1" t="s">
        <v>41</v>
      </c>
      <c r="B32" s="2">
        <f>+'s1'!AF33</f>
        <v>14760.09</v>
      </c>
      <c r="C32" s="2">
        <f>+'s1'!AG33</f>
        <v>0</v>
      </c>
      <c r="D32" s="2">
        <f>+'s1'!AH33</f>
        <v>0</v>
      </c>
      <c r="E32" s="2">
        <f>+'s1'!AI33</f>
        <v>3189.31</v>
      </c>
      <c r="F32" s="2">
        <f>+'s1'!AJ33</f>
        <v>0</v>
      </c>
      <c r="G32" s="2">
        <f>+'s1'!AK33</f>
        <v>0</v>
      </c>
      <c r="H32" s="2">
        <f>+'s1'!AL33</f>
        <v>0</v>
      </c>
      <c r="I32" s="2">
        <f>+'s1'!AM33</f>
        <v>794.06</v>
      </c>
      <c r="J32" s="2">
        <f>+'s1'!AN33</f>
        <v>979.2</v>
      </c>
      <c r="K32" s="2">
        <f>+'s1'!AO33</f>
        <v>0</v>
      </c>
      <c r="L32" s="2">
        <f>+'s1'!AP33</f>
        <v>11969.62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901.76</v>
      </c>
      <c r="Q32" s="2">
        <f>+'s1'!AU33</f>
        <v>2854.86</v>
      </c>
      <c r="R32" s="2">
        <f>+'s1'!AV33</f>
        <v>0</v>
      </c>
      <c r="S32" s="2">
        <f t="shared" si="0"/>
        <v>35448.9</v>
      </c>
      <c r="T32" s="1"/>
    </row>
    <row r="33" spans="1:20" x14ac:dyDescent="0.2">
      <c r="A33" s="1" t="s">
        <v>450</v>
      </c>
      <c r="B33" s="2">
        <f>+'s1'!AF34</f>
        <v>0</v>
      </c>
      <c r="C33" s="2">
        <f>+'s1'!AG34</f>
        <v>0</v>
      </c>
      <c r="D33" s="2">
        <f>+'s1'!AH34</f>
        <v>0</v>
      </c>
      <c r="E33" s="2">
        <f>+'s1'!AI34</f>
        <v>0</v>
      </c>
      <c r="F33" s="2">
        <f>+'s1'!AJ34</f>
        <v>6855.49</v>
      </c>
      <c r="G33" s="2">
        <f>+'s1'!AK34</f>
        <v>0</v>
      </c>
      <c r="H33" s="2">
        <f>+'s1'!AL34</f>
        <v>0</v>
      </c>
      <c r="I33" s="2">
        <f>+'s1'!AM34</f>
        <v>23032.37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0</v>
      </c>
      <c r="R33" s="2">
        <f>+'s1'!AV34</f>
        <v>0</v>
      </c>
      <c r="S33" s="2">
        <f>SUM(B33:R33)</f>
        <v>29887.86</v>
      </c>
      <c r="T33" s="2"/>
    </row>
    <row r="34" spans="1:20" x14ac:dyDescent="0.2">
      <c r="A34" s="1" t="s">
        <v>42</v>
      </c>
      <c r="B34" s="2">
        <f>+'s1'!AF35</f>
        <v>0</v>
      </c>
      <c r="C34" s="2">
        <f>+'s1'!AG35</f>
        <v>0</v>
      </c>
      <c r="D34" s="2">
        <f>+'s1'!AH35</f>
        <v>1262608.8400000001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0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10399.68</v>
      </c>
      <c r="O34" s="2">
        <f>+'s1'!AS35</f>
        <v>0</v>
      </c>
      <c r="P34" s="2">
        <f>+'s1'!AT35</f>
        <v>0</v>
      </c>
      <c r="Q34" s="2">
        <f>+'s1'!AU35</f>
        <v>763.99</v>
      </c>
      <c r="R34" s="2">
        <f>+'s1'!AV35</f>
        <v>0</v>
      </c>
      <c r="S34" s="2">
        <f t="shared" si="0"/>
        <v>1273772.51</v>
      </c>
      <c r="T34" s="2"/>
    </row>
    <row r="35" spans="1:20" x14ac:dyDescent="0.2">
      <c r="A35" s="1" t="s">
        <v>43</v>
      </c>
      <c r="B35" s="2">
        <f>+'s1'!AF36</f>
        <v>0</v>
      </c>
      <c r="C35" s="2">
        <f>+'s1'!AG36</f>
        <v>0</v>
      </c>
      <c r="D35" s="2">
        <f>+'s1'!AH36</f>
        <v>0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37.24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87.96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2873.38</v>
      </c>
      <c r="S35" s="2">
        <f t="shared" si="0"/>
        <v>2998.58</v>
      </c>
      <c r="T35" s="2"/>
    </row>
    <row r="36" spans="1:20" x14ac:dyDescent="0.2">
      <c r="A36" s="18" t="s">
        <v>44</v>
      </c>
      <c r="B36" s="2">
        <f>+'s1'!AF37</f>
        <v>0</v>
      </c>
      <c r="C36" s="2">
        <f>+'s1'!AG37</f>
        <v>0</v>
      </c>
      <c r="D36" s="2">
        <f>+'s1'!AH37</f>
        <v>111354.71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0</v>
      </c>
      <c r="O36" s="2">
        <f>+'s1'!AS37</f>
        <v>0</v>
      </c>
      <c r="P36" s="2">
        <f>+'s1'!AT37</f>
        <v>0</v>
      </c>
      <c r="Q36" s="2">
        <f>+'s1'!AU37</f>
        <v>0</v>
      </c>
      <c r="R36" s="2">
        <f>+'s1'!AV37</f>
        <v>0</v>
      </c>
      <c r="S36" s="2">
        <f t="shared" si="0"/>
        <v>111354.71</v>
      </c>
      <c r="T36" s="2"/>
    </row>
    <row r="37" spans="1:20" x14ac:dyDescent="0.2">
      <c r="A37" s="18" t="s">
        <v>608</v>
      </c>
      <c r="B37" s="2">
        <f>+'s1'!AF38</f>
        <v>0</v>
      </c>
      <c r="C37" s="2">
        <f>+'s1'!AG38</f>
        <v>0</v>
      </c>
      <c r="D37" s="2">
        <f>+'s1'!AH38</f>
        <v>47.63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9.7200000000000006</v>
      </c>
      <c r="O37" s="2">
        <f>+'s1'!AS38</f>
        <v>0</v>
      </c>
      <c r="P37" s="2">
        <f>+'s1'!AT38</f>
        <v>0</v>
      </c>
      <c r="Q37" s="2">
        <f>+'s1'!AU38</f>
        <v>23.81</v>
      </c>
      <c r="R37" s="2">
        <f>+'s1'!AV38</f>
        <v>0</v>
      </c>
      <c r="S37" s="2">
        <f t="shared" si="0"/>
        <v>81.16</v>
      </c>
      <c r="T37" s="1"/>
    </row>
    <row r="38" spans="1:20" x14ac:dyDescent="0.2">
      <c r="A38" s="18" t="s">
        <v>602</v>
      </c>
      <c r="B38" s="2">
        <f>+'s1'!AF39</f>
        <v>0</v>
      </c>
      <c r="C38" s="2">
        <f>+'s1'!AG39</f>
        <v>0</v>
      </c>
      <c r="D38" s="2">
        <f>+'s1'!AH39</f>
        <v>1923.38</v>
      </c>
      <c r="E38" s="2">
        <f>+'s1'!AI39</f>
        <v>0</v>
      </c>
      <c r="F38" s="2">
        <f>+'s1'!AJ39</f>
        <v>0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22973.72</v>
      </c>
      <c r="R38" s="2">
        <f>+'s1'!AV39</f>
        <v>0</v>
      </c>
      <c r="S38" s="2">
        <f t="shared" si="0"/>
        <v>24897.1</v>
      </c>
      <c r="T38" s="2"/>
    </row>
    <row r="39" spans="1:20" x14ac:dyDescent="0.2">
      <c r="A39" s="1" t="s">
        <v>45</v>
      </c>
      <c r="B39" s="2">
        <f>+'s1'!AF40</f>
        <v>0</v>
      </c>
      <c r="C39" s="2">
        <f>+'s1'!AG40</f>
        <v>0</v>
      </c>
      <c r="D39" s="2">
        <f>+'s1'!AH40</f>
        <v>0</v>
      </c>
      <c r="E39" s="2">
        <f>+'s1'!AI40</f>
        <v>0</v>
      </c>
      <c r="F39" s="2">
        <f>+'s1'!AJ40</f>
        <v>5123.68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0</v>
      </c>
      <c r="R39" s="2">
        <f>+'s1'!AV40</f>
        <v>0</v>
      </c>
      <c r="S39" s="2">
        <f t="shared" si="0"/>
        <v>5123.68</v>
      </c>
      <c r="T39" s="1"/>
    </row>
    <row r="40" spans="1:20" x14ac:dyDescent="0.2">
      <c r="A40" s="1" t="s">
        <v>451</v>
      </c>
      <c r="B40" s="2">
        <f>+'s1'!AF41</f>
        <v>0</v>
      </c>
      <c r="C40" s="2">
        <f>+'s1'!AG41</f>
        <v>0</v>
      </c>
      <c r="D40" s="2">
        <f>+'s1'!AH41</f>
        <v>654.97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0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 t="shared" si="0"/>
        <v>654.97</v>
      </c>
      <c r="T40" s="2"/>
    </row>
    <row r="41" spans="1:20" x14ac:dyDescent="0.2">
      <c r="A41" s="1" t="s">
        <v>433</v>
      </c>
      <c r="B41" s="2">
        <f>+'s1'!AF42</f>
        <v>0</v>
      </c>
      <c r="C41" s="2">
        <f>+'s1'!AG42</f>
        <v>0</v>
      </c>
      <c r="D41" s="2">
        <f>+'s1'!AH42</f>
        <v>201192.49</v>
      </c>
      <c r="E41" s="2">
        <f>+'s1'!AI42</f>
        <v>0</v>
      </c>
      <c r="F41" s="2">
        <f>+'s1'!AJ42</f>
        <v>0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5819.71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0</v>
      </c>
      <c r="S41" s="2">
        <f>SUM(B41:R41)</f>
        <v>207012.2</v>
      </c>
      <c r="T41" s="2"/>
    </row>
    <row r="42" spans="1:20" x14ac:dyDescent="0.2">
      <c r="A42" s="1" t="s">
        <v>452</v>
      </c>
      <c r="B42" s="2">
        <f>+'s1'!AF43</f>
        <v>0</v>
      </c>
      <c r="C42" s="2">
        <f>+'s1'!AG43</f>
        <v>0</v>
      </c>
      <c r="D42" s="2">
        <f>+'s1'!AH43</f>
        <v>7071.26</v>
      </c>
      <c r="E42" s="2">
        <f>+'s1'!AI43</f>
        <v>0</v>
      </c>
      <c r="F42" s="2">
        <f>+'s1'!AJ43</f>
        <v>1633.54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78.239999999999995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 t="shared" si="0"/>
        <v>8783.0400000000009</v>
      </c>
      <c r="T42" s="2"/>
    </row>
    <row r="43" spans="1:20" x14ac:dyDescent="0.2">
      <c r="A43" s="1" t="s">
        <v>710</v>
      </c>
      <c r="B43" s="2">
        <f>+'s1'!AF44</f>
        <v>0</v>
      </c>
      <c r="C43" s="2">
        <f>+'s1'!AG44</f>
        <v>0</v>
      </c>
      <c r="D43" s="2">
        <f>+'s1'!AH44</f>
        <v>0</v>
      </c>
      <c r="E43" s="2">
        <f>+'s1'!AI44</f>
        <v>0</v>
      </c>
      <c r="F43" s="2">
        <f>+'s1'!AJ44</f>
        <v>74.52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0</v>
      </c>
      <c r="R43" s="2">
        <f>+'s1'!AV44</f>
        <v>0</v>
      </c>
      <c r="S43" s="2">
        <f>SUM(B43:R43)</f>
        <v>74.52</v>
      </c>
      <c r="T43" s="2"/>
    </row>
    <row r="44" spans="1:20" x14ac:dyDescent="0.2">
      <c r="A44" s="1" t="s">
        <v>457</v>
      </c>
      <c r="B44" s="2">
        <f>+'s1'!AF45</f>
        <v>0</v>
      </c>
      <c r="C44" s="2">
        <f>+'s1'!AG45</f>
        <v>0</v>
      </c>
      <c r="D44" s="2">
        <f>+'s1'!AH45</f>
        <v>0</v>
      </c>
      <c r="E44" s="2">
        <f>+'s1'!AI45</f>
        <v>0</v>
      </c>
      <c r="F44" s="2">
        <f>+'s1'!AJ45</f>
        <v>0</v>
      </c>
      <c r="G44" s="2">
        <f>+'s1'!AK45</f>
        <v>0</v>
      </c>
      <c r="H44" s="2">
        <f>+'s1'!AL45</f>
        <v>0</v>
      </c>
      <c r="I44" s="2">
        <f>+'s1'!AM45</f>
        <v>281.52999999999997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206.74</v>
      </c>
      <c r="R44" s="2">
        <f>+'s1'!AV45</f>
        <v>0</v>
      </c>
      <c r="S44" s="2">
        <f t="shared" si="0"/>
        <v>488.27</v>
      </c>
      <c r="T44" s="2"/>
    </row>
    <row r="45" spans="1:20" x14ac:dyDescent="0.2">
      <c r="A45" s="18" t="s">
        <v>498</v>
      </c>
      <c r="B45" s="2">
        <f>+'s1'!AF46</f>
        <v>0</v>
      </c>
      <c r="C45" s="2">
        <f>+'s1'!AG46</f>
        <v>5715.98</v>
      </c>
      <c r="D45" s="2">
        <f>+'s1'!AH46</f>
        <v>323360.96000000002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13379.85</v>
      </c>
      <c r="R45" s="2">
        <f>+'s1'!AV46</f>
        <v>0</v>
      </c>
      <c r="S45" s="2">
        <f t="shared" si="0"/>
        <v>342456.79</v>
      </c>
      <c r="T45" s="1"/>
    </row>
    <row r="46" spans="1:20" x14ac:dyDescent="0.2">
      <c r="A46" s="18" t="s">
        <v>137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0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6142.05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 t="shared" si="0"/>
        <v>6142.05</v>
      </c>
      <c r="T46" s="1"/>
    </row>
    <row r="47" spans="1:20" s="20" customFormat="1" x14ac:dyDescent="0.2">
      <c r="A47" s="1" t="s">
        <v>434</v>
      </c>
      <c r="B47" s="2">
        <f>+'s1'!AF48</f>
        <v>0</v>
      </c>
      <c r="C47" s="2">
        <f>+'s1'!AG48</f>
        <v>0</v>
      </c>
      <c r="D47" s="2">
        <f>+'s1'!AH48</f>
        <v>193531.17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3730.43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0</v>
      </c>
      <c r="S47" s="2">
        <f t="shared" si="0"/>
        <v>197261.6</v>
      </c>
      <c r="T47" s="78"/>
    </row>
    <row r="48" spans="1:20" x14ac:dyDescent="0.2">
      <c r="A48" s="18" t="s">
        <v>501</v>
      </c>
      <c r="B48" s="2">
        <f>+'s1'!AF49</f>
        <v>0</v>
      </c>
      <c r="C48" s="2">
        <f>+'s1'!AG49</f>
        <v>0</v>
      </c>
      <c r="D48" s="2">
        <f>+'s1'!AH49</f>
        <v>0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6140.72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 t="shared" si="0"/>
        <v>6140.72</v>
      </c>
      <c r="T48" s="2"/>
    </row>
    <row r="49" spans="1:20" s="20" customFormat="1" x14ac:dyDescent="0.2">
      <c r="A49" s="18" t="s">
        <v>603</v>
      </c>
      <c r="B49" s="2">
        <f>+'s1'!AF50</f>
        <v>0</v>
      </c>
      <c r="C49" s="2">
        <f>+'s1'!AG50</f>
        <v>0</v>
      </c>
      <c r="D49" s="2">
        <f>+'s1'!AH50</f>
        <v>32016.86</v>
      </c>
      <c r="E49" s="2">
        <f>+'s1'!AI50</f>
        <v>707.83</v>
      </c>
      <c r="F49" s="2">
        <f>+'s1'!AJ50</f>
        <v>4377.8999999999996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0</v>
      </c>
      <c r="O49" s="2">
        <f>+'s1'!AS50</f>
        <v>0</v>
      </c>
      <c r="P49" s="2">
        <f>+'s1'!AT50</f>
        <v>0</v>
      </c>
      <c r="Q49" s="2">
        <f>+'s1'!AU50</f>
        <v>796.53</v>
      </c>
      <c r="R49" s="2">
        <f>+'s1'!AV50</f>
        <v>0</v>
      </c>
      <c r="S49" s="2">
        <f t="shared" si="0"/>
        <v>37899.120000000003</v>
      </c>
      <c r="T49" s="78"/>
    </row>
    <row r="50" spans="1:20" x14ac:dyDescent="0.2">
      <c r="A50" s="7" t="s">
        <v>348</v>
      </c>
      <c r="B50" s="2">
        <f>+'s1'!AF51</f>
        <v>0</v>
      </c>
      <c r="C50" s="2">
        <f>+'s1'!AG51</f>
        <v>0</v>
      </c>
      <c r="D50" s="2">
        <f>+'s1'!AH51</f>
        <v>0</v>
      </c>
      <c r="E50" s="2">
        <f>+'s1'!AI51</f>
        <v>0</v>
      </c>
      <c r="F50" s="2">
        <f>+'s1'!AJ51</f>
        <v>0</v>
      </c>
      <c r="G50" s="2">
        <f>+'s1'!AK51</f>
        <v>585.88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3432.16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6346.87</v>
      </c>
      <c r="S50" s="2">
        <f t="shared" si="0"/>
        <v>10364.91</v>
      </c>
      <c r="T50" s="2"/>
    </row>
    <row r="51" spans="1:20" s="20" customFormat="1" x14ac:dyDescent="0.2">
      <c r="A51" s="246" t="s">
        <v>459</v>
      </c>
      <c r="B51" s="2">
        <f>+'s1'!AF52</f>
        <v>0</v>
      </c>
      <c r="C51" s="2">
        <f>+'s1'!AG52</f>
        <v>0</v>
      </c>
      <c r="D51" s="2">
        <f>+'s1'!AH52</f>
        <v>70998.09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0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0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 t="shared" si="0"/>
        <v>70998.09</v>
      </c>
      <c r="T51" s="78"/>
    </row>
    <row r="52" spans="1:20" x14ac:dyDescent="0.2">
      <c r="A52" s="7" t="s">
        <v>435</v>
      </c>
      <c r="B52" s="2">
        <f>+'s1'!AF53</f>
        <v>0</v>
      </c>
      <c r="C52" s="2">
        <f>+'s1'!AG53</f>
        <v>0</v>
      </c>
      <c r="D52" s="2">
        <f>+'s1'!AH53</f>
        <v>0</v>
      </c>
      <c r="E52" s="2">
        <f>+'s1'!AI53</f>
        <v>0</v>
      </c>
      <c r="F52" s="2">
        <f>+'s1'!AJ53</f>
        <v>0</v>
      </c>
      <c r="G52" s="2">
        <f>+'s1'!AK53</f>
        <v>0</v>
      </c>
      <c r="H52" s="2">
        <f>+'s1'!AL53</f>
        <v>0</v>
      </c>
      <c r="I52" s="2">
        <f>+'s1'!AM53</f>
        <v>1455.3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0</v>
      </c>
      <c r="S52" s="2">
        <f t="shared" si="0"/>
        <v>1455.3</v>
      </c>
      <c r="T52" s="2"/>
    </row>
    <row r="53" spans="1:20" s="20" customFormat="1" x14ac:dyDescent="0.2">
      <c r="A53" s="1" t="s">
        <v>46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2237.38</v>
      </c>
      <c r="G53" s="2">
        <f>+'s1'!AK54</f>
        <v>0</v>
      </c>
      <c r="H53" s="2">
        <f>+'s1'!AL54</f>
        <v>0</v>
      </c>
      <c r="I53" s="2">
        <f>+'s1'!AM54</f>
        <v>963.32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0</v>
      </c>
      <c r="N53" s="2">
        <f>+'s1'!AR54</f>
        <v>0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0</v>
      </c>
      <c r="S53" s="2">
        <f t="shared" si="0"/>
        <v>3200.7</v>
      </c>
      <c r="T53" s="78"/>
    </row>
    <row r="54" spans="1:20" s="20" customFormat="1" x14ac:dyDescent="0.2">
      <c r="A54" s="18" t="s">
        <v>47</v>
      </c>
      <c r="B54" s="2">
        <f>+'s1'!AF55</f>
        <v>0</v>
      </c>
      <c r="C54" s="2">
        <f>+'s1'!AG55</f>
        <v>0</v>
      </c>
      <c r="D54" s="2">
        <f>+'s1'!AH55</f>
        <v>77346.64</v>
      </c>
      <c r="E54" s="2">
        <f>+'s1'!AI55</f>
        <v>0</v>
      </c>
      <c r="F54" s="2">
        <f>+'s1'!AJ55</f>
        <v>3349.88</v>
      </c>
      <c r="G54" s="2">
        <f>+'s1'!AK55</f>
        <v>0</v>
      </c>
      <c r="H54" s="2">
        <f>+'s1'!AL55</f>
        <v>570.79</v>
      </c>
      <c r="I54" s="2">
        <f>+'s1'!AM55</f>
        <v>2241.16</v>
      </c>
      <c r="J54" s="2">
        <f>+'s1'!AN55</f>
        <v>4563.47</v>
      </c>
      <c r="K54" s="2">
        <f>+'s1'!AO55</f>
        <v>392.98</v>
      </c>
      <c r="L54" s="2">
        <f>+'s1'!AP55</f>
        <v>0</v>
      </c>
      <c r="M54" s="2">
        <f>+'s1'!AQ55</f>
        <v>0</v>
      </c>
      <c r="N54" s="2">
        <f>+'s1'!AR55</f>
        <v>97.49</v>
      </c>
      <c r="O54" s="2">
        <f>+'s1'!AS55</f>
        <v>4938.32</v>
      </c>
      <c r="P54" s="2">
        <f>+'s1'!AT55</f>
        <v>0</v>
      </c>
      <c r="Q54" s="2">
        <f>+'s1'!AU55</f>
        <v>0</v>
      </c>
      <c r="R54" s="2">
        <f>+'s1'!AV55</f>
        <v>1953.19</v>
      </c>
      <c r="S54" s="2">
        <f t="shared" si="0"/>
        <v>95453.92</v>
      </c>
      <c r="T54" s="78"/>
    </row>
    <row r="55" spans="1:20" s="20" customFormat="1" x14ac:dyDescent="0.2">
      <c r="A55" s="1" t="s">
        <v>48</v>
      </c>
      <c r="B55" s="2">
        <f>+'s1'!AF56</f>
        <v>0</v>
      </c>
      <c r="C55" s="2">
        <f>+'s1'!AG56</f>
        <v>0</v>
      </c>
      <c r="D55" s="2">
        <f>+'s1'!AH56</f>
        <v>57470.41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0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4560.25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62030.66</v>
      </c>
      <c r="T55" s="78"/>
    </row>
    <row r="56" spans="1:20" s="20" customFormat="1" x14ac:dyDescent="0.2">
      <c r="A56" s="1" t="s">
        <v>358</v>
      </c>
      <c r="B56" s="2">
        <f>+'s1'!AF57</f>
        <v>4524.57</v>
      </c>
      <c r="C56" s="2">
        <f>+'s1'!AG57</f>
        <v>0</v>
      </c>
      <c r="D56" s="2">
        <f>+'s1'!AH57</f>
        <v>27843.06</v>
      </c>
      <c r="E56" s="2">
        <f>+'s1'!AI57</f>
        <v>0</v>
      </c>
      <c r="F56" s="2">
        <f>+'s1'!AJ57</f>
        <v>0</v>
      </c>
      <c r="G56" s="2">
        <f>+'s1'!AK57</f>
        <v>0</v>
      </c>
      <c r="H56" s="2">
        <f>+'s1'!AL57</f>
        <v>0</v>
      </c>
      <c r="I56" s="2">
        <f>+'s1'!AM57</f>
        <v>0</v>
      </c>
      <c r="J56" s="2">
        <f>+'s1'!AN57</f>
        <v>0</v>
      </c>
      <c r="K56" s="2">
        <f>+'s1'!AO57</f>
        <v>1788.81</v>
      </c>
      <c r="L56" s="2">
        <f>+'s1'!AP57</f>
        <v>0</v>
      </c>
      <c r="M56" s="2">
        <f>+'s1'!AQ57</f>
        <v>0</v>
      </c>
      <c r="N56" s="2">
        <f>+'s1'!AR57</f>
        <v>272.79000000000002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34429.230000000003</v>
      </c>
      <c r="T56" s="78"/>
    </row>
    <row r="57" spans="1:20" s="20" customFormat="1" x14ac:dyDescent="0.2">
      <c r="A57" s="1" t="s">
        <v>49</v>
      </c>
      <c r="B57" s="2">
        <f>+'s1'!AF58</f>
        <v>0</v>
      </c>
      <c r="C57" s="2">
        <f>+'s1'!AG58</f>
        <v>0</v>
      </c>
      <c r="D57" s="2">
        <f>+'s1'!AH58</f>
        <v>1800.34</v>
      </c>
      <c r="E57" s="2">
        <f>+'s1'!AI58</f>
        <v>0</v>
      </c>
      <c r="F57" s="2">
        <f>+'s1'!AJ58</f>
        <v>0</v>
      </c>
      <c r="G57" s="2">
        <f>+'s1'!AK58</f>
        <v>0</v>
      </c>
      <c r="H57" s="2">
        <f>+'s1'!AL58</f>
        <v>0</v>
      </c>
      <c r="I57" s="2">
        <f>+'s1'!AM58</f>
        <v>0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0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0</v>
      </c>
      <c r="S57" s="2">
        <f t="shared" si="0"/>
        <v>1800.34</v>
      </c>
      <c r="T57" s="78"/>
    </row>
    <row r="58" spans="1:20" s="20" customFormat="1" x14ac:dyDescent="0.2">
      <c r="A58" s="1" t="s">
        <v>350</v>
      </c>
      <c r="B58" s="2">
        <f>+'s1'!AF59</f>
        <v>3282.63</v>
      </c>
      <c r="C58" s="2">
        <f>+'s1'!AG59</f>
        <v>1621.38</v>
      </c>
      <c r="D58" s="2">
        <f>+'s1'!AH59</f>
        <v>0</v>
      </c>
      <c r="E58" s="2">
        <f>+'s1'!AI59</f>
        <v>1064.8699999999999</v>
      </c>
      <c r="F58" s="2">
        <f>+'s1'!AJ59</f>
        <v>0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86.52</v>
      </c>
      <c r="M58" s="2">
        <f>+'s1'!AQ59</f>
        <v>0</v>
      </c>
      <c r="N58" s="2">
        <f>+'s1'!AR59</f>
        <v>0</v>
      </c>
      <c r="O58" s="2">
        <f>+'s1'!AS59</f>
        <v>4033.83</v>
      </c>
      <c r="P58" s="2">
        <f>+'s1'!AT59</f>
        <v>74.64</v>
      </c>
      <c r="Q58" s="2">
        <f>+'s1'!AU59</f>
        <v>4540.01</v>
      </c>
      <c r="R58" s="2">
        <f>+'s1'!AV59</f>
        <v>0</v>
      </c>
      <c r="S58" s="2">
        <f t="shared" si="0"/>
        <v>14703.88</v>
      </c>
      <c r="T58" s="78"/>
    </row>
    <row r="59" spans="1:20" x14ac:dyDescent="0.2">
      <c r="A59" s="1" t="s">
        <v>50</v>
      </c>
      <c r="B59" s="2">
        <f>+'s1'!AF60</f>
        <v>2549.42</v>
      </c>
      <c r="C59" s="2">
        <f>+'s1'!AG60</f>
        <v>0</v>
      </c>
      <c r="D59" s="2">
        <f>+'s1'!AH60</f>
        <v>19040.439999999999</v>
      </c>
      <c r="E59" s="2">
        <f>+'s1'!AI60</f>
        <v>0</v>
      </c>
      <c r="F59" s="2">
        <f>+'s1'!AJ60</f>
        <v>9158.18</v>
      </c>
      <c r="G59" s="2">
        <f>+'s1'!AK60</f>
        <v>0</v>
      </c>
      <c r="H59" s="2">
        <f>+'s1'!AL60</f>
        <v>0</v>
      </c>
      <c r="I59" s="2">
        <f>+'s1'!AM60</f>
        <v>1094.21</v>
      </c>
      <c r="J59" s="2">
        <f>+'s1'!AN60</f>
        <v>0</v>
      </c>
      <c r="K59" s="2">
        <f>+'s1'!AO60</f>
        <v>0</v>
      </c>
      <c r="L59" s="2">
        <f>+'s1'!AP60</f>
        <v>8884.1200000000008</v>
      </c>
      <c r="M59" s="2">
        <f>+'s1'!AQ60</f>
        <v>0</v>
      </c>
      <c r="N59" s="2">
        <f>+'s1'!AR60</f>
        <v>0</v>
      </c>
      <c r="O59" s="2">
        <f>+'s1'!AS60</f>
        <v>0</v>
      </c>
      <c r="P59" s="2">
        <f>+'s1'!AT60</f>
        <v>0</v>
      </c>
      <c r="Q59" s="2">
        <f>+'s1'!AU60</f>
        <v>89946.45</v>
      </c>
      <c r="R59" s="2">
        <f>+'s1'!AV60</f>
        <v>0</v>
      </c>
      <c r="S59" s="2">
        <f t="shared" si="0"/>
        <v>130672.82</v>
      </c>
      <c r="T59" s="2"/>
    </row>
    <row r="60" spans="1:20" x14ac:dyDescent="0.2">
      <c r="A60" s="1" t="s">
        <v>51</v>
      </c>
      <c r="B60" s="2">
        <f>+'s1'!AF61</f>
        <v>0</v>
      </c>
      <c r="C60" s="2">
        <f>+'s1'!AG61</f>
        <v>0</v>
      </c>
      <c r="D60" s="2">
        <f>+'s1'!AH61</f>
        <v>27655.46</v>
      </c>
      <c r="E60" s="2">
        <f>+'s1'!AI61</f>
        <v>0</v>
      </c>
      <c r="F60" s="2">
        <f>+'s1'!AJ61</f>
        <v>0</v>
      </c>
      <c r="G60" s="2">
        <f>+'s1'!AK61</f>
        <v>0</v>
      </c>
      <c r="H60" s="2">
        <f>+'s1'!AL61</f>
        <v>0</v>
      </c>
      <c r="I60" s="2">
        <f>+'s1'!AM61</f>
        <v>0</v>
      </c>
      <c r="J60" s="2">
        <f>+'s1'!AN61</f>
        <v>0</v>
      </c>
      <c r="K60" s="2">
        <f>+'s1'!AO61</f>
        <v>1013.08</v>
      </c>
      <c r="L60" s="2">
        <f>+'s1'!AP61</f>
        <v>0</v>
      </c>
      <c r="M60" s="2">
        <f>+'s1'!AQ61</f>
        <v>0</v>
      </c>
      <c r="N60" s="2">
        <f>+'s1'!AR61</f>
        <v>0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2439.2600000000002</v>
      </c>
      <c r="S60" s="2">
        <f t="shared" si="0"/>
        <v>31107.8</v>
      </c>
      <c r="T60" s="1"/>
    </row>
    <row r="61" spans="1:20" x14ac:dyDescent="0.2">
      <c r="A61" s="1" t="s">
        <v>475</v>
      </c>
      <c r="B61" s="2">
        <f>+'s1'!AF62</f>
        <v>0</v>
      </c>
      <c r="C61" s="2">
        <f>+'s1'!AG62</f>
        <v>0</v>
      </c>
      <c r="D61" s="2">
        <f>+'s1'!AH62</f>
        <v>0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0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707.98</v>
      </c>
      <c r="S61" s="2">
        <f t="shared" si="0"/>
        <v>707.98</v>
      </c>
      <c r="T61" s="2"/>
    </row>
    <row r="62" spans="1:20" x14ac:dyDescent="0.2">
      <c r="A62" s="1" t="s">
        <v>52</v>
      </c>
      <c r="B62" s="2">
        <f>+'s1'!AF63</f>
        <v>0</v>
      </c>
      <c r="C62" s="2">
        <f>+'s1'!AG63</f>
        <v>0</v>
      </c>
      <c r="D62" s="2">
        <f>+'s1'!AH63</f>
        <v>0</v>
      </c>
      <c r="E62" s="2">
        <f>+'s1'!AI63</f>
        <v>0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41.45</v>
      </c>
      <c r="M62" s="2">
        <f>+'s1'!AQ63</f>
        <v>5071.32</v>
      </c>
      <c r="N62" s="2">
        <f>+'s1'!AR63</f>
        <v>3450.74</v>
      </c>
      <c r="O62" s="2">
        <f>+'s1'!AS63</f>
        <v>0</v>
      </c>
      <c r="P62" s="2">
        <f>+'s1'!AT63</f>
        <v>0</v>
      </c>
      <c r="Q62" s="2">
        <f>+'s1'!AU63</f>
        <v>0</v>
      </c>
      <c r="R62" s="2">
        <f>+'s1'!AV63</f>
        <v>0</v>
      </c>
      <c r="S62" s="2">
        <f t="shared" si="0"/>
        <v>8563.51</v>
      </c>
      <c r="T62" s="2"/>
    </row>
    <row r="63" spans="1:20" x14ac:dyDescent="0.2">
      <c r="A63" s="1" t="s">
        <v>436</v>
      </c>
      <c r="B63" s="2">
        <f>+'s1'!AF64</f>
        <v>0</v>
      </c>
      <c r="C63" s="2">
        <f>+'s1'!AG64</f>
        <v>0</v>
      </c>
      <c r="D63" s="2">
        <f>+'s1'!AH64</f>
        <v>4524.22</v>
      </c>
      <c r="E63" s="2">
        <f>+'s1'!AI64</f>
        <v>0</v>
      </c>
      <c r="F63" s="2">
        <f>+'s1'!AJ64</f>
        <v>0</v>
      </c>
      <c r="G63" s="2">
        <f>+'s1'!AK64</f>
        <v>0</v>
      </c>
      <c r="H63" s="2">
        <f>+'s1'!AL64</f>
        <v>0</v>
      </c>
      <c r="I63" s="2">
        <f>+'s1'!AM64</f>
        <v>0</v>
      </c>
      <c r="J63" s="2">
        <f>+'s1'!AN64</f>
        <v>0</v>
      </c>
      <c r="K63" s="2">
        <f>+'s1'!AO64</f>
        <v>0</v>
      </c>
      <c r="L63" s="2">
        <f>+'s1'!AP64</f>
        <v>0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1503.9</v>
      </c>
      <c r="R63" s="2">
        <f>+'s1'!AV64</f>
        <v>0</v>
      </c>
      <c r="S63" s="2">
        <f t="shared" si="0"/>
        <v>6028.12</v>
      </c>
      <c r="T63" s="2"/>
    </row>
    <row r="64" spans="1:20" x14ac:dyDescent="0.2">
      <c r="A64" s="1" t="s">
        <v>694</v>
      </c>
      <c r="B64" s="2">
        <f>+'s1'!AF65</f>
        <v>0</v>
      </c>
      <c r="C64" s="2">
        <f>+'s1'!AG65</f>
        <v>26.28</v>
      </c>
      <c r="D64" s="2">
        <f>+'s1'!AH65</f>
        <v>0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0</v>
      </c>
      <c r="L64" s="2">
        <f>+'s1'!AP65</f>
        <v>4386.1899999999996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0</v>
      </c>
      <c r="S64" s="2">
        <f>SUM(B64:R64)</f>
        <v>4412.47</v>
      </c>
      <c r="T64" s="2"/>
    </row>
    <row r="65" spans="1:20" s="20" customFormat="1" x14ac:dyDescent="0.2">
      <c r="A65" s="1" t="s">
        <v>53</v>
      </c>
      <c r="B65" s="2">
        <f>+'s1'!AF66</f>
        <v>0</v>
      </c>
      <c r="C65" s="2">
        <f>+'s1'!AG66</f>
        <v>0</v>
      </c>
      <c r="D65" s="2">
        <f>+'s1'!AH66</f>
        <v>11426.84</v>
      </c>
      <c r="E65" s="2">
        <f>+'s1'!AI66</f>
        <v>0</v>
      </c>
      <c r="F65" s="2">
        <f>+'s1'!AJ66</f>
        <v>10398.39</v>
      </c>
      <c r="G65" s="2">
        <f>+'s1'!AK66</f>
        <v>0</v>
      </c>
      <c r="H65" s="2">
        <f>+'s1'!AL66</f>
        <v>0</v>
      </c>
      <c r="I65" s="2">
        <f>+'s1'!AM66</f>
        <v>19604.21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0</v>
      </c>
      <c r="S65" s="2">
        <f t="shared" si="0"/>
        <v>41429.440000000002</v>
      </c>
      <c r="T65" s="78"/>
    </row>
    <row r="66" spans="1:20" x14ac:dyDescent="0.2">
      <c r="A66" s="18" t="s">
        <v>753</v>
      </c>
      <c r="B66" s="2">
        <f>+'s1'!AF67</f>
        <v>0</v>
      </c>
      <c r="C66" s="2">
        <f>+'s1'!AG67</f>
        <v>0</v>
      </c>
      <c r="D66" s="2">
        <f>+'s1'!AH67</f>
        <v>0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0</v>
      </c>
      <c r="M66" s="2">
        <f>+'s1'!AQ67</f>
        <v>0</v>
      </c>
      <c r="N66" s="2">
        <f>+'s1'!AR67</f>
        <v>0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 t="shared" si="0"/>
        <v>0</v>
      </c>
      <c r="T66" s="1"/>
    </row>
    <row r="67" spans="1:20" x14ac:dyDescent="0.2">
      <c r="A67" s="18" t="s">
        <v>756</v>
      </c>
      <c r="B67" s="2">
        <f>+'s1'!AF68</f>
        <v>0</v>
      </c>
      <c r="C67" s="2">
        <f>+'s1'!AG68</f>
        <v>0</v>
      </c>
      <c r="D67" s="2">
        <f>+'s1'!AH68</f>
        <v>-8611.5</v>
      </c>
      <c r="E67" s="2">
        <f>+'s1'!AI68</f>
        <v>0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8611.5</v>
      </c>
      <c r="J67" s="2">
        <f>+'s1'!AN68</f>
        <v>0</v>
      </c>
      <c r="K67" s="2">
        <f>+'s1'!AO68</f>
        <v>0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0</v>
      </c>
      <c r="S67" s="2">
        <f t="shared" si="0"/>
        <v>0</v>
      </c>
      <c r="T67" s="1"/>
    </row>
    <row r="68" spans="1:20" x14ac:dyDescent="0.2">
      <c r="A68" s="18" t="s">
        <v>751</v>
      </c>
      <c r="B68" s="2">
        <f>+'s1'!AF69</f>
        <v>0</v>
      </c>
      <c r="C68" s="2">
        <f>+'s1'!AG69</f>
        <v>0</v>
      </c>
      <c r="D68" s="2">
        <f>+'s1'!AH69</f>
        <v>0</v>
      </c>
      <c r="E68" s="2">
        <f>+'s1'!AI69</f>
        <v>0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0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0</v>
      </c>
      <c r="S68" s="2">
        <f t="shared" si="0"/>
        <v>0</v>
      </c>
      <c r="T68" s="1"/>
    </row>
    <row r="69" spans="1:20" x14ac:dyDescent="0.2">
      <c r="A69" s="18" t="s">
        <v>757</v>
      </c>
      <c r="B69" s="2">
        <f>+'s1'!AF70</f>
        <v>0</v>
      </c>
      <c r="C69" s="2">
        <f>+'s1'!AG70</f>
        <v>0</v>
      </c>
      <c r="D69" s="2">
        <f>+'s1'!AH70</f>
        <v>-5127.24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5127.24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0</v>
      </c>
      <c r="S69" s="2">
        <f t="shared" si="0"/>
        <v>0</v>
      </c>
      <c r="T69" s="1"/>
    </row>
    <row r="70" spans="1:20" x14ac:dyDescent="0.2">
      <c r="A70" s="18" t="s">
        <v>752</v>
      </c>
      <c r="B70" s="2">
        <f>+'s1'!AF71</f>
        <v>0</v>
      </c>
      <c r="C70" s="2">
        <f>+'s1'!AG71</f>
        <v>0</v>
      </c>
      <c r="D70" s="2">
        <f>+'s1'!AH71</f>
        <v>0</v>
      </c>
      <c r="E70" s="2">
        <f>+'s1'!AI71</f>
        <v>0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 t="shared" si="0"/>
        <v>0</v>
      </c>
      <c r="T70" s="1"/>
    </row>
    <row r="71" spans="1:20" x14ac:dyDescent="0.2">
      <c r="A71" s="18" t="s">
        <v>755</v>
      </c>
      <c r="B71" s="2">
        <f>+'s1'!AF72</f>
        <v>0</v>
      </c>
      <c r="C71" s="2">
        <f>+'s1'!AG72</f>
        <v>0</v>
      </c>
      <c r="D71" s="2">
        <f>+'s1'!AH72</f>
        <v>-7495.94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7495.94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 t="shared" si="0"/>
        <v>0</v>
      </c>
      <c r="T71" s="1"/>
    </row>
    <row r="72" spans="1:20" x14ac:dyDescent="0.2">
      <c r="A72" s="18" t="s">
        <v>758</v>
      </c>
      <c r="B72" s="2">
        <f>+'s1'!AF73</f>
        <v>0</v>
      </c>
      <c r="C72" s="2">
        <f>+'s1'!AG73</f>
        <v>0</v>
      </c>
      <c r="D72" s="2">
        <f>+'s1'!AH73+218.98</f>
        <v>218.98</v>
      </c>
      <c r="E72" s="2">
        <f>+'s1'!AI73</f>
        <v>0</v>
      </c>
      <c r="F72" s="2">
        <f>+'s1'!AJ73+235.47</f>
        <v>235.47</v>
      </c>
      <c r="G72" s="2">
        <f>+'s1'!AK73</f>
        <v>0</v>
      </c>
      <c r="H72" s="2">
        <f>+'s1'!AL73</f>
        <v>0</v>
      </c>
      <c r="I72" s="2">
        <f>+'s1'!AM73+393.96</f>
        <v>393.96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0</v>
      </c>
      <c r="R72" s="2">
        <f>+'s1'!AV73</f>
        <v>0</v>
      </c>
      <c r="S72" s="2">
        <f t="shared" si="0"/>
        <v>848.41</v>
      </c>
      <c r="T72" s="1"/>
    </row>
    <row r="73" spans="1:20" x14ac:dyDescent="0.2">
      <c r="A73" s="18" t="s">
        <v>759</v>
      </c>
      <c r="B73" s="2">
        <f>+'s1'!AF74</f>
        <v>0</v>
      </c>
      <c r="C73" s="2">
        <f>+'s1'!AG74</f>
        <v>0</v>
      </c>
      <c r="D73" s="2">
        <f>+'s1'!AH74</f>
        <v>-8574.27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8574.27</v>
      </c>
      <c r="J73" s="2">
        <f>+'s1'!AN74</f>
        <v>0</v>
      </c>
      <c r="K73" s="2">
        <f>+'s1'!AO74</f>
        <v>0</v>
      </c>
      <c r="L73" s="2">
        <f>+'s1'!AP74</f>
        <v>0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 t="shared" si="0"/>
        <v>0</v>
      </c>
      <c r="T73" s="1"/>
    </row>
    <row r="74" spans="1:20" s="20" customFormat="1" x14ac:dyDescent="0.2">
      <c r="A74" s="1" t="s">
        <v>711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0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325.11</v>
      </c>
      <c r="R74" s="2">
        <f>+'s1'!AV75</f>
        <v>0</v>
      </c>
      <c r="S74" s="2">
        <f>SUM(B74:R74)</f>
        <v>325.11</v>
      </c>
      <c r="T74" s="78"/>
    </row>
    <row r="75" spans="1:20" s="20" customFormat="1" x14ac:dyDescent="0.2">
      <c r="A75" s="1" t="s">
        <v>712</v>
      </c>
      <c r="B75" s="2">
        <f>+'s1'!AF76</f>
        <v>0</v>
      </c>
      <c r="C75" s="2">
        <f>+'s1'!AG76</f>
        <v>0</v>
      </c>
      <c r="D75" s="2">
        <f>+'s1'!AH76</f>
        <v>1727.49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0</v>
      </c>
      <c r="S75" s="2">
        <f>SUM(B75:R75)</f>
        <v>1727.49</v>
      </c>
      <c r="T75" s="78"/>
    </row>
    <row r="76" spans="1:20" x14ac:dyDescent="0.2">
      <c r="A76" s="18" t="s">
        <v>699</v>
      </c>
      <c r="B76" s="2">
        <f>+'s1'!AF77</f>
        <v>0</v>
      </c>
      <c r="C76" s="2">
        <f>+'s1'!AG77</f>
        <v>0</v>
      </c>
      <c r="D76" s="2">
        <f>+'s1'!AH77</f>
        <v>0</v>
      </c>
      <c r="E76" s="2">
        <f>+'s1'!AI77</f>
        <v>0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9334.74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0</v>
      </c>
      <c r="S76" s="2">
        <f t="shared" si="0"/>
        <v>9334.74</v>
      </c>
      <c r="T76" s="1"/>
    </row>
    <row r="77" spans="1:20" s="20" customFormat="1" x14ac:dyDescent="0.2">
      <c r="A77" s="1" t="s">
        <v>54</v>
      </c>
      <c r="B77" s="2">
        <f>+'s1'!AF78</f>
        <v>0</v>
      </c>
      <c r="C77" s="2">
        <f>+'s1'!AG78</f>
        <v>0</v>
      </c>
      <c r="D77" s="2">
        <f>+'s1'!AH78</f>
        <v>0</v>
      </c>
      <c r="E77" s="2">
        <f>+'s1'!AI78</f>
        <v>242.88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47.63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0</v>
      </c>
      <c r="R77" s="2">
        <f>+'s1'!AV78</f>
        <v>0</v>
      </c>
      <c r="S77" s="2">
        <f t="shared" si="0"/>
        <v>290.51</v>
      </c>
      <c r="T77" s="18"/>
    </row>
    <row r="78" spans="1:20" x14ac:dyDescent="0.2">
      <c r="A78" s="1" t="s">
        <v>55</v>
      </c>
      <c r="B78" s="2">
        <f>+'s1'!AF79</f>
        <v>0</v>
      </c>
      <c r="C78" s="2">
        <f>+'s1'!AG79</f>
        <v>0</v>
      </c>
      <c r="D78" s="2">
        <f>+'s1'!AH79</f>
        <v>0</v>
      </c>
      <c r="E78" s="2">
        <f>+'s1'!AI79</f>
        <v>1795.05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0</v>
      </c>
      <c r="O78" s="2">
        <f>+'s1'!AS79</f>
        <v>0</v>
      </c>
      <c r="P78" s="2">
        <f>+'s1'!AT79</f>
        <v>0</v>
      </c>
      <c r="Q78" s="2">
        <f>+'s1'!AU79</f>
        <v>4517.43</v>
      </c>
      <c r="R78" s="2">
        <f>+'s1'!AV79</f>
        <v>0</v>
      </c>
      <c r="S78" s="2">
        <f t="shared" si="0"/>
        <v>6312.48</v>
      </c>
      <c r="T78" s="1"/>
    </row>
    <row r="79" spans="1:20" s="20" customFormat="1" x14ac:dyDescent="0.2">
      <c r="A79" s="1" t="s">
        <v>56</v>
      </c>
      <c r="B79" s="2">
        <f>+'s1'!AF80</f>
        <v>0</v>
      </c>
      <c r="C79" s="2">
        <f>+'s1'!AG80</f>
        <v>0</v>
      </c>
      <c r="D79" s="2">
        <f>+'s1'!AH80</f>
        <v>0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0</v>
      </c>
      <c r="R79" s="2">
        <f>+'s1'!AV80</f>
        <v>4730.87</v>
      </c>
      <c r="S79" s="2">
        <f t="shared" si="0"/>
        <v>4730.87</v>
      </c>
      <c r="T79" s="18"/>
    </row>
    <row r="80" spans="1:20" x14ac:dyDescent="0.2">
      <c r="A80" s="18" t="s">
        <v>216</v>
      </c>
      <c r="B80" s="2">
        <f>+'s1'!AF81</f>
        <v>0</v>
      </c>
      <c r="C80" s="2">
        <f>+'s1'!AG81</f>
        <v>0</v>
      </c>
      <c r="D80" s="2">
        <f>+'s1'!AH81</f>
        <v>5.73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0</v>
      </c>
      <c r="Q80" s="2">
        <f>+'s1'!AU81</f>
        <v>0</v>
      </c>
      <c r="R80" s="2">
        <f>+'s1'!AV81</f>
        <v>0</v>
      </c>
      <c r="S80" s="2">
        <f t="shared" si="0"/>
        <v>5.73</v>
      </c>
      <c r="T80" s="1"/>
    </row>
    <row r="81" spans="1:20" s="20" customFormat="1" x14ac:dyDescent="0.2">
      <c r="A81" s="18" t="s">
        <v>57</v>
      </c>
      <c r="B81" s="2">
        <f>+'s1'!AF82</f>
        <v>0</v>
      </c>
      <c r="C81" s="2">
        <f>+'s1'!AG82</f>
        <v>0</v>
      </c>
      <c r="D81" s="2">
        <f>+'s1'!AH82</f>
        <v>0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0</v>
      </c>
      <c r="L81" s="2">
        <f>+'s1'!AP82</f>
        <v>0</v>
      </c>
      <c r="M81" s="2">
        <f>+'s1'!AQ82</f>
        <v>0</v>
      </c>
      <c r="N81" s="2">
        <f>+'s1'!AR82</f>
        <v>0</v>
      </c>
      <c r="O81" s="2">
        <f>+'s1'!AS82</f>
        <v>0</v>
      </c>
      <c r="P81" s="2">
        <f>+'s1'!AT82</f>
        <v>3.33</v>
      </c>
      <c r="Q81" s="2">
        <f>+'s1'!AU82</f>
        <v>2629.95</v>
      </c>
      <c r="R81" s="2">
        <f>+'s1'!AV82</f>
        <v>0</v>
      </c>
      <c r="S81" s="2">
        <f t="shared" si="0"/>
        <v>2633.28</v>
      </c>
      <c r="T81" s="78"/>
    </row>
    <row r="82" spans="1:20" s="20" customFormat="1" x14ac:dyDescent="0.2">
      <c r="A82" s="1" t="s">
        <v>704</v>
      </c>
      <c r="B82" s="2">
        <f>+'s1'!AF83</f>
        <v>0</v>
      </c>
      <c r="C82" s="2">
        <f>+'s1'!AG83</f>
        <v>0</v>
      </c>
      <c r="D82" s="2">
        <f>+'s1'!AH83</f>
        <v>217929.85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603.95000000000005</v>
      </c>
      <c r="L82" s="2">
        <f>+'s1'!AP83</f>
        <v>0</v>
      </c>
      <c r="M82" s="2">
        <f>+'s1'!AQ83</f>
        <v>0</v>
      </c>
      <c r="N82" s="2">
        <f>+'s1'!AR83</f>
        <v>6543.77</v>
      </c>
      <c r="O82" s="2">
        <f>+'s1'!AS83</f>
        <v>0</v>
      </c>
      <c r="P82" s="2">
        <f>+'s1'!AT83</f>
        <v>0</v>
      </c>
      <c r="Q82" s="2">
        <f>+'s1'!AU83</f>
        <v>0</v>
      </c>
      <c r="R82" s="2">
        <f>+'s1'!AV83</f>
        <v>0</v>
      </c>
      <c r="S82" s="2">
        <f>SUM(B82:R82)</f>
        <v>225077.57</v>
      </c>
      <c r="T82" s="18"/>
    </row>
    <row r="83" spans="1:20" x14ac:dyDescent="0.2">
      <c r="A83" s="1" t="s">
        <v>437</v>
      </c>
      <c r="B83" s="2">
        <f>+'s1'!AF84</f>
        <v>0</v>
      </c>
      <c r="C83" s="2">
        <f>+'s1'!AG84</f>
        <v>0</v>
      </c>
      <c r="D83" s="2">
        <f>+'s1'!AH84</f>
        <v>13673.47</v>
      </c>
      <c r="E83" s="2">
        <f>+'s1'!AI84</f>
        <v>0</v>
      </c>
      <c r="F83" s="2">
        <f>+'s1'!AJ84</f>
        <v>0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0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12086.93</v>
      </c>
      <c r="R83" s="2">
        <f>+'s1'!AV84</f>
        <v>0</v>
      </c>
      <c r="S83" s="2">
        <f t="shared" si="0"/>
        <v>25760.400000000001</v>
      </c>
      <c r="T83" s="2"/>
    </row>
    <row r="84" spans="1:20" s="20" customFormat="1" x14ac:dyDescent="0.2">
      <c r="A84" s="1" t="s">
        <v>58</v>
      </c>
      <c r="B84" s="2">
        <f>+'s1'!AF85</f>
        <v>0</v>
      </c>
      <c r="C84" s="2">
        <f>+'s1'!AG85</f>
        <v>0</v>
      </c>
      <c r="D84" s="2">
        <f>+'s1'!AH85</f>
        <v>149419.71</v>
      </c>
      <c r="E84" s="2">
        <f>+'s1'!AI85</f>
        <v>0</v>
      </c>
      <c r="F84" s="2">
        <f>+'s1'!AJ85</f>
        <v>0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0</v>
      </c>
      <c r="R84" s="2">
        <f>+'s1'!AV85</f>
        <v>0</v>
      </c>
      <c r="S84" s="2">
        <f t="shared" si="0"/>
        <v>149419.71</v>
      </c>
      <c r="T84" s="78"/>
    </row>
    <row r="85" spans="1:20" s="20" customFormat="1" x14ac:dyDescent="0.2">
      <c r="A85" s="1" t="s">
        <v>438</v>
      </c>
      <c r="B85" s="2">
        <f>+'s1'!AF86</f>
        <v>0</v>
      </c>
      <c r="C85" s="2">
        <f>+'s1'!AG86</f>
        <v>0</v>
      </c>
      <c r="D85" s="2">
        <f>+'s1'!AH86</f>
        <v>13356.92</v>
      </c>
      <c r="E85" s="2">
        <f>+'s1'!AI86</f>
        <v>0</v>
      </c>
      <c r="F85" s="2">
        <f>+'s1'!AJ86</f>
        <v>9324.9699999999993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11850.02</v>
      </c>
      <c r="M85" s="2">
        <f>+'s1'!AQ86</f>
        <v>0</v>
      </c>
      <c r="N85" s="2">
        <f>+'s1'!AR86</f>
        <v>0</v>
      </c>
      <c r="O85" s="2">
        <f>+'s1'!AS86</f>
        <v>0</v>
      </c>
      <c r="P85" s="2">
        <f>+'s1'!AT86</f>
        <v>0</v>
      </c>
      <c r="Q85" s="2">
        <f>+'s1'!AU86</f>
        <v>0</v>
      </c>
      <c r="R85" s="2">
        <f>+'s1'!AV86</f>
        <v>0</v>
      </c>
      <c r="S85" s="2">
        <f t="shared" si="0"/>
        <v>34531.910000000003</v>
      </c>
      <c r="T85" s="78"/>
    </row>
    <row r="86" spans="1:20" x14ac:dyDescent="0.2">
      <c r="A86" s="1" t="s">
        <v>439</v>
      </c>
      <c r="B86" s="2">
        <f>+'s1'!AF87</f>
        <v>1994.11</v>
      </c>
      <c r="C86" s="2">
        <f>+'s1'!AG87</f>
        <v>0</v>
      </c>
      <c r="D86" s="2">
        <f>+'s1'!AH87</f>
        <v>2704.39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0</v>
      </c>
      <c r="O86" s="2">
        <f>+'s1'!AS87</f>
        <v>0</v>
      </c>
      <c r="P86" s="2">
        <f>+'s1'!AT87</f>
        <v>0</v>
      </c>
      <c r="Q86" s="2">
        <f>+'s1'!AU87</f>
        <v>7307.99</v>
      </c>
      <c r="R86" s="2">
        <f>+'s1'!AV87</f>
        <v>0</v>
      </c>
      <c r="S86" s="2">
        <f t="shared" si="0"/>
        <v>12006.49</v>
      </c>
      <c r="T86" s="2"/>
    </row>
    <row r="87" spans="1:20" x14ac:dyDescent="0.2">
      <c r="A87" s="1" t="s">
        <v>351</v>
      </c>
      <c r="B87" s="2">
        <f>+'s1'!AF88</f>
        <v>0</v>
      </c>
      <c r="C87" s="2">
        <f>+'s1'!AG88</f>
        <v>0</v>
      </c>
      <c r="D87" s="2">
        <f>+'s1'!AH88</f>
        <v>2072.61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0</v>
      </c>
      <c r="L87" s="2">
        <f>+'s1'!AP88</f>
        <v>0</v>
      </c>
      <c r="M87" s="2">
        <f>+'s1'!AQ88</f>
        <v>0</v>
      </c>
      <c r="N87" s="2">
        <f>+'s1'!AR88</f>
        <v>3806.99</v>
      </c>
      <c r="O87" s="2">
        <f>+'s1'!AS88</f>
        <v>0</v>
      </c>
      <c r="P87" s="2">
        <f>+'s1'!AT88</f>
        <v>0</v>
      </c>
      <c r="Q87" s="2">
        <f>+'s1'!AU88</f>
        <v>0</v>
      </c>
      <c r="R87" s="2">
        <f>+'s1'!AV88</f>
        <v>0</v>
      </c>
      <c r="S87" s="2">
        <f t="shared" si="0"/>
        <v>5879.6</v>
      </c>
      <c r="T87" s="1"/>
    </row>
    <row r="88" spans="1:20" s="20" customFormat="1" x14ac:dyDescent="0.2">
      <c r="A88" s="1" t="s">
        <v>604</v>
      </c>
      <c r="B88" s="2">
        <f>+'s1'!AF89</f>
        <v>0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0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0</v>
      </c>
      <c r="P88" s="2">
        <f>+'s1'!AT89</f>
        <v>0</v>
      </c>
      <c r="Q88" s="2">
        <f>+'s1'!AU89</f>
        <v>849.73</v>
      </c>
      <c r="R88" s="2">
        <f>+'s1'!AV89</f>
        <v>0</v>
      </c>
      <c r="S88" s="2">
        <f t="shared" si="0"/>
        <v>849.73</v>
      </c>
      <c r="T88" s="18"/>
    </row>
    <row r="89" spans="1:20" x14ac:dyDescent="0.2">
      <c r="A89" s="18" t="s">
        <v>440</v>
      </c>
      <c r="B89" s="2">
        <f>+'s1'!AF90</f>
        <v>19584.189999999999</v>
      </c>
      <c r="C89" s="2">
        <f>+'s1'!AG90</f>
        <v>0</v>
      </c>
      <c r="D89" s="2">
        <f>+'s1'!AH90</f>
        <v>0</v>
      </c>
      <c r="E89" s="2">
        <f>+'s1'!AI90</f>
        <v>0</v>
      </c>
      <c r="F89" s="2">
        <f>+'s1'!AJ90</f>
        <v>0</v>
      </c>
      <c r="G89" s="2">
        <f>+'s1'!AK90</f>
        <v>0</v>
      </c>
      <c r="H89" s="2">
        <f>+'s1'!AL90</f>
        <v>0</v>
      </c>
      <c r="I89" s="2">
        <f>+'s1'!AM90</f>
        <v>0</v>
      </c>
      <c r="J89" s="2">
        <f>+'s1'!AN90</f>
        <v>0</v>
      </c>
      <c r="K89" s="2">
        <f>+'s1'!AO90</f>
        <v>0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0</v>
      </c>
      <c r="P89" s="2">
        <f>+'s1'!AT90</f>
        <v>0</v>
      </c>
      <c r="Q89" s="2">
        <f>+'s1'!AU90</f>
        <v>82628.490000000005</v>
      </c>
      <c r="R89" s="2">
        <f>+'s1'!AV90</f>
        <v>0</v>
      </c>
      <c r="S89" s="2">
        <f t="shared" si="0"/>
        <v>102212.68</v>
      </c>
      <c r="T89" s="1"/>
    </row>
    <row r="90" spans="1:20" s="20" customFormat="1" x14ac:dyDescent="0.2">
      <c r="A90" s="18" t="s">
        <v>59</v>
      </c>
      <c r="B90" s="2">
        <f>+'s1'!AF91</f>
        <v>0</v>
      </c>
      <c r="C90" s="2">
        <f>+'s1'!AG91</f>
        <v>0</v>
      </c>
      <c r="D90" s="2">
        <f>+'s1'!AH91</f>
        <v>675780.9</v>
      </c>
      <c r="E90" s="2">
        <f>+'s1'!AI91</f>
        <v>0</v>
      </c>
      <c r="F90" s="2">
        <f>+'s1'!AJ91</f>
        <v>0</v>
      </c>
      <c r="G90" s="2">
        <f>+'s1'!AK91</f>
        <v>284.51</v>
      </c>
      <c r="H90" s="2">
        <f>+'s1'!AL91</f>
        <v>0</v>
      </c>
      <c r="I90" s="2">
        <f>+'s1'!AM91</f>
        <v>0</v>
      </c>
      <c r="J90" s="2">
        <f>+'s1'!AN91</f>
        <v>149.68</v>
      </c>
      <c r="K90" s="2">
        <f>+'s1'!AO91</f>
        <v>272.08999999999997</v>
      </c>
      <c r="L90" s="2">
        <f>+'s1'!AP91</f>
        <v>0</v>
      </c>
      <c r="M90" s="2">
        <f>+'s1'!AQ91</f>
        <v>0</v>
      </c>
      <c r="N90" s="2">
        <f>+'s1'!AR91</f>
        <v>19087.3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0</v>
      </c>
      <c r="S90" s="2">
        <f t="shared" si="0"/>
        <v>695574.48</v>
      </c>
      <c r="T90" s="78"/>
    </row>
    <row r="91" spans="1:20" x14ac:dyDescent="0.2">
      <c r="A91" s="1" t="s">
        <v>60</v>
      </c>
      <c r="B91" s="2">
        <f>+'s1'!AF92</f>
        <v>0</v>
      </c>
      <c r="C91" s="2">
        <f>+'s1'!AG92</f>
        <v>0</v>
      </c>
      <c r="D91" s="2">
        <f>+'s1'!AH92</f>
        <v>0</v>
      </c>
      <c r="E91" s="2">
        <f>+'s1'!AI92</f>
        <v>0</v>
      </c>
      <c r="F91" s="2">
        <f>+'s1'!AJ92</f>
        <v>3820.94</v>
      </c>
      <c r="G91" s="2">
        <f>+'s1'!AK92</f>
        <v>0</v>
      </c>
      <c r="H91" s="2">
        <f>+'s1'!AL92</f>
        <v>0</v>
      </c>
      <c r="I91" s="2">
        <f>+'s1'!AM92</f>
        <v>1065.72</v>
      </c>
      <c r="J91" s="2">
        <f>+'s1'!AN92</f>
        <v>0</v>
      </c>
      <c r="K91" s="2">
        <f>+'s1'!AO92</f>
        <v>2357.25</v>
      </c>
      <c r="L91" s="2">
        <f>+'s1'!AP92</f>
        <v>0</v>
      </c>
      <c r="M91" s="2">
        <f>+'s1'!AQ92</f>
        <v>0</v>
      </c>
      <c r="N91" s="2">
        <f>+'s1'!AR92</f>
        <v>0</v>
      </c>
      <c r="O91" s="2">
        <f>+'s1'!AS92</f>
        <v>0</v>
      </c>
      <c r="P91" s="2">
        <f>+'s1'!AT92</f>
        <v>0</v>
      </c>
      <c r="Q91" s="2">
        <f>+'s1'!AU92</f>
        <v>0</v>
      </c>
      <c r="R91" s="2">
        <f>+'s1'!AV92</f>
        <v>25486.27</v>
      </c>
      <c r="S91" s="2">
        <f t="shared" si="0"/>
        <v>32730.18</v>
      </c>
      <c r="T91" s="2"/>
    </row>
    <row r="92" spans="1:20" x14ac:dyDescent="0.2">
      <c r="A92" s="1" t="s">
        <v>461</v>
      </c>
      <c r="B92" s="2">
        <f>+'s1'!AF93</f>
        <v>0</v>
      </c>
      <c r="C92" s="2">
        <f>+'s1'!AG93</f>
        <v>0</v>
      </c>
      <c r="D92" s="2">
        <f>+'s1'!AH93</f>
        <v>0</v>
      </c>
      <c r="E92" s="2">
        <f>+'s1'!AI93</f>
        <v>0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0</v>
      </c>
      <c r="M92" s="2">
        <f>+'s1'!AQ93</f>
        <v>0</v>
      </c>
      <c r="N92" s="2">
        <f>+'s1'!AR93</f>
        <v>0</v>
      </c>
      <c r="O92" s="2">
        <f>+'s1'!AS93</f>
        <v>0</v>
      </c>
      <c r="P92" s="2">
        <f>+'s1'!AT93</f>
        <v>0</v>
      </c>
      <c r="Q92" s="2">
        <f>+'s1'!AU93</f>
        <v>987.84</v>
      </c>
      <c r="R92" s="2">
        <f>+'s1'!AV93</f>
        <v>0</v>
      </c>
      <c r="S92" s="2">
        <f t="shared" ref="S92:S112" si="1">SUM(B92:R92)</f>
        <v>987.84</v>
      </c>
      <c r="T92" s="2"/>
    </row>
    <row r="93" spans="1:20" s="20" customFormat="1" x14ac:dyDescent="0.2">
      <c r="A93" s="18" t="s">
        <v>61</v>
      </c>
      <c r="B93" s="2">
        <f>+'s1'!AF94</f>
        <v>23826.080000000002</v>
      </c>
      <c r="C93" s="2">
        <f>+'s1'!AG94</f>
        <v>7088.02</v>
      </c>
      <c r="D93" s="2">
        <f>+'s1'!AH94</f>
        <v>138969.24</v>
      </c>
      <c r="E93" s="2">
        <f>+'s1'!AI94</f>
        <v>2655.92</v>
      </c>
      <c r="F93" s="2">
        <f>+'s1'!AJ94</f>
        <v>0</v>
      </c>
      <c r="G93" s="2">
        <f>+'s1'!AK94</f>
        <v>314.74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5.0999999999999996</v>
      </c>
      <c r="L93" s="2">
        <f>+'s1'!AP94</f>
        <v>11296.3</v>
      </c>
      <c r="M93" s="2">
        <f>+'s1'!AQ94</f>
        <v>530.96</v>
      </c>
      <c r="N93" s="2">
        <f>+'s1'!AR94</f>
        <v>302.27</v>
      </c>
      <c r="O93" s="2">
        <f>+'s1'!AS94</f>
        <v>1714.43</v>
      </c>
      <c r="P93" s="2">
        <f>+'s1'!AT94</f>
        <v>0</v>
      </c>
      <c r="Q93" s="2">
        <f>+'s1'!AU94</f>
        <v>25513.439999999999</v>
      </c>
      <c r="R93" s="2">
        <f>+'s1'!AV94</f>
        <v>0</v>
      </c>
      <c r="S93" s="2">
        <f t="shared" si="1"/>
        <v>212216.5</v>
      </c>
      <c r="T93" s="78"/>
    </row>
    <row r="94" spans="1:20" s="20" customFormat="1" x14ac:dyDescent="0.2">
      <c r="A94" s="1" t="s">
        <v>462</v>
      </c>
      <c r="B94" s="2">
        <f>+'s1'!AF95</f>
        <v>0</v>
      </c>
      <c r="C94" s="2">
        <f>+'s1'!AG95</f>
        <v>35.1</v>
      </c>
      <c r="D94" s="2">
        <f>+'s1'!AH95</f>
        <v>0</v>
      </c>
      <c r="E94" s="2">
        <f>+'s1'!AI95</f>
        <v>32.46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5711.3</v>
      </c>
      <c r="M94" s="2">
        <f>+'s1'!AQ95</f>
        <v>6.26</v>
      </c>
      <c r="N94" s="2">
        <f>+'s1'!AR95</f>
        <v>0</v>
      </c>
      <c r="O94" s="2">
        <f>+'s1'!AS95</f>
        <v>0</v>
      </c>
      <c r="P94" s="2">
        <f>+'s1'!AT95</f>
        <v>0</v>
      </c>
      <c r="Q94" s="2">
        <f>+'s1'!AU95</f>
        <v>145.18</v>
      </c>
      <c r="R94" s="2">
        <f>+'s1'!AV95</f>
        <v>0</v>
      </c>
      <c r="S94" s="2">
        <f t="shared" si="1"/>
        <v>5930.3</v>
      </c>
      <c r="T94" s="18"/>
    </row>
    <row r="95" spans="1:20" s="20" customFormat="1" x14ac:dyDescent="0.2">
      <c r="A95" s="18" t="s">
        <v>62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4113.5600000000004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159.02000000000001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 t="shared" si="1"/>
        <v>4272.58</v>
      </c>
      <c r="T95" s="18"/>
    </row>
    <row r="96" spans="1:20" s="20" customFormat="1" x14ac:dyDescent="0.2">
      <c r="A96" s="1" t="s">
        <v>63</v>
      </c>
      <c r="B96" s="2">
        <f>+'s1'!AF97</f>
        <v>0</v>
      </c>
      <c r="C96" s="2">
        <f>+'s1'!AG97</f>
        <v>0</v>
      </c>
      <c r="D96" s="2">
        <f>+'s1'!AH97</f>
        <v>0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0</v>
      </c>
      <c r="R96" s="2">
        <f>+'s1'!AV97</f>
        <v>445.23</v>
      </c>
      <c r="S96" s="2">
        <f t="shared" si="1"/>
        <v>445.23</v>
      </c>
      <c r="T96" s="18"/>
    </row>
    <row r="97" spans="1:20" s="20" customFormat="1" x14ac:dyDescent="0.2">
      <c r="A97" s="1" t="s">
        <v>64</v>
      </c>
      <c r="B97" s="2">
        <f>+'s1'!AF98</f>
        <v>0</v>
      </c>
      <c r="C97" s="2">
        <f>+'s1'!AG98</f>
        <v>0</v>
      </c>
      <c r="D97" s="2">
        <f>+'s1'!AH98</f>
        <v>0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2052.33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181.96</v>
      </c>
      <c r="P97" s="2">
        <f>+'s1'!AT98</f>
        <v>0</v>
      </c>
      <c r="Q97" s="2">
        <f>+'s1'!AU98</f>
        <v>0</v>
      </c>
      <c r="R97" s="2">
        <f>+'s1'!AV98</f>
        <v>0</v>
      </c>
      <c r="S97" s="2">
        <f t="shared" si="1"/>
        <v>2234.29</v>
      </c>
      <c r="T97" s="78"/>
    </row>
    <row r="98" spans="1:20" s="20" customFormat="1" x14ac:dyDescent="0.2">
      <c r="A98" s="18" t="s">
        <v>721</v>
      </c>
      <c r="B98" s="2">
        <f>+'s1'!AF99</f>
        <v>0</v>
      </c>
      <c r="C98" s="2">
        <f>+'s1'!AG99</f>
        <v>0</v>
      </c>
      <c r="D98" s="2">
        <f>+'s1'!AH99</f>
        <v>0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0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33579.949999999997</v>
      </c>
      <c r="R98" s="2">
        <f>+'s1'!AV99</f>
        <v>0</v>
      </c>
      <c r="S98" s="2">
        <f>SUM(B98:R98)</f>
        <v>33579.949999999997</v>
      </c>
      <c r="T98" s="78"/>
    </row>
    <row r="99" spans="1:20" s="20" customFormat="1" x14ac:dyDescent="0.2">
      <c r="A99" s="18" t="s">
        <v>65</v>
      </c>
      <c r="B99" s="2">
        <f>+'s1'!AF100</f>
        <v>0</v>
      </c>
      <c r="C99" s="2">
        <f>+'s1'!AG100</f>
        <v>0</v>
      </c>
      <c r="D99" s="2">
        <f>+'s1'!AH100</f>
        <v>231.26</v>
      </c>
      <c r="E99" s="2">
        <f>+'s1'!AI100</f>
        <v>0</v>
      </c>
      <c r="F99" s="2">
        <f>+'s1'!AJ100</f>
        <v>0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0</v>
      </c>
      <c r="M99" s="2">
        <f>+'s1'!AQ100</f>
        <v>0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231.26</v>
      </c>
      <c r="T99" s="78"/>
    </row>
    <row r="100" spans="1:20" s="20" customFormat="1" x14ac:dyDescent="0.2">
      <c r="A100" s="18" t="s">
        <v>569</v>
      </c>
      <c r="B100" s="2">
        <f>+'s1'!AF101</f>
        <v>0</v>
      </c>
      <c r="C100" s="2">
        <f>+'s1'!AG101</f>
        <v>0</v>
      </c>
      <c r="D100" s="2">
        <f>+'s1'!AH101</f>
        <v>0</v>
      </c>
      <c r="E100" s="2">
        <f>+'s1'!AI101</f>
        <v>0</v>
      </c>
      <c r="F100" s="2">
        <f>+'s1'!AJ101</f>
        <v>0</v>
      </c>
      <c r="G100" s="2">
        <f>+'s1'!AK101</f>
        <v>0</v>
      </c>
      <c r="H100" s="2">
        <f>+'s1'!AL101</f>
        <v>1225.98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0</v>
      </c>
      <c r="P100" s="2">
        <f>+'s1'!AT101</f>
        <v>0</v>
      </c>
      <c r="Q100" s="2">
        <f>+'s1'!AU101</f>
        <v>0</v>
      </c>
      <c r="R100" s="2">
        <f>+'s1'!AV101</f>
        <v>0</v>
      </c>
      <c r="S100" s="2">
        <f t="shared" si="1"/>
        <v>1225.98</v>
      </c>
      <c r="T100" s="78"/>
    </row>
    <row r="101" spans="1:20" s="20" customFormat="1" x14ac:dyDescent="0.2">
      <c r="A101" s="18" t="s">
        <v>441</v>
      </c>
      <c r="B101" s="2">
        <f>+'s1'!AF102</f>
        <v>0</v>
      </c>
      <c r="C101" s="2">
        <f>+'s1'!AG102</f>
        <v>0</v>
      </c>
      <c r="D101" s="2">
        <f>+'s1'!AH102</f>
        <v>66583.86</v>
      </c>
      <c r="E101" s="2">
        <f>+'s1'!AI102</f>
        <v>0</v>
      </c>
      <c r="F101" s="2">
        <f>+'s1'!AJ102</f>
        <v>6575.8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18468.55</v>
      </c>
      <c r="M101" s="2">
        <f>+'s1'!AQ102</f>
        <v>0</v>
      </c>
      <c r="N101" s="2">
        <f>+'s1'!AR102</f>
        <v>9228.58</v>
      </c>
      <c r="O101" s="2">
        <f>+'s1'!AS102</f>
        <v>0</v>
      </c>
      <c r="P101" s="2">
        <f>+'s1'!AT102</f>
        <v>0</v>
      </c>
      <c r="Q101" s="2">
        <f>+'s1'!AU102</f>
        <v>0</v>
      </c>
      <c r="R101" s="2">
        <f>+'s1'!AV102</f>
        <v>0</v>
      </c>
      <c r="S101" s="2">
        <f t="shared" si="1"/>
        <v>100856.79</v>
      </c>
      <c r="T101" s="78"/>
    </row>
    <row r="102" spans="1:20" x14ac:dyDescent="0.2">
      <c r="A102" s="18" t="s">
        <v>66</v>
      </c>
      <c r="B102" s="2">
        <f>+'s1'!AF103</f>
        <v>0</v>
      </c>
      <c r="C102" s="2">
        <f>+'s1'!AG103</f>
        <v>11293.66</v>
      </c>
      <c r="D102" s="2">
        <f>+'s1'!AH103</f>
        <v>0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 t="shared" si="1"/>
        <v>11293.66</v>
      </c>
      <c r="T102" s="2"/>
    </row>
    <row r="103" spans="1:20" x14ac:dyDescent="0.2">
      <c r="A103" s="18" t="s">
        <v>477</v>
      </c>
      <c r="B103" s="2">
        <f>+'s1'!AF104</f>
        <v>34689.769999999997</v>
      </c>
      <c r="C103" s="2">
        <f>+'s1'!AG104</f>
        <v>0</v>
      </c>
      <c r="D103" s="2">
        <f>+'s1'!AH104</f>
        <v>108055.94</v>
      </c>
      <c r="E103" s="2">
        <f>+'s1'!AI104</f>
        <v>3074.38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2584.88</v>
      </c>
      <c r="N103" s="2">
        <f>+'s1'!AR104</f>
        <v>252.76</v>
      </c>
      <c r="O103" s="2">
        <f>+'s1'!AS104</f>
        <v>0</v>
      </c>
      <c r="P103" s="2">
        <f>+'s1'!AT104</f>
        <v>0</v>
      </c>
      <c r="Q103" s="2">
        <f>+'s1'!AU104</f>
        <v>80705.03</v>
      </c>
      <c r="R103" s="2">
        <f>+'s1'!AV104</f>
        <v>0</v>
      </c>
      <c r="S103" s="2">
        <f t="shared" si="1"/>
        <v>229362.76</v>
      </c>
      <c r="T103" s="2"/>
    </row>
    <row r="104" spans="1:20" s="20" customFormat="1" x14ac:dyDescent="0.2">
      <c r="A104" s="18" t="s">
        <v>67</v>
      </c>
      <c r="B104" s="2">
        <f>+'s1'!AF105</f>
        <v>0</v>
      </c>
      <c r="C104" s="2">
        <f>+'s1'!AG105</f>
        <v>0</v>
      </c>
      <c r="D104" s="2">
        <f>+'s1'!AH105</f>
        <v>0</v>
      </c>
      <c r="E104" s="2">
        <f>+'s1'!AI105</f>
        <v>0</v>
      </c>
      <c r="F104" s="2">
        <f>+'s1'!AJ105</f>
        <v>958.32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0</v>
      </c>
      <c r="R104" s="2">
        <f>+'s1'!AV105</f>
        <v>22.4</v>
      </c>
      <c r="S104" s="2">
        <f t="shared" si="1"/>
        <v>980.72</v>
      </c>
      <c r="T104" s="18"/>
    </row>
    <row r="105" spans="1:20" s="20" customFormat="1" x14ac:dyDescent="0.2">
      <c r="A105" s="18" t="s">
        <v>83</v>
      </c>
      <c r="B105" s="2">
        <f>+'s1'!AF106</f>
        <v>0</v>
      </c>
      <c r="C105" s="2">
        <f>+'s1'!AG106</f>
        <v>0</v>
      </c>
      <c r="D105" s="2">
        <f>+'s1'!AH106</f>
        <v>15654.18</v>
      </c>
      <c r="E105" s="2">
        <f>+'s1'!AI106</f>
        <v>0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0</v>
      </c>
      <c r="R105" s="2">
        <f>+'s1'!AV106</f>
        <v>0</v>
      </c>
      <c r="S105" s="2">
        <f t="shared" si="1"/>
        <v>15654.18</v>
      </c>
      <c r="T105" s="78"/>
    </row>
    <row r="106" spans="1:20" x14ac:dyDescent="0.2">
      <c r="A106" s="18" t="s">
        <v>352</v>
      </c>
      <c r="B106" s="2">
        <f>+'s1'!AF107</f>
        <v>0</v>
      </c>
      <c r="C106" s="2">
        <f>+'s1'!AG107</f>
        <v>0</v>
      </c>
      <c r="D106" s="2">
        <f>+'s1'!AH107</f>
        <v>14001.4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4963.1000000000004</v>
      </c>
      <c r="P106" s="2">
        <f>+'s1'!AT107</f>
        <v>0</v>
      </c>
      <c r="Q106" s="2">
        <f>+'s1'!AU107</f>
        <v>15204.18</v>
      </c>
      <c r="R106" s="2">
        <f>+'s1'!AV107</f>
        <v>0</v>
      </c>
      <c r="S106" s="2">
        <f t="shared" si="1"/>
        <v>34168.68</v>
      </c>
      <c r="T106" s="1"/>
    </row>
    <row r="107" spans="1:20" x14ac:dyDescent="0.2">
      <c r="A107" s="18" t="s">
        <v>365</v>
      </c>
      <c r="B107" s="2">
        <f>+'s1'!AF108</f>
        <v>0</v>
      </c>
      <c r="C107" s="2">
        <f>+'s1'!AG108</f>
        <v>0</v>
      </c>
      <c r="D107" s="2">
        <f>+'s1'!AH108</f>
        <v>6818.39</v>
      </c>
      <c r="E107" s="2">
        <f>+'s1'!AI108</f>
        <v>5764.24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9510.08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35188.1</v>
      </c>
      <c r="R107" s="2">
        <f>+'s1'!AV108</f>
        <v>0</v>
      </c>
      <c r="S107" s="2">
        <f t="shared" si="1"/>
        <v>57280.81</v>
      </c>
      <c r="T107" s="2"/>
    </row>
    <row r="108" spans="1:20" x14ac:dyDescent="0.2">
      <c r="A108" s="1" t="s">
        <v>68</v>
      </c>
      <c r="B108" s="2">
        <f>+'s1'!AF109</f>
        <v>0</v>
      </c>
      <c r="C108" s="2">
        <f>+'s1'!AG109</f>
        <v>0</v>
      </c>
      <c r="D108" s="2">
        <f>+'s1'!AH109</f>
        <v>2137.5300000000002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0</v>
      </c>
      <c r="R108" s="2">
        <f>+'s1'!AV109</f>
        <v>0</v>
      </c>
      <c r="S108" s="2">
        <f t="shared" si="1"/>
        <v>2137.5300000000002</v>
      </c>
      <c r="T108" s="1"/>
    </row>
    <row r="109" spans="1:20" x14ac:dyDescent="0.2">
      <c r="A109" s="1" t="s">
        <v>69</v>
      </c>
      <c r="B109" s="2">
        <f>+'s1'!AF110</f>
        <v>0</v>
      </c>
      <c r="C109" s="2">
        <f>+'s1'!AG110</f>
        <v>4171.51</v>
      </c>
      <c r="D109" s="2">
        <f>+'s1'!AH110</f>
        <v>0</v>
      </c>
      <c r="E109" s="2">
        <f>+'s1'!AI110</f>
        <v>0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5288.65</v>
      </c>
      <c r="M109" s="2">
        <f>+'s1'!AQ110</f>
        <v>6158.74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8387.73</v>
      </c>
      <c r="R109" s="2">
        <f>+'s1'!AV110</f>
        <v>0</v>
      </c>
      <c r="S109" s="2">
        <f t="shared" si="1"/>
        <v>24006.63</v>
      </c>
      <c r="T109" s="1"/>
    </row>
    <row r="110" spans="1:20" x14ac:dyDescent="0.2">
      <c r="A110" s="1" t="s">
        <v>570</v>
      </c>
      <c r="B110" s="2">
        <f>+'s1'!AF111</f>
        <v>16506.37</v>
      </c>
      <c r="C110" s="2">
        <f>+'s1'!AG111</f>
        <v>0</v>
      </c>
      <c r="D110" s="2">
        <f>+'s1'!AH111</f>
        <v>401342.71999999997</v>
      </c>
      <c r="E110" s="2">
        <f>+'s1'!AI111</f>
        <v>6003.83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5562.33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149122.74</v>
      </c>
      <c r="R110" s="2">
        <f>+'s1'!AV111</f>
        <v>0</v>
      </c>
      <c r="S110" s="2">
        <f t="shared" si="1"/>
        <v>578537.99</v>
      </c>
      <c r="T110" s="1"/>
    </row>
    <row r="111" spans="1:20" s="20" customFormat="1" x14ac:dyDescent="0.2">
      <c r="A111" s="1" t="s">
        <v>695</v>
      </c>
      <c r="B111" s="2">
        <f>+'s1'!AF112</f>
        <v>0</v>
      </c>
      <c r="C111" s="2">
        <f>+'s1'!AG112</f>
        <v>0</v>
      </c>
      <c r="D111" s="2">
        <f>+'s1'!AH112</f>
        <v>3665.94</v>
      </c>
      <c r="E111" s="2">
        <f>+'s1'!AI112</f>
        <v>0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0</v>
      </c>
      <c r="R111" s="2">
        <f>+'s1'!AV112</f>
        <v>0</v>
      </c>
      <c r="S111" s="2">
        <f>SUM(B111:R111)</f>
        <v>3665.94</v>
      </c>
      <c r="T111" s="18"/>
    </row>
    <row r="112" spans="1:20" x14ac:dyDescent="0.2">
      <c r="A112" s="1" t="s">
        <v>443</v>
      </c>
      <c r="B112" s="2">
        <f>+'s1'!AF113</f>
        <v>0</v>
      </c>
      <c r="C112" s="2">
        <f>+'s1'!AG113</f>
        <v>0</v>
      </c>
      <c r="D112" s="2">
        <f>+'s1'!AH113</f>
        <v>8283.92</v>
      </c>
      <c r="E112" s="2">
        <f>+'s1'!AI113</f>
        <v>0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0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1549.23</v>
      </c>
      <c r="R112" s="2">
        <f>+'s1'!AV113</f>
        <v>0</v>
      </c>
      <c r="S112" s="2">
        <f t="shared" si="1"/>
        <v>9833.15</v>
      </c>
      <c r="T112" s="1"/>
    </row>
    <row r="113" spans="1:20" x14ac:dyDescent="0.2">
      <c r="A113" s="18" t="s">
        <v>744</v>
      </c>
      <c r="B113" s="2">
        <f>+'s1'!AF114</f>
        <v>0</v>
      </c>
      <c r="C113" s="2">
        <f>+'s1'!AG114</f>
        <v>0</v>
      </c>
      <c r="D113" s="2">
        <f>+'s1'!AH114</f>
        <v>-129.47999999999999</v>
      </c>
      <c r="E113" s="2">
        <f>+'s1'!AI114</f>
        <v>0</v>
      </c>
      <c r="F113" s="2">
        <f>+'s1'!AJ114</f>
        <v>0</v>
      </c>
      <c r="G113" s="2">
        <f>+'s1'!AK114</f>
        <v>0</v>
      </c>
      <c r="H113" s="2">
        <f>+'s1'!AL114</f>
        <v>0</v>
      </c>
      <c r="I113" s="2">
        <f>+'s1'!AM114</f>
        <v>0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0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0</v>
      </c>
      <c r="R113" s="2">
        <f>+'s1'!AV114</f>
        <v>0</v>
      </c>
      <c r="S113" s="2">
        <f>SUM(B113:R113)</f>
        <v>-129.47999999999999</v>
      </c>
      <c r="T113" s="1"/>
    </row>
    <row r="114" spans="1:20" x14ac:dyDescent="0.2">
      <c r="A114" s="1" t="s">
        <v>493</v>
      </c>
      <c r="B114" s="2">
        <f>+'s1'!AF115</f>
        <v>0</v>
      </c>
      <c r="C114" s="2">
        <f>+'s1'!AG115</f>
        <v>0</v>
      </c>
      <c r="D114" s="2">
        <f>+'s1'!AH115</f>
        <v>25.23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0</v>
      </c>
      <c r="R114" s="2">
        <f>+'s1'!AV115</f>
        <v>0</v>
      </c>
      <c r="S114" s="2">
        <f t="shared" ref="S114:S121" si="2">SUM(B114:R114)</f>
        <v>25.23</v>
      </c>
      <c r="T114" s="1"/>
    </row>
    <row r="115" spans="1:20" x14ac:dyDescent="0.2">
      <c r="A115" s="1" t="s">
        <v>84</v>
      </c>
      <c r="B115" s="2">
        <f>+'s1'!AF116</f>
        <v>0</v>
      </c>
      <c r="C115" s="2">
        <f>+'s1'!AG116</f>
        <v>0</v>
      </c>
      <c r="D115" s="2">
        <f>+'s1'!AH116</f>
        <v>0</v>
      </c>
      <c r="E115" s="2">
        <f>+'s1'!AI116</f>
        <v>0</v>
      </c>
      <c r="F115" s="2">
        <f>+'s1'!AJ116</f>
        <v>195.73</v>
      </c>
      <c r="G115" s="2">
        <f>+'s1'!AK116</f>
        <v>0</v>
      </c>
      <c r="H115" s="2">
        <f>+'s1'!AL116</f>
        <v>0</v>
      </c>
      <c r="I115" s="2">
        <f>+'s1'!AM116</f>
        <v>1887.48</v>
      </c>
      <c r="J115" s="2">
        <f>+'s1'!AN116</f>
        <v>0</v>
      </c>
      <c r="K115" s="2">
        <f>+'s1'!AO116</f>
        <v>0</v>
      </c>
      <c r="L115" s="2">
        <f>+'s1'!AP116</f>
        <v>0</v>
      </c>
      <c r="M115" s="2">
        <f>+'s1'!AQ116</f>
        <v>0</v>
      </c>
      <c r="N115" s="2">
        <f>+'s1'!AR116</f>
        <v>0</v>
      </c>
      <c r="O115" s="2">
        <f>+'s1'!AS116</f>
        <v>0</v>
      </c>
      <c r="P115" s="2">
        <f>+'s1'!AT116</f>
        <v>0</v>
      </c>
      <c r="Q115" s="2">
        <f>+'s1'!AU116</f>
        <v>0</v>
      </c>
      <c r="R115" s="2">
        <f>+'s1'!AV116</f>
        <v>0</v>
      </c>
      <c r="S115" s="2">
        <f t="shared" si="2"/>
        <v>2083.21</v>
      </c>
      <c r="T115" s="1"/>
    </row>
    <row r="116" spans="1:20" x14ac:dyDescent="0.2">
      <c r="A116" s="1" t="s">
        <v>476</v>
      </c>
      <c r="B116" s="2">
        <f>+'s1'!AF117</f>
        <v>0</v>
      </c>
      <c r="C116" s="2">
        <f>+'s1'!AG117</f>
        <v>0</v>
      </c>
      <c r="D116" s="2">
        <f>+'s1'!AH117</f>
        <v>11.29</v>
      </c>
      <c r="E116" s="2">
        <f>+'s1'!AI117</f>
        <v>0</v>
      </c>
      <c r="F116" s="2">
        <f>+'s1'!AJ117</f>
        <v>0</v>
      </c>
      <c r="G116" s="2">
        <f>+'s1'!AK117</f>
        <v>0</v>
      </c>
      <c r="H116" s="2">
        <f>+'s1'!AL117</f>
        <v>0</v>
      </c>
      <c r="I116" s="2">
        <f>+'s1'!AM117</f>
        <v>0</v>
      </c>
      <c r="J116" s="2">
        <f>+'s1'!AN117</f>
        <v>0</v>
      </c>
      <c r="K116" s="2">
        <f>+'s1'!AO117</f>
        <v>0</v>
      </c>
      <c r="L116" s="2">
        <f>+'s1'!AP117</f>
        <v>0</v>
      </c>
      <c r="M116" s="2">
        <f>+'s1'!AQ117</f>
        <v>0</v>
      </c>
      <c r="N116" s="2">
        <f>+'s1'!AR117</f>
        <v>0</v>
      </c>
      <c r="O116" s="2">
        <f>+'s1'!AS117</f>
        <v>0</v>
      </c>
      <c r="P116" s="2">
        <f>+'s1'!AT117</f>
        <v>0</v>
      </c>
      <c r="Q116" s="2">
        <f>+'s1'!AU117</f>
        <v>0</v>
      </c>
      <c r="R116" s="2">
        <f>+'s1'!AV117</f>
        <v>0</v>
      </c>
      <c r="S116" s="2">
        <f t="shared" si="2"/>
        <v>11.29</v>
      </c>
      <c r="T116" s="1"/>
    </row>
    <row r="117" spans="1:20" x14ac:dyDescent="0.2">
      <c r="A117" s="18" t="s">
        <v>571</v>
      </c>
      <c r="B117" s="2">
        <f>+'s1'!AF118</f>
        <v>0</v>
      </c>
      <c r="C117" s="2">
        <f>+'s1'!AG118</f>
        <v>0</v>
      </c>
      <c r="D117" s="2">
        <f>+'s1'!AH118</f>
        <v>56578.98</v>
      </c>
      <c r="E117" s="2">
        <f>+'s1'!AI118</f>
        <v>0</v>
      </c>
      <c r="F117" s="2">
        <f>+'s1'!AJ118</f>
        <v>0</v>
      </c>
      <c r="G117" s="2">
        <f>+'s1'!AK118</f>
        <v>0</v>
      </c>
      <c r="H117" s="2">
        <f>+'s1'!AL118</f>
        <v>0</v>
      </c>
      <c r="I117" s="2">
        <f>+'s1'!AM118</f>
        <v>0</v>
      </c>
      <c r="J117" s="2">
        <f>+'s1'!AN118</f>
        <v>0</v>
      </c>
      <c r="K117" s="2">
        <f>+'s1'!AO118</f>
        <v>0</v>
      </c>
      <c r="L117" s="2">
        <f>+'s1'!AP118</f>
        <v>0</v>
      </c>
      <c r="M117" s="2">
        <f>+'s1'!AQ118</f>
        <v>0</v>
      </c>
      <c r="N117" s="2">
        <f>+'s1'!AR118</f>
        <v>0</v>
      </c>
      <c r="O117" s="2">
        <f>+'s1'!AS118</f>
        <v>0</v>
      </c>
      <c r="P117" s="2">
        <f>+'s1'!AT118</f>
        <v>0</v>
      </c>
      <c r="Q117" s="2">
        <f>+'s1'!AU118</f>
        <v>23941.89</v>
      </c>
      <c r="R117" s="2">
        <f>+'s1'!AV118</f>
        <v>0</v>
      </c>
      <c r="S117" s="2">
        <f t="shared" si="2"/>
        <v>80520.87</v>
      </c>
      <c r="T117" s="1"/>
    </row>
    <row r="118" spans="1:20" x14ac:dyDescent="0.2">
      <c r="A118" s="18" t="s">
        <v>785</v>
      </c>
      <c r="B118" s="2">
        <f>+'s1'!AF119</f>
        <v>0</v>
      </c>
      <c r="C118" s="2">
        <f>+'s1'!AG119</f>
        <v>-45813.11</v>
      </c>
      <c r="D118" s="2">
        <f>+'s1'!AH119</f>
        <v>45813.11</v>
      </c>
      <c r="E118" s="2">
        <f>+'s1'!AI119</f>
        <v>0</v>
      </c>
      <c r="F118" s="2">
        <f>+'s1'!AJ119</f>
        <v>0</v>
      </c>
      <c r="G118" s="2">
        <f>+'s1'!AK119</f>
        <v>0</v>
      </c>
      <c r="H118" s="2">
        <f>+'s1'!AL119</f>
        <v>0</v>
      </c>
      <c r="I118" s="2">
        <f>+'s1'!AM119</f>
        <v>0</v>
      </c>
      <c r="J118" s="2">
        <f>+'s1'!AN119</f>
        <v>0</v>
      </c>
      <c r="K118" s="2">
        <f>+'s1'!AO119</f>
        <v>0</v>
      </c>
      <c r="L118" s="2">
        <f>+'s1'!AP119</f>
        <v>0</v>
      </c>
      <c r="M118" s="2">
        <f>+'s1'!AQ119</f>
        <v>0</v>
      </c>
      <c r="N118" s="2">
        <f>+'s1'!AR119</f>
        <v>0</v>
      </c>
      <c r="O118" s="2">
        <f>+'s1'!AS119</f>
        <v>0</v>
      </c>
      <c r="P118" s="2">
        <f>+'s1'!AT119</f>
        <v>0</v>
      </c>
      <c r="Q118" s="2">
        <f>+'s1'!AU119</f>
        <v>0</v>
      </c>
      <c r="R118" s="2">
        <f>+'s1'!AV119</f>
        <v>0</v>
      </c>
      <c r="S118" s="2">
        <f t="shared" si="2"/>
        <v>0</v>
      </c>
      <c r="T118" s="1"/>
    </row>
    <row r="119" spans="1:20" x14ac:dyDescent="0.2">
      <c r="A119" s="18" t="s">
        <v>70</v>
      </c>
      <c r="B119" s="2">
        <f>+'s1'!AF120</f>
        <v>0</v>
      </c>
      <c r="C119" s="2">
        <f>+'s1'!AG120</f>
        <v>0</v>
      </c>
      <c r="D119" s="2">
        <f>+'s1'!AH120</f>
        <v>0</v>
      </c>
      <c r="E119" s="2">
        <f>+'s1'!AI120</f>
        <v>0</v>
      </c>
      <c r="F119" s="2">
        <f>+'s1'!AJ120</f>
        <v>0</v>
      </c>
      <c r="G119" s="2">
        <f>+'s1'!AK120</f>
        <v>0</v>
      </c>
      <c r="H119" s="2">
        <f>+'s1'!AL120</f>
        <v>0</v>
      </c>
      <c r="I119" s="2">
        <f>+'s1'!AM120</f>
        <v>0</v>
      </c>
      <c r="J119" s="2">
        <f>+'s1'!AN120</f>
        <v>0</v>
      </c>
      <c r="K119" s="2">
        <f>+'s1'!AO120</f>
        <v>0</v>
      </c>
      <c r="L119" s="2">
        <f>+'s1'!AP120</f>
        <v>0</v>
      </c>
      <c r="M119" s="2">
        <f>+'s1'!AQ120</f>
        <v>0</v>
      </c>
      <c r="N119" s="2">
        <f>+'s1'!AR120</f>
        <v>0</v>
      </c>
      <c r="O119" s="2">
        <f>+'s1'!AS120</f>
        <v>0</v>
      </c>
      <c r="P119" s="2">
        <f>+'s1'!AT120</f>
        <v>0</v>
      </c>
      <c r="Q119" s="2">
        <f>+'s1'!AU120</f>
        <v>14487.11</v>
      </c>
      <c r="R119" s="2">
        <f>+'s1'!AV120</f>
        <v>0</v>
      </c>
      <c r="S119" s="2">
        <f t="shared" si="2"/>
        <v>14487.11</v>
      </c>
      <c r="T119" s="1"/>
    </row>
    <row r="120" spans="1:20" x14ac:dyDescent="0.2">
      <c r="A120" s="1" t="s">
        <v>71</v>
      </c>
      <c r="B120" s="2">
        <f>+'s1'!AF121</f>
        <v>0</v>
      </c>
      <c r="C120" s="2">
        <f>+'s1'!AG121</f>
        <v>13799.07</v>
      </c>
      <c r="D120" s="2">
        <f>+'s1'!AH121</f>
        <v>0</v>
      </c>
      <c r="E120" s="2">
        <f>+'s1'!AI121</f>
        <v>0</v>
      </c>
      <c r="F120" s="2">
        <f>+'s1'!AJ121</f>
        <v>0</v>
      </c>
      <c r="G120" s="2">
        <f>+'s1'!AK121</f>
        <v>86.79</v>
      </c>
      <c r="H120" s="2">
        <f>+'s1'!AL121</f>
        <v>0</v>
      </c>
      <c r="I120" s="2">
        <f>+'s1'!AM121</f>
        <v>0</v>
      </c>
      <c r="J120" s="2">
        <f>+'s1'!AN121</f>
        <v>0</v>
      </c>
      <c r="K120" s="2">
        <f>+'s1'!AO121</f>
        <v>0</v>
      </c>
      <c r="L120" s="2">
        <f>+'s1'!AP121</f>
        <v>0</v>
      </c>
      <c r="M120" s="2">
        <f>+'s1'!AQ121</f>
        <v>7322.28</v>
      </c>
      <c r="N120" s="2">
        <f>+'s1'!AR121</f>
        <v>0</v>
      </c>
      <c r="O120" s="2">
        <f>+'s1'!AS121</f>
        <v>0</v>
      </c>
      <c r="P120" s="2">
        <f>+'s1'!AT121</f>
        <v>0</v>
      </c>
      <c r="Q120" s="2">
        <f>+'s1'!AU121</f>
        <v>0</v>
      </c>
      <c r="R120" s="2">
        <f>+'s1'!AV121</f>
        <v>0</v>
      </c>
      <c r="S120" s="2">
        <f t="shared" si="2"/>
        <v>21208.14</v>
      </c>
      <c r="T120" s="1"/>
    </row>
    <row r="121" spans="1:20" x14ac:dyDescent="0.2">
      <c r="A121" s="1" t="s">
        <v>363</v>
      </c>
      <c r="B121" s="2">
        <f>+'s1'!AF122</f>
        <v>0</v>
      </c>
      <c r="C121" s="2">
        <f>+'s1'!AG122</f>
        <v>0</v>
      </c>
      <c r="D121" s="2">
        <f>+'s1'!AH122</f>
        <v>13067.71</v>
      </c>
      <c r="E121" s="2">
        <f>+'s1'!AI122</f>
        <v>0</v>
      </c>
      <c r="F121" s="2">
        <f>+'s1'!AJ122</f>
        <v>0</v>
      </c>
      <c r="G121" s="2">
        <f>+'s1'!AK122</f>
        <v>0</v>
      </c>
      <c r="H121" s="2">
        <f>+'s1'!AL122</f>
        <v>0</v>
      </c>
      <c r="I121" s="2">
        <f>+'s1'!AM122</f>
        <v>0</v>
      </c>
      <c r="J121" s="2">
        <f>+'s1'!AN122</f>
        <v>0</v>
      </c>
      <c r="K121" s="2">
        <f>+'s1'!AO122</f>
        <v>0</v>
      </c>
      <c r="L121" s="2">
        <f>+'s1'!AP122</f>
        <v>0</v>
      </c>
      <c r="M121" s="2">
        <f>+'s1'!AQ122</f>
        <v>0</v>
      </c>
      <c r="N121" s="2">
        <f>+'s1'!AR122</f>
        <v>0</v>
      </c>
      <c r="O121" s="2">
        <f>+'s1'!AS122</f>
        <v>0</v>
      </c>
      <c r="P121" s="2">
        <f>+'s1'!AT122</f>
        <v>0</v>
      </c>
      <c r="Q121" s="2">
        <f>+'s1'!AU122</f>
        <v>0</v>
      </c>
      <c r="R121" s="2">
        <f>+'s1'!AV122</f>
        <v>0</v>
      </c>
      <c r="S121" s="2">
        <f t="shared" si="2"/>
        <v>13067.71</v>
      </c>
      <c r="T121" s="1"/>
    </row>
    <row r="122" spans="1:20" ht="27.75" customHeight="1" thickBot="1" x14ac:dyDescent="0.25">
      <c r="A122" s="21" t="s">
        <v>12</v>
      </c>
      <c r="B122" s="36">
        <f t="shared" ref="B122:S122" si="3">SUM(B11:B121)</f>
        <v>268134.08</v>
      </c>
      <c r="C122" s="36">
        <f t="shared" si="3"/>
        <v>30086</v>
      </c>
      <c r="D122" s="36">
        <f t="shared" si="3"/>
        <v>5343368.26</v>
      </c>
      <c r="E122" s="36">
        <f t="shared" si="3"/>
        <v>78811.600000000006</v>
      </c>
      <c r="F122" s="36">
        <f t="shared" si="3"/>
        <v>84338.33</v>
      </c>
      <c r="G122" s="36">
        <f t="shared" si="3"/>
        <v>1271.92</v>
      </c>
      <c r="H122" s="36">
        <f t="shared" si="3"/>
        <v>3974.37</v>
      </c>
      <c r="I122" s="36">
        <f t="shared" si="3"/>
        <v>120135.95</v>
      </c>
      <c r="J122" s="36">
        <f t="shared" si="3"/>
        <v>26037.58</v>
      </c>
      <c r="K122" s="36">
        <f t="shared" si="3"/>
        <v>6511.5</v>
      </c>
      <c r="L122" s="36">
        <f t="shared" si="3"/>
        <v>129306.39</v>
      </c>
      <c r="M122" s="36">
        <f t="shared" si="3"/>
        <v>25282.35</v>
      </c>
      <c r="N122" s="36">
        <f t="shared" si="3"/>
        <v>84990.29</v>
      </c>
      <c r="O122" s="36">
        <f t="shared" si="3"/>
        <v>23006.35</v>
      </c>
      <c r="P122" s="36">
        <f t="shared" si="3"/>
        <v>979.73</v>
      </c>
      <c r="Q122" s="36">
        <f t="shared" si="3"/>
        <v>1368499.33</v>
      </c>
      <c r="R122" s="36">
        <f t="shared" si="3"/>
        <v>50850.82</v>
      </c>
      <c r="S122" s="36">
        <f t="shared" si="3"/>
        <v>7645584.8499999996</v>
      </c>
      <c r="T122" s="9">
        <f>SUM(B122:R122)</f>
        <v>7645584.8499999996</v>
      </c>
    </row>
    <row r="123" spans="1:20" hidden="1" x14ac:dyDescent="0.2">
      <c r="D123" t="s">
        <v>82</v>
      </c>
    </row>
    <row r="124" spans="1:20" hidden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7"/>
    </row>
    <row r="125" spans="1:20" hidden="1" x14ac:dyDescent="0.2">
      <c r="A125" s="1" t="s">
        <v>496</v>
      </c>
      <c r="B125" s="2">
        <f>CAG+_CAG1</f>
        <v>297926.76</v>
      </c>
      <c r="C125" s="2">
        <f>CHG+_CHG1</f>
        <v>33428.89</v>
      </c>
      <c r="D125" s="2">
        <f>CLG+_CLG1</f>
        <v>5937075.8700000001</v>
      </c>
      <c r="E125" s="2">
        <f>DOG+_DOG1</f>
        <v>98514.49</v>
      </c>
      <c r="F125" s="2">
        <f>ELG+_ELG1</f>
        <v>105422.91</v>
      </c>
      <c r="G125" s="2">
        <f>ESG+_ESG1</f>
        <v>1589.9</v>
      </c>
      <c r="H125" s="2">
        <f>EUG+_EUG1</f>
        <v>4967.97</v>
      </c>
      <c r="I125" s="2">
        <f>HUG+_HUG1</f>
        <v>133484.39000000001</v>
      </c>
      <c r="J125" s="2">
        <f>LAG+_LAG1</f>
        <v>29309.51</v>
      </c>
      <c r="K125" s="2">
        <f>LIG+_LIG1</f>
        <v>8139.37</v>
      </c>
      <c r="L125" s="2">
        <f>LYG+_LYG1</f>
        <v>143673.76</v>
      </c>
      <c r="M125" s="2">
        <f>MIG+_MIG1</f>
        <v>28091.51</v>
      </c>
      <c r="N125" s="2">
        <f>NYG+_NYG1</f>
        <v>106237.87</v>
      </c>
      <c r="O125" s="2">
        <f>PEG+_PEG1</f>
        <v>25562.61</v>
      </c>
      <c r="P125" s="2">
        <f>STG+_STG1</f>
        <v>1224.6600000000001</v>
      </c>
      <c r="Q125" s="2">
        <f>WAG+_WAG1+'s1'!I126</f>
        <v>1584469.95</v>
      </c>
      <c r="R125" s="2">
        <f>WHG+_WHG1</f>
        <v>56500.91</v>
      </c>
      <c r="S125" s="2">
        <f>COUNTYOPTION+COUNTY1+'s1'!I126</f>
        <v>8595621.3300000001</v>
      </c>
    </row>
    <row r="126" spans="1:20" hidden="1" x14ac:dyDescent="0.2"/>
    <row r="127" spans="1:20" hidden="1" x14ac:dyDescent="0.2">
      <c r="A127" s="1"/>
      <c r="B127" s="2">
        <v>297926.76</v>
      </c>
      <c r="C127" s="2">
        <v>33428.89</v>
      </c>
      <c r="D127" s="2">
        <v>5937075.8700000001</v>
      </c>
      <c r="E127" s="2">
        <v>98514.49</v>
      </c>
      <c r="F127" s="2">
        <v>105422.91</v>
      </c>
      <c r="G127" s="2">
        <v>1589.9</v>
      </c>
      <c r="H127" s="2">
        <v>4967.97</v>
      </c>
      <c r="I127" s="2">
        <v>133484.39000000001</v>
      </c>
      <c r="J127" s="2">
        <v>29309.51</v>
      </c>
      <c r="K127" s="2">
        <v>8139.37</v>
      </c>
      <c r="L127" s="2">
        <v>143673.76</v>
      </c>
      <c r="M127" s="2">
        <v>28091.51</v>
      </c>
      <c r="N127" s="2">
        <v>106237.87</v>
      </c>
      <c r="O127" s="2">
        <v>25562.61</v>
      </c>
      <c r="P127" s="2">
        <v>1224.6600000000001</v>
      </c>
      <c r="Q127" s="2">
        <f>1520554.85+63915.1</f>
        <v>1584469.95</v>
      </c>
      <c r="R127" s="2">
        <v>56500.91</v>
      </c>
      <c r="S127" s="2">
        <v>8595621.3300000001</v>
      </c>
    </row>
    <row r="128" spans="1:20" hidden="1" x14ac:dyDescent="0.2"/>
    <row r="129" spans="2:19" hidden="1" x14ac:dyDescent="0.2">
      <c r="B129" s="11">
        <f>B125-B127</f>
        <v>0</v>
      </c>
      <c r="C129" s="11">
        <f t="shared" ref="C129:S129" si="4">C125-C127</f>
        <v>0</v>
      </c>
      <c r="D129" s="11">
        <f t="shared" si="4"/>
        <v>0</v>
      </c>
      <c r="E129" s="11">
        <f t="shared" si="4"/>
        <v>0</v>
      </c>
      <c r="F129" s="11">
        <f t="shared" si="4"/>
        <v>0</v>
      </c>
      <c r="G129" s="11">
        <f t="shared" si="4"/>
        <v>0</v>
      </c>
      <c r="H129" s="11">
        <f t="shared" si="4"/>
        <v>0</v>
      </c>
      <c r="I129" s="11">
        <f t="shared" si="4"/>
        <v>0</v>
      </c>
      <c r="J129" s="11">
        <f t="shared" si="4"/>
        <v>0</v>
      </c>
      <c r="K129" s="11">
        <f t="shared" si="4"/>
        <v>0</v>
      </c>
      <c r="L129" s="11">
        <f t="shared" si="4"/>
        <v>0</v>
      </c>
      <c r="M129" s="11">
        <f t="shared" si="4"/>
        <v>0</v>
      </c>
      <c r="N129" s="11">
        <f t="shared" si="4"/>
        <v>0</v>
      </c>
      <c r="O129" s="11">
        <f t="shared" si="4"/>
        <v>0</v>
      </c>
      <c r="P129" s="11">
        <f t="shared" si="4"/>
        <v>0</v>
      </c>
      <c r="Q129" s="11">
        <f t="shared" si="4"/>
        <v>0</v>
      </c>
      <c r="R129" s="11">
        <f t="shared" si="4"/>
        <v>0</v>
      </c>
      <c r="S129" s="11">
        <f t="shared" si="4"/>
        <v>0</v>
      </c>
    </row>
    <row r="130" spans="2:19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27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</cols>
  <sheetData>
    <row r="1" spans="1:20" ht="15.75" x14ac:dyDescent="0.25">
      <c r="A1" s="63" t="s">
        <v>99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APRIL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445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7" t="s">
        <v>100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1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1" t="s">
        <v>37</v>
      </c>
      <c r="S10" s="108" t="s">
        <v>12</v>
      </c>
      <c r="T10" s="1"/>
    </row>
    <row r="11" spans="1:20" x14ac:dyDescent="0.2">
      <c r="A11" s="109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7" t="s">
        <v>101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707</v>
      </c>
      <c r="B13" s="2">
        <f>+'s1'!M13*0.0098</f>
        <v>0</v>
      </c>
      <c r="C13" s="2">
        <f>+'s1'!N13*0.0098</f>
        <v>0</v>
      </c>
      <c r="D13" s="2">
        <f>+'s1'!O13*0.0098</f>
        <v>66.56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>SUM(B13:R13)</f>
        <v>66.56</v>
      </c>
      <c r="T13" s="2"/>
    </row>
    <row r="14" spans="1:20" x14ac:dyDescent="0.2">
      <c r="A14" s="1" t="s">
        <v>38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1448.66</v>
      </c>
      <c r="G14" s="2">
        <f>+'s1'!R14*0.0098</f>
        <v>0</v>
      </c>
      <c r="H14" s="2">
        <f>+'s1'!S14*0.0098</f>
        <v>162.16999999999999</v>
      </c>
      <c r="I14" s="2">
        <f>+'s1'!T14*0.0098</f>
        <v>136.07</v>
      </c>
      <c r="J14" s="2">
        <f>+'s1'!U14*0.0098</f>
        <v>361.06</v>
      </c>
      <c r="K14" s="2">
        <f>+'s1'!V14*0.0098</f>
        <v>0</v>
      </c>
      <c r="L14" s="2">
        <f>+'s1'!W14*0.0098</f>
        <v>0</v>
      </c>
      <c r="M14" s="2">
        <f>+'s1'!X14*0.0098</f>
        <v>39.42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0</v>
      </c>
      <c r="S14" s="2">
        <f>SUM(B14:R14)</f>
        <v>2147.38</v>
      </c>
      <c r="T14" s="2"/>
    </row>
    <row r="15" spans="1:20" x14ac:dyDescent="0.2">
      <c r="A15" s="1" t="s">
        <v>345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233.4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>SUM(B15:R15)</f>
        <v>233.4</v>
      </c>
      <c r="T15" s="2"/>
    </row>
    <row r="16" spans="1:20" x14ac:dyDescent="0.2">
      <c r="A16" s="7" t="s">
        <v>39</v>
      </c>
      <c r="B16" s="2">
        <f>+'s1'!M16*0.0098</f>
        <v>0</v>
      </c>
      <c r="C16" s="2">
        <f>+'s1'!N16*0.0098</f>
        <v>0</v>
      </c>
      <c r="D16" s="2">
        <f>+'s1'!O16*0.0098</f>
        <v>1.56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>SUM(B16:R16)</f>
        <v>1.56</v>
      </c>
      <c r="T16" s="2"/>
    </row>
    <row r="17" spans="1:20" s="89" customFormat="1" x14ac:dyDescent="0.2">
      <c r="A17" s="18" t="s">
        <v>605</v>
      </c>
      <c r="B17" s="2">
        <f>+'s1'!M17*0.0098</f>
        <v>0</v>
      </c>
      <c r="C17" s="2">
        <f>+'s1'!N17*0.0098</f>
        <v>0</v>
      </c>
      <c r="D17" s="2">
        <f>+'s1'!O17*0.0098</f>
        <v>48.82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1.68</v>
      </c>
      <c r="R17" s="2">
        <f>+'s1'!AC17*0.0098</f>
        <v>0</v>
      </c>
      <c r="S17" s="78">
        <f>SUM(B17:R17)</f>
        <v>50.5</v>
      </c>
      <c r="T17" s="10"/>
    </row>
    <row r="18" spans="1:20" s="20" customFormat="1" x14ac:dyDescent="0.2">
      <c r="A18" s="1" t="s">
        <v>491</v>
      </c>
      <c r="B18" s="2">
        <f>+'s1'!M18*0.0098</f>
        <v>0</v>
      </c>
      <c r="C18" s="2">
        <f>+'s1'!N18*0.0098</f>
        <v>0</v>
      </c>
      <c r="D18" s="2">
        <f>+'s1'!O18*0.0098</f>
        <v>2047.7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78">
        <f t="shared" ref="S18:S31" si="0">SUM(B18:R18)</f>
        <v>2047.7</v>
      </c>
      <c r="T18" s="18"/>
    </row>
    <row r="19" spans="1:20" x14ac:dyDescent="0.2">
      <c r="A19" s="7" t="s">
        <v>601</v>
      </c>
      <c r="B19" s="2">
        <f>+'s1'!M19*0.0098</f>
        <v>0</v>
      </c>
      <c r="C19" s="2">
        <f>+'s1'!N19*0.0098</f>
        <v>0</v>
      </c>
      <c r="D19" s="2">
        <f>+'s1'!O19*0.0098</f>
        <v>0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+'s1'!U19*0.0098-29.54</f>
        <v>332.36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0</v>
      </c>
      <c r="R19" s="2">
        <f>+'s1'!AC19*0.0098</f>
        <v>0</v>
      </c>
      <c r="S19" s="2">
        <f t="shared" si="0"/>
        <v>332.36</v>
      </c>
      <c r="T19" s="1"/>
    </row>
    <row r="20" spans="1:20" x14ac:dyDescent="0.2">
      <c r="A20" s="1" t="s">
        <v>719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+'s1'!U20*0.0098-31.08</f>
        <v>349.61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0"/>
        <v>349.61</v>
      </c>
      <c r="T20" s="1"/>
    </row>
    <row r="21" spans="1:20" s="89" customFormat="1" x14ac:dyDescent="0.2">
      <c r="A21" s="18" t="s">
        <v>702</v>
      </c>
      <c r="B21" s="2">
        <f>+'s1'!M21*0.0098</f>
        <v>0</v>
      </c>
      <c r="C21" s="2">
        <f>+'s1'!N21*0.0098</f>
        <v>0</v>
      </c>
      <c r="D21" s="2">
        <f>+'s1'!O21*0.0098</f>
        <v>0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406.06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957.32</v>
      </c>
      <c r="R21" s="2">
        <f>+'s1'!AC21*0.0098</f>
        <v>0</v>
      </c>
      <c r="S21" s="78">
        <f>SUM(B21:R21)</f>
        <v>1363.38</v>
      </c>
      <c r="T21" s="10"/>
    </row>
    <row r="22" spans="1:20" x14ac:dyDescent="0.2">
      <c r="A22" s="1" t="s">
        <v>40</v>
      </c>
      <c r="B22" s="2">
        <f>+'s1'!M22*0.0098</f>
        <v>0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52.43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 t="shared" si="0"/>
        <v>52.43</v>
      </c>
      <c r="T22" s="1"/>
    </row>
    <row r="23" spans="1:20" x14ac:dyDescent="0.2">
      <c r="A23" s="1" t="s">
        <v>432</v>
      </c>
      <c r="B23" s="2">
        <f>+'s1'!M23*0.0098</f>
        <v>0</v>
      </c>
      <c r="C23" s="2">
        <f>+'s1'!N23*0.0098</f>
        <v>0</v>
      </c>
      <c r="D23" s="2">
        <f>+'s1'!O23*0.0098</f>
        <v>12402.75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4866.75</v>
      </c>
      <c r="R23" s="2">
        <f>+'s1'!AC23*0.0098</f>
        <v>0</v>
      </c>
      <c r="S23" s="2">
        <f t="shared" si="0"/>
        <v>17269.5</v>
      </c>
      <c r="T23" s="1"/>
    </row>
    <row r="24" spans="1:20" x14ac:dyDescent="0.2">
      <c r="A24" s="1" t="s">
        <v>708</v>
      </c>
      <c r="B24" s="2">
        <f>+'s1'!M24*0.0098</f>
        <v>377.88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>SUM(B24:R24)</f>
        <v>377.88</v>
      </c>
      <c r="T24" s="2"/>
    </row>
    <row r="25" spans="1:20" x14ac:dyDescent="0.2">
      <c r="A25" s="1" t="s">
        <v>447</v>
      </c>
      <c r="B25" s="2">
        <f>+'s1'!M25*0.0098</f>
        <v>0</v>
      </c>
      <c r="C25" s="2">
        <f>+'s1'!N25*0.0098</f>
        <v>2466.91</v>
      </c>
      <c r="D25" s="2">
        <f>+'s1'!O25*0.0098</f>
        <v>0</v>
      </c>
      <c r="E25" s="2">
        <f>+'s1'!P25*0.0098</f>
        <v>424.68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0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0</v>
      </c>
      <c r="R25" s="2">
        <f>+'s1'!AC25*0.0098</f>
        <v>0</v>
      </c>
      <c r="S25" s="2">
        <f t="shared" si="0"/>
        <v>2891.59</v>
      </c>
      <c r="T25" s="2"/>
    </row>
    <row r="26" spans="1:20" x14ac:dyDescent="0.2">
      <c r="A26" s="1" t="s">
        <v>448</v>
      </c>
      <c r="B26" s="2">
        <f>+'s1'!M26*0.0098</f>
        <v>4735.71</v>
      </c>
      <c r="C26" s="2">
        <f>+'s1'!N26*0.0098</f>
        <v>1105.1099999999999</v>
      </c>
      <c r="D26" s="2">
        <f>+'s1'!O26*0.0098</f>
        <v>43.84</v>
      </c>
      <c r="E26" s="2">
        <f>+'s1'!P26*0.0098</f>
        <v>6020.91</v>
      </c>
      <c r="F26" s="2">
        <f>+'s1'!Q26*0.0098</f>
        <v>2963.88</v>
      </c>
      <c r="G26" s="2">
        <f>+'s1'!R26*0.0098</f>
        <v>0</v>
      </c>
      <c r="H26" s="2">
        <f>+'s1'!S26*0.0098</f>
        <v>372.92</v>
      </c>
      <c r="I26" s="2">
        <f>+'s1'!T26*0.0098</f>
        <v>1884.28</v>
      </c>
      <c r="J26" s="2">
        <f>+'s1'!U26*0.0098</f>
        <v>1310.5899999999999</v>
      </c>
      <c r="K26" s="2">
        <f>+'s1'!V26*0.0098</f>
        <v>0</v>
      </c>
      <c r="L26" s="2">
        <f>+'s1'!W26*0.0098</f>
        <v>2640.24</v>
      </c>
      <c r="M26" s="2">
        <f>+'s1'!X26*0.0098</f>
        <v>361.46</v>
      </c>
      <c r="N26" s="2">
        <f>+'s1'!Y26*0.0098</f>
        <v>406.23</v>
      </c>
      <c r="O26" s="2">
        <f>+'s1'!Z26*0.0098</f>
        <v>779.52</v>
      </c>
      <c r="P26" s="2">
        <f>+'s1'!AA26*0.0098</f>
        <v>0</v>
      </c>
      <c r="Q26" s="2">
        <f>+'s1'!AB26*0.0098</f>
        <v>50871.07</v>
      </c>
      <c r="R26" s="2">
        <f>+'s1'!AC26*0.0098</f>
        <v>649.49</v>
      </c>
      <c r="S26" s="2">
        <f t="shared" si="0"/>
        <v>74145.25</v>
      </c>
      <c r="T26" s="1"/>
    </row>
    <row r="27" spans="1:20" x14ac:dyDescent="0.2">
      <c r="A27" s="1" t="s">
        <v>364</v>
      </c>
      <c r="B27" s="2">
        <f>+'s1'!M27*0.0098</f>
        <v>0</v>
      </c>
      <c r="C27" s="2">
        <f>+'s1'!N27*0.0098</f>
        <v>0</v>
      </c>
      <c r="D27" s="2">
        <f>+'s1'!O27*0.0098</f>
        <v>0</v>
      </c>
      <c r="E27" s="2">
        <f>+'s1'!P27*0.0098</f>
        <v>0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1323.11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0</v>
      </c>
      <c r="R27" s="2">
        <f>+'s1'!AC27*0.0098</f>
        <v>0</v>
      </c>
      <c r="S27" s="2">
        <f t="shared" si="0"/>
        <v>1323.11</v>
      </c>
      <c r="T27" s="2"/>
    </row>
    <row r="28" spans="1:20" s="20" customFormat="1" x14ac:dyDescent="0.2">
      <c r="A28" s="1" t="s">
        <v>449</v>
      </c>
      <c r="B28" s="2">
        <f>+'s1'!M28*0.0098</f>
        <v>11154.95</v>
      </c>
      <c r="C28" s="2">
        <f>+'s1'!N28*0.0098</f>
        <v>0</v>
      </c>
      <c r="D28" s="2">
        <f>+'s1'!O28*0.0098</f>
        <v>91247.45</v>
      </c>
      <c r="E28" s="2">
        <f>+'s1'!P28*0.0098</f>
        <v>7124.61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0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24675.57</v>
      </c>
      <c r="R28" s="2">
        <f>+'s1'!AC28*0.0098</f>
        <v>0</v>
      </c>
      <c r="S28" s="78">
        <f t="shared" si="0"/>
        <v>134202.57999999999</v>
      </c>
      <c r="T28" s="18"/>
    </row>
    <row r="29" spans="1:20" x14ac:dyDescent="0.2">
      <c r="A29" s="1" t="s">
        <v>349</v>
      </c>
      <c r="B29" s="2">
        <f>+'s1'!M29*0.0098</f>
        <v>0</v>
      </c>
      <c r="C29" s="2">
        <f>+'s1'!N29*0.0098</f>
        <v>0</v>
      </c>
      <c r="D29" s="2">
        <f>+'s1'!O29*0.0098</f>
        <v>2309.35</v>
      </c>
      <c r="E29" s="2">
        <f>+'s1'!P29*0.0098</f>
        <v>0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78.760000000000005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>SUM(B29:R29)</f>
        <v>2388.11</v>
      </c>
      <c r="T29" s="1"/>
    </row>
    <row r="30" spans="1:20" x14ac:dyDescent="0.2">
      <c r="A30" s="18" t="s">
        <v>492</v>
      </c>
      <c r="B30" s="2">
        <f>+'s1'!M30*0.0098</f>
        <v>0</v>
      </c>
      <c r="C30" s="2">
        <f>+'s1'!N30*0.0098</f>
        <v>0</v>
      </c>
      <c r="D30" s="2">
        <f>+'s1'!O30*0.0098</f>
        <v>0</v>
      </c>
      <c r="E30" s="2">
        <f>+'s1'!P30*0.0098</f>
        <v>0</v>
      </c>
      <c r="F30" s="2">
        <f>+'s1'!Q30*0.0098</f>
        <v>587.22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0"/>
        <v>587.22</v>
      </c>
      <c r="T30" s="2"/>
    </row>
    <row r="31" spans="1:20" x14ac:dyDescent="0.2">
      <c r="A31" s="1" t="s">
        <v>295</v>
      </c>
      <c r="B31" s="2">
        <f>+'s1'!M31*0.0098</f>
        <v>0</v>
      </c>
      <c r="C31" s="2">
        <f>+'s1'!N31*0.0098</f>
        <v>0</v>
      </c>
      <c r="D31" s="2">
        <f>+'s1'!O31*0.0098</f>
        <v>1088.44</v>
      </c>
      <c r="E31" s="2">
        <f>+'s1'!P31*0.0098</f>
        <v>0</v>
      </c>
      <c r="F31" s="2">
        <f>+'s1'!Q31*0.0098</f>
        <v>0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0"/>
        <v>1088.44</v>
      </c>
      <c r="T31" s="2"/>
    </row>
    <row r="32" spans="1:20" s="89" customFormat="1" x14ac:dyDescent="0.2">
      <c r="A32" s="18" t="s">
        <v>633</v>
      </c>
      <c r="B32" s="2">
        <f>+'s1'!M32*0.0098</f>
        <v>0</v>
      </c>
      <c r="C32" s="2">
        <f>+'s1'!N32*0.0098</f>
        <v>0</v>
      </c>
      <c r="D32" s="2">
        <f>+'s1'!O32*0.0098</f>
        <v>0</v>
      </c>
      <c r="E32" s="2">
        <f>+'s1'!P32*0.0098</f>
        <v>0</v>
      </c>
      <c r="F32" s="2">
        <f>+'s1'!Q32*0.0098</f>
        <v>4.78</v>
      </c>
      <c r="G32" s="2">
        <f>+'s1'!R32*0.0098</f>
        <v>0</v>
      </c>
      <c r="H32" s="2">
        <f>+'s1'!S32*0.0098</f>
        <v>0</v>
      </c>
      <c r="I32" s="2">
        <f>+'s1'!T32*0.0098</f>
        <v>0</v>
      </c>
      <c r="J32" s="2">
        <f>+'s1'!U32*0.0098</f>
        <v>0</v>
      </c>
      <c r="K32" s="2">
        <f>+'s1'!V32*0.0098</f>
        <v>0</v>
      </c>
      <c r="L32" s="2">
        <f>+'s1'!W32*0.0098</f>
        <v>0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0</v>
      </c>
      <c r="Q32" s="2">
        <f>+'s1'!AB32*0.0098</f>
        <v>0</v>
      </c>
      <c r="R32" s="2">
        <f>+'s1'!AC32*0.0098</f>
        <v>0</v>
      </c>
      <c r="S32" s="78">
        <f>SUM(B32:R32)</f>
        <v>4.78</v>
      </c>
      <c r="T32" s="10"/>
    </row>
    <row r="33" spans="1:20" x14ac:dyDescent="0.2">
      <c r="A33" s="1" t="s">
        <v>41</v>
      </c>
      <c r="B33" s="2">
        <f>+'s1'!M33*0.0098</f>
        <v>1640.01</v>
      </c>
      <c r="C33" s="2">
        <f>+'s1'!N33*0.0098</f>
        <v>0</v>
      </c>
      <c r="D33" s="2">
        <f>+'s1'!O33*0.0098</f>
        <v>0</v>
      </c>
      <c r="E33" s="2">
        <f>+'s1'!P33*0.0098</f>
        <v>797.33</v>
      </c>
      <c r="F33" s="2">
        <f>+'s1'!Q33*0.0098</f>
        <v>0</v>
      </c>
      <c r="G33" s="2">
        <f>+'s1'!R33*0.0098</f>
        <v>0</v>
      </c>
      <c r="H33" s="2">
        <f>+'s1'!S33*0.0098</f>
        <v>0</v>
      </c>
      <c r="I33" s="2">
        <f>+'s1'!T33*0.0098</f>
        <v>88.23</v>
      </c>
      <c r="J33" s="2">
        <f>+'s1'!U33*0.0098</f>
        <v>108.8</v>
      </c>
      <c r="K33" s="2">
        <f>+'s1'!V33*0.0098</f>
        <v>0</v>
      </c>
      <c r="L33" s="2">
        <f>+'s1'!W33*0.0098</f>
        <v>1329.96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225.44</v>
      </c>
      <c r="Q33" s="2">
        <f>+'s1'!AB33*0.0098</f>
        <v>317.20999999999998</v>
      </c>
      <c r="R33" s="2">
        <f>+'s1'!AC33*0.0098</f>
        <v>0</v>
      </c>
      <c r="S33" s="2">
        <f t="shared" ref="S33:S54" si="1">SUM(B33:R33)</f>
        <v>4506.9799999999996</v>
      </c>
      <c r="T33" s="2"/>
    </row>
    <row r="34" spans="1:20" x14ac:dyDescent="0.2">
      <c r="A34" s="1" t="s">
        <v>450</v>
      </c>
      <c r="B34" s="2">
        <f>+'s1'!M34*0.0098</f>
        <v>0</v>
      </c>
      <c r="C34" s="2">
        <f>+'s1'!N34*0.0098</f>
        <v>0</v>
      </c>
      <c r="D34" s="2">
        <f>+'s1'!O34*0.0098</f>
        <v>0</v>
      </c>
      <c r="E34" s="2">
        <f>+'s1'!P34*0.0098</f>
        <v>0</v>
      </c>
      <c r="F34" s="2">
        <f>+'s1'!Q34*0.0098</f>
        <v>1713.87</v>
      </c>
      <c r="G34" s="2">
        <f>+'s1'!R34*0.0098</f>
        <v>0</v>
      </c>
      <c r="H34" s="2">
        <f>+'s1'!S34*0.0098</f>
        <v>0</v>
      </c>
      <c r="I34" s="2">
        <f>+'s1'!T34*0.0098</f>
        <v>2559.15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0</v>
      </c>
      <c r="R34" s="2">
        <f>+'s1'!AC34*0.0098</f>
        <v>0</v>
      </c>
      <c r="S34" s="2">
        <f>SUM(B34:R34)</f>
        <v>4273.0200000000004</v>
      </c>
      <c r="T34" s="2"/>
    </row>
    <row r="35" spans="1:20" x14ac:dyDescent="0.2">
      <c r="A35" s="1" t="s">
        <v>42</v>
      </c>
      <c r="B35" s="2">
        <f>+'s1'!M35*0.0098</f>
        <v>0</v>
      </c>
      <c r="C35" s="2">
        <f>+'s1'!N35*0.0098</f>
        <v>0</v>
      </c>
      <c r="D35" s="2">
        <f>+'s1'!O35*0.0098</f>
        <v>140289.87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0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2599.92</v>
      </c>
      <c r="O35" s="2">
        <f>+'s1'!Z35*0.0098</f>
        <v>0</v>
      </c>
      <c r="P35" s="2">
        <f>+'s1'!AA35*0.0098</f>
        <v>0</v>
      </c>
      <c r="Q35" s="2">
        <f>+'s1'!AB35*0.0098</f>
        <v>84.89</v>
      </c>
      <c r="R35" s="2">
        <f>+'s1'!AC35*0.0098</f>
        <v>0</v>
      </c>
      <c r="S35" s="2">
        <f t="shared" si="1"/>
        <v>142974.68</v>
      </c>
      <c r="T35" s="2"/>
    </row>
    <row r="36" spans="1:20" ht="13.5" customHeight="1" x14ac:dyDescent="0.2">
      <c r="A36" s="1" t="s">
        <v>43</v>
      </c>
      <c r="B36" s="2">
        <f>+'s1'!M36*0.0098</f>
        <v>0</v>
      </c>
      <c r="C36" s="2">
        <f>+'s1'!N36*0.0098</f>
        <v>0</v>
      </c>
      <c r="D36" s="2">
        <f>+'s1'!O36*0.0098</f>
        <v>0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9.31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21.99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319.26</v>
      </c>
      <c r="S36" s="2">
        <f t="shared" si="1"/>
        <v>350.56</v>
      </c>
      <c r="T36" s="2"/>
    </row>
    <row r="37" spans="1:20" x14ac:dyDescent="0.2">
      <c r="A37" s="18" t="s">
        <v>44</v>
      </c>
      <c r="B37" s="2">
        <f>+'s1'!M37*0.0098</f>
        <v>0</v>
      </c>
      <c r="C37" s="2">
        <f>+'s1'!N37*0.0098</f>
        <v>0</v>
      </c>
      <c r="D37" s="2">
        <f>+'s1'!O37*0.0098</f>
        <v>12372.75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0</v>
      </c>
      <c r="O37" s="2">
        <f>+'s1'!Z37*0.0098</f>
        <v>0</v>
      </c>
      <c r="P37" s="2">
        <f>+'s1'!AA37*0.0098</f>
        <v>0</v>
      </c>
      <c r="Q37" s="2">
        <f>+'s1'!AB37*0.0098</f>
        <v>0</v>
      </c>
      <c r="R37" s="2">
        <f>+'s1'!AC37*0.0098</f>
        <v>0</v>
      </c>
      <c r="S37" s="2">
        <f t="shared" si="1"/>
        <v>12372.75</v>
      </c>
      <c r="T37" s="2"/>
    </row>
    <row r="38" spans="1:20" s="89" customFormat="1" x14ac:dyDescent="0.2">
      <c r="A38" s="18" t="s">
        <v>608</v>
      </c>
      <c r="B38" s="2">
        <f>+'s1'!M38*0.0098</f>
        <v>0</v>
      </c>
      <c r="C38" s="2">
        <f>+'s1'!N38*0.0098</f>
        <v>0</v>
      </c>
      <c r="D38" s="2">
        <f>+'s1'!O38*0.0098</f>
        <v>5.29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2.4300000000000002</v>
      </c>
      <c r="O38" s="2">
        <f>+'s1'!Z38*0.0098</f>
        <v>0</v>
      </c>
      <c r="P38" s="2">
        <f>+'s1'!AA38*0.0098</f>
        <v>0</v>
      </c>
      <c r="Q38" s="2">
        <f>+'s1'!AB38*0.0098</f>
        <v>2.65</v>
      </c>
      <c r="R38" s="2">
        <f>+'s1'!AC38*0.0098</f>
        <v>0</v>
      </c>
      <c r="S38" s="78">
        <f>SUM(B38:R38)</f>
        <v>10.37</v>
      </c>
      <c r="T38" s="10"/>
    </row>
    <row r="39" spans="1:20" x14ac:dyDescent="0.2">
      <c r="A39" s="18" t="s">
        <v>602</v>
      </c>
      <c r="B39" s="2">
        <f>+'s1'!M39*0.0098</f>
        <v>0</v>
      </c>
      <c r="C39" s="2">
        <f>+'s1'!N39*0.0098</f>
        <v>0</v>
      </c>
      <c r="D39" s="2">
        <f>+'s1'!O39*0.0098</f>
        <v>213.71</v>
      </c>
      <c r="E39" s="2">
        <f>+'s1'!P39*0.0098</f>
        <v>0</v>
      </c>
      <c r="F39" s="2">
        <f>+'s1'!Q39*0.0098</f>
        <v>0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2552.64</v>
      </c>
      <c r="R39" s="2">
        <f>+'s1'!AC39*0.0098</f>
        <v>0</v>
      </c>
      <c r="S39" s="2">
        <f t="shared" si="1"/>
        <v>2766.35</v>
      </c>
      <c r="T39" s="2"/>
    </row>
    <row r="40" spans="1:20" x14ac:dyDescent="0.2">
      <c r="A40" s="1" t="s">
        <v>45</v>
      </c>
      <c r="B40" s="2">
        <f>+'s1'!M40*0.0098</f>
        <v>0</v>
      </c>
      <c r="C40" s="2">
        <f>+'s1'!N40*0.0098</f>
        <v>0</v>
      </c>
      <c r="D40" s="2">
        <f>+'s1'!O40*0.0098</f>
        <v>0</v>
      </c>
      <c r="E40" s="2">
        <f>+'s1'!P40*0.0098</f>
        <v>0</v>
      </c>
      <c r="F40" s="2">
        <f>+'s1'!Q40*0.0098</f>
        <v>1280.92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0</v>
      </c>
      <c r="R40" s="2">
        <f>+'s1'!AC40*0.0098</f>
        <v>0</v>
      </c>
      <c r="S40" s="2">
        <f>SUM(B40:R40)</f>
        <v>1280.92</v>
      </c>
      <c r="T40" s="1"/>
    </row>
    <row r="41" spans="1:20" x14ac:dyDescent="0.2">
      <c r="A41" s="1" t="s">
        <v>451</v>
      </c>
      <c r="B41" s="2">
        <f>+'s1'!M41*0.0098</f>
        <v>0</v>
      </c>
      <c r="C41" s="2">
        <f>+'s1'!N41*0.0098</f>
        <v>0</v>
      </c>
      <c r="D41" s="2">
        <f>+'s1'!O41*0.0098</f>
        <v>72.77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0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 t="shared" si="1"/>
        <v>72.77</v>
      </c>
      <c r="T41" s="1"/>
    </row>
    <row r="42" spans="1:20" x14ac:dyDescent="0.2">
      <c r="A42" s="1" t="s">
        <v>433</v>
      </c>
      <c r="B42" s="2">
        <f>+'s1'!M42*0.0098</f>
        <v>0</v>
      </c>
      <c r="C42" s="2">
        <f>+'s1'!N42*0.0098</f>
        <v>0</v>
      </c>
      <c r="D42" s="2">
        <f>+'s1'!O42*0.0098</f>
        <v>22354.720000000001</v>
      </c>
      <c r="E42" s="2">
        <f>+'s1'!P42*0.0098</f>
        <v>0</v>
      </c>
      <c r="F42" s="2">
        <f>+'s1'!Q42*0.0098</f>
        <v>0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1454.93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0</v>
      </c>
      <c r="S42" s="2">
        <f>SUM(B42:R42)</f>
        <v>23809.65</v>
      </c>
      <c r="T42" s="1"/>
    </row>
    <row r="43" spans="1:20" x14ac:dyDescent="0.2">
      <c r="A43" s="1" t="s">
        <v>452</v>
      </c>
      <c r="B43" s="2">
        <f>+'s1'!M43*0.0098</f>
        <v>0</v>
      </c>
      <c r="C43" s="2">
        <f>+'s1'!N43*0.0098</f>
        <v>0</v>
      </c>
      <c r="D43" s="2">
        <f>+'s1'!O43*0.0098</f>
        <v>785.7</v>
      </c>
      <c r="E43" s="2">
        <f>+'s1'!P43*0.0098</f>
        <v>0</v>
      </c>
      <c r="F43" s="2">
        <f>+'s1'!Q43*0.0098</f>
        <v>408.39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19.559999999999999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 t="shared" si="1"/>
        <v>1213.6500000000001</v>
      </c>
      <c r="T43" s="1"/>
    </row>
    <row r="44" spans="1:20" x14ac:dyDescent="0.2">
      <c r="A44" s="1" t="s">
        <v>710</v>
      </c>
      <c r="B44" s="2">
        <f>+'s1'!M44*0.0098</f>
        <v>0</v>
      </c>
      <c r="C44" s="2">
        <f>+'s1'!N44*0.0098</f>
        <v>0</v>
      </c>
      <c r="D44" s="2">
        <f>+'s1'!O44*0.0098</f>
        <v>0</v>
      </c>
      <c r="E44" s="2">
        <f>+'s1'!P44*0.0098</f>
        <v>0</v>
      </c>
      <c r="F44" s="2">
        <f>+'s1'!Q44*0.0098-1.66</f>
        <v>18.63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0</v>
      </c>
      <c r="R44" s="2">
        <f>+'s1'!AC44*0.0098</f>
        <v>0</v>
      </c>
      <c r="S44" s="2">
        <f>SUM(B44:R44)</f>
        <v>18.63</v>
      </c>
      <c r="T44" s="1"/>
    </row>
    <row r="45" spans="1:20" x14ac:dyDescent="0.2">
      <c r="A45" s="1" t="s">
        <v>457</v>
      </c>
      <c r="B45" s="2">
        <f>+'s1'!M45*0.0098</f>
        <v>0</v>
      </c>
      <c r="C45" s="2">
        <f>+'s1'!N45*0.0098</f>
        <v>0</v>
      </c>
      <c r="D45" s="2">
        <f>+'s1'!O45*0.0098</f>
        <v>0</v>
      </c>
      <c r="E45" s="2">
        <f>+'s1'!P45*0.0098</f>
        <v>0</v>
      </c>
      <c r="F45" s="2">
        <f>+'s1'!Q45*0.0098</f>
        <v>0</v>
      </c>
      <c r="G45" s="2">
        <f>+'s1'!R45*0.0098</f>
        <v>0</v>
      </c>
      <c r="H45" s="2">
        <f>+'s1'!S45*0.0098</f>
        <v>0</v>
      </c>
      <c r="I45" s="2">
        <f>+'s1'!T45*0.0098</f>
        <v>31.28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22.97</v>
      </c>
      <c r="R45" s="2">
        <f>+'s1'!AC45*0.0098</f>
        <v>0</v>
      </c>
      <c r="S45" s="2">
        <f t="shared" si="1"/>
        <v>54.25</v>
      </c>
      <c r="T45" s="1"/>
    </row>
    <row r="46" spans="1:20" x14ac:dyDescent="0.2">
      <c r="A46" s="18" t="s">
        <v>498</v>
      </c>
      <c r="B46" s="2">
        <f>+'s1'!M46*0.0098</f>
        <v>0</v>
      </c>
      <c r="C46" s="2">
        <f>+'s1'!N46*0.0098</f>
        <v>635.11</v>
      </c>
      <c r="D46" s="2">
        <f>+'s1'!O46*0.0098</f>
        <v>35929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1486.65</v>
      </c>
      <c r="R46" s="2">
        <f>+'s1'!AC46*0.0098</f>
        <v>0</v>
      </c>
      <c r="S46" s="2">
        <f t="shared" si="1"/>
        <v>38050.76</v>
      </c>
      <c r="T46" s="2"/>
    </row>
    <row r="47" spans="1:20" s="89" customFormat="1" x14ac:dyDescent="0.2">
      <c r="A47" s="18" t="s">
        <v>137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</f>
        <v>0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1535.51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78">
        <f>SUM(B47:R47)</f>
        <v>1535.51</v>
      </c>
      <c r="T47" s="10"/>
    </row>
    <row r="48" spans="1:20" x14ac:dyDescent="0.2">
      <c r="A48" s="1" t="s">
        <v>434</v>
      </c>
      <c r="B48" s="2">
        <f>+'s1'!M48*0.0098</f>
        <v>0</v>
      </c>
      <c r="C48" s="2">
        <f>+'s1'!N48*0.0098</f>
        <v>0</v>
      </c>
      <c r="D48" s="2">
        <f>+'s1'!O48*0.0098</f>
        <v>21503.46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932.61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</f>
        <v>0</v>
      </c>
      <c r="S48" s="2">
        <f t="shared" si="1"/>
        <v>22436.07</v>
      </c>
      <c r="T48" s="2"/>
    </row>
    <row r="49" spans="1:20" x14ac:dyDescent="0.2">
      <c r="A49" s="18" t="s">
        <v>501</v>
      </c>
      <c r="B49" s="2">
        <f>+'s1'!M49*0.0098</f>
        <v>0</v>
      </c>
      <c r="C49" s="2">
        <f>+'s1'!N49*0.0098</f>
        <v>0</v>
      </c>
      <c r="D49" s="2">
        <f>+'s1'!O49*0.0098</f>
        <v>0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1535.18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2">
        <f t="shared" si="1"/>
        <v>1535.18</v>
      </c>
      <c r="T49" s="2"/>
    </row>
    <row r="50" spans="1:20" x14ac:dyDescent="0.2">
      <c r="A50" s="18" t="s">
        <v>603</v>
      </c>
      <c r="B50" s="2">
        <f>+'s1'!M50*0.0098</f>
        <v>0</v>
      </c>
      <c r="C50" s="2">
        <f>+'s1'!N50*0.0098</f>
        <v>0</v>
      </c>
      <c r="D50" s="2">
        <f>+'s1'!O50*0.0098</f>
        <v>3557.43</v>
      </c>
      <c r="E50" s="2">
        <f>+'s1'!P50*0.0098</f>
        <v>176.96</v>
      </c>
      <c r="F50" s="2">
        <f>+'s1'!Q50*0.0098</f>
        <v>1094.47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0</v>
      </c>
      <c r="O50" s="2">
        <f>+'s1'!Z50*0.0098</f>
        <v>0</v>
      </c>
      <c r="P50" s="2">
        <f>+'s1'!AA50*0.0098</f>
        <v>0</v>
      </c>
      <c r="Q50" s="2">
        <f>+'s1'!AB50*0.0098</f>
        <v>88.5</v>
      </c>
      <c r="R50" s="2">
        <f>+'s1'!AC50*0.0098</f>
        <v>0</v>
      </c>
      <c r="S50" s="2">
        <f>SUM(B50:R50)</f>
        <v>4917.3599999999997</v>
      </c>
      <c r="T50" s="2"/>
    </row>
    <row r="51" spans="1:20" x14ac:dyDescent="0.2">
      <c r="A51" s="7" t="s">
        <v>348</v>
      </c>
      <c r="B51" s="2">
        <f>+'s1'!M51*0.0098</f>
        <v>0</v>
      </c>
      <c r="C51" s="2">
        <f>+'s1'!N51*0.0098</f>
        <v>0</v>
      </c>
      <c r="D51" s="2">
        <f>+'s1'!O51*0.0098</f>
        <v>0</v>
      </c>
      <c r="E51" s="2">
        <f>+'s1'!P51*0.0098</f>
        <v>0</v>
      </c>
      <c r="F51" s="2">
        <f>+'s1'!Q51*0.0098</f>
        <v>0</v>
      </c>
      <c r="G51" s="2">
        <f>+'s1'!R51*0.0098</f>
        <v>146.47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858.04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705.21</v>
      </c>
      <c r="S51" s="2">
        <f>SUM(B51:R51)</f>
        <v>1709.72</v>
      </c>
      <c r="T51" s="2"/>
    </row>
    <row r="52" spans="1:20" x14ac:dyDescent="0.2">
      <c r="A52" s="246" t="s">
        <v>459</v>
      </c>
      <c r="B52" s="2">
        <f>+'s1'!M52*0.0098</f>
        <v>0</v>
      </c>
      <c r="C52" s="2">
        <f>+'s1'!N52*0.0098</f>
        <v>0</v>
      </c>
      <c r="D52" s="2">
        <f>+'s1'!O52*0.0098</f>
        <v>7888.68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0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0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>SUM(B52:R52)</f>
        <v>7888.68</v>
      </c>
      <c r="T52" s="2"/>
    </row>
    <row r="53" spans="1:20" x14ac:dyDescent="0.2">
      <c r="A53" s="7" t="s">
        <v>435</v>
      </c>
      <c r="B53" s="2">
        <f>+'s1'!M53*0.0098</f>
        <v>0</v>
      </c>
      <c r="C53" s="2">
        <f>+'s1'!N53*0.0098</f>
        <v>0</v>
      </c>
      <c r="D53" s="2">
        <f>+'s1'!O53*0.0098</f>
        <v>0</v>
      </c>
      <c r="E53" s="2">
        <f>+'s1'!P53*0.0098</f>
        <v>0</v>
      </c>
      <c r="F53" s="2">
        <f>+'s1'!Q53*0.0098</f>
        <v>0</v>
      </c>
      <c r="G53" s="2">
        <f>+'s1'!R53*0.0098</f>
        <v>0</v>
      </c>
      <c r="H53" s="2">
        <f>+'s1'!S53*0.0098</f>
        <v>0</v>
      </c>
      <c r="I53" s="2">
        <f>+'s1'!T53*0.0098</f>
        <v>161.69999999999999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0</v>
      </c>
      <c r="S53" s="2">
        <f t="shared" si="1"/>
        <v>161.69999999999999</v>
      </c>
      <c r="T53" s="2"/>
    </row>
    <row r="54" spans="1:20" x14ac:dyDescent="0.2">
      <c r="A54" s="1" t="s">
        <v>46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559.34</v>
      </c>
      <c r="G54" s="2">
        <f>+'s1'!R54*0.0098</f>
        <v>0</v>
      </c>
      <c r="H54" s="2">
        <f>+'s1'!S54*0.0098</f>
        <v>0</v>
      </c>
      <c r="I54" s="2">
        <f>+'s1'!T54*0.0098</f>
        <v>107.04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0</v>
      </c>
      <c r="N54" s="2">
        <f>+'s1'!Y54*0.0098</f>
        <v>0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0</v>
      </c>
      <c r="S54" s="2">
        <f t="shared" si="1"/>
        <v>666.38</v>
      </c>
      <c r="T54" s="2"/>
    </row>
    <row r="55" spans="1:20" x14ac:dyDescent="0.2">
      <c r="A55" s="18" t="s">
        <v>47</v>
      </c>
      <c r="B55" s="2">
        <f>+'s1'!M55*0.0098</f>
        <v>0</v>
      </c>
      <c r="C55" s="2">
        <f>+'s1'!N55*0.0098</f>
        <v>0</v>
      </c>
      <c r="D55" s="2">
        <f>+'s1'!O55*0.0098</f>
        <v>8594.07</v>
      </c>
      <c r="E55" s="2">
        <f>+'s1'!P55*0.0098</f>
        <v>0</v>
      </c>
      <c r="F55" s="2">
        <f>+'s1'!Q55*0.0098</f>
        <v>837.47</v>
      </c>
      <c r="G55" s="2">
        <f>+'s1'!R55*0.0098</f>
        <v>0</v>
      </c>
      <c r="H55" s="2">
        <f>+'s1'!S55*0.0098</f>
        <v>142.69999999999999</v>
      </c>
      <c r="I55" s="2">
        <f>+'s1'!T55*0.0098</f>
        <v>249.02</v>
      </c>
      <c r="J55" s="2">
        <f>+'s1'!U55*0.0098</f>
        <v>507.05</v>
      </c>
      <c r="K55" s="2">
        <f>+'s1'!V55*0.0098</f>
        <v>98.25</v>
      </c>
      <c r="L55" s="2">
        <f>+'s1'!W55*0.0098</f>
        <v>0</v>
      </c>
      <c r="M55" s="2">
        <f>+'s1'!X55*0.0098</f>
        <v>0</v>
      </c>
      <c r="N55" s="2">
        <f>+'s1'!Y55*0.0098</f>
        <v>24.37</v>
      </c>
      <c r="O55" s="2">
        <f>+'s1'!Z55*0.0098</f>
        <v>548.70000000000005</v>
      </c>
      <c r="P55" s="2">
        <f>+'s1'!AA55*0.0098</f>
        <v>0</v>
      </c>
      <c r="Q55" s="2">
        <f>+'s1'!AB55*0.0098</f>
        <v>0</v>
      </c>
      <c r="R55" s="2">
        <f>+'s1'!AC55*0.0098</f>
        <v>217.02</v>
      </c>
      <c r="S55" s="2">
        <f t="shared" ref="S55:S79" si="2">SUM(B55:R55)</f>
        <v>11218.65</v>
      </c>
      <c r="T55" s="2"/>
    </row>
    <row r="56" spans="1:20" x14ac:dyDescent="0.2">
      <c r="A56" s="1" t="s">
        <v>48</v>
      </c>
      <c r="B56" s="2">
        <f>+'s1'!M56*0.0098</f>
        <v>0</v>
      </c>
      <c r="C56" s="2">
        <f>+'s1'!N56*0.0098</f>
        <v>0</v>
      </c>
      <c r="D56" s="2">
        <f>+'s1'!O56*0.0098</f>
        <v>6385.6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0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1140.06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 t="shared" si="2"/>
        <v>7525.66</v>
      </c>
      <c r="T56" s="2"/>
    </row>
    <row r="57" spans="1:20" x14ac:dyDescent="0.2">
      <c r="A57" s="1" t="s">
        <v>358</v>
      </c>
      <c r="B57" s="2">
        <f>+'s1'!M57*0.0098</f>
        <v>502.73</v>
      </c>
      <c r="C57" s="2">
        <f>+'s1'!N57*0.0098</f>
        <v>0</v>
      </c>
      <c r="D57" s="2">
        <f>+'s1'!O57*0.0098</f>
        <v>3093.67</v>
      </c>
      <c r="E57" s="2">
        <f>+'s1'!P57*0.0098</f>
        <v>0</v>
      </c>
      <c r="F57" s="2">
        <f>+'s1'!Q57*0.0098</f>
        <v>0</v>
      </c>
      <c r="G57" s="2">
        <f>+'s1'!R57*0.0098</f>
        <v>0</v>
      </c>
      <c r="H57" s="2">
        <f>+'s1'!S57*0.0098</f>
        <v>0</v>
      </c>
      <c r="I57" s="2">
        <f>+'s1'!T57*0.0098</f>
        <v>0</v>
      </c>
      <c r="J57" s="2">
        <f>+'s1'!U57*0.0098</f>
        <v>0</v>
      </c>
      <c r="K57" s="2">
        <f>+'s1'!V57*0.0098</f>
        <v>447.2</v>
      </c>
      <c r="L57" s="2">
        <f>+'s1'!W57*0.0098</f>
        <v>0</v>
      </c>
      <c r="M57" s="2">
        <f>+'s1'!X57*0.0098</f>
        <v>0</v>
      </c>
      <c r="N57" s="2">
        <f>+'s1'!Y57*0.0098</f>
        <v>68.2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2"/>
        <v>4111.8</v>
      </c>
      <c r="T57" s="1"/>
    </row>
    <row r="58" spans="1:20" s="20" customFormat="1" x14ac:dyDescent="0.2">
      <c r="A58" s="1" t="s">
        <v>49</v>
      </c>
      <c r="B58" s="2">
        <f>+'s1'!M58*0.0098</f>
        <v>0</v>
      </c>
      <c r="C58" s="2">
        <f>+'s1'!N58*0.0098</f>
        <v>0</v>
      </c>
      <c r="D58" s="2">
        <f>+'s1'!O58*0.0098</f>
        <v>200.04</v>
      </c>
      <c r="E58" s="2">
        <f>+'s1'!P58*0.0098</f>
        <v>0</v>
      </c>
      <c r="F58" s="2">
        <f>+'s1'!Q58*0.0098</f>
        <v>0</v>
      </c>
      <c r="G58" s="2">
        <f>+'s1'!R58*0.0098</f>
        <v>0</v>
      </c>
      <c r="H58" s="2">
        <f>+'s1'!S58*0.0098</f>
        <v>0</v>
      </c>
      <c r="I58" s="2">
        <f>+'s1'!T58*0.0098</f>
        <v>0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0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0</v>
      </c>
      <c r="S58" s="78">
        <f t="shared" si="2"/>
        <v>200.04</v>
      </c>
      <c r="T58" s="78"/>
    </row>
    <row r="59" spans="1:20" x14ac:dyDescent="0.2">
      <c r="A59" s="1" t="s">
        <v>350</v>
      </c>
      <c r="B59" s="2">
        <f>+'s1'!M59*0.0098</f>
        <v>364.74</v>
      </c>
      <c r="C59" s="2">
        <f>+'s1'!N59*0.0098</f>
        <v>180.15</v>
      </c>
      <c r="D59" s="2">
        <f>+'s1'!O59*0.0098</f>
        <v>0</v>
      </c>
      <c r="E59" s="2">
        <f>+'s1'!P59*0.0098</f>
        <v>266.22000000000003</v>
      </c>
      <c r="F59" s="2">
        <f>+'s1'!Q59*0.0098</f>
        <v>0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9.61</v>
      </c>
      <c r="M59" s="2">
        <f>+'s1'!X59*0.0098</f>
        <v>0</v>
      </c>
      <c r="N59" s="2">
        <f>+'s1'!Y59*0.0098</f>
        <v>0</v>
      </c>
      <c r="O59" s="2">
        <f>+'s1'!Z59*0.0098</f>
        <v>448.2</v>
      </c>
      <c r="P59" s="2">
        <f>+'s1'!AA59*0.0098</f>
        <v>18.66</v>
      </c>
      <c r="Q59" s="2">
        <f>+'s1'!AB59*0.0098</f>
        <v>504.45</v>
      </c>
      <c r="R59" s="2">
        <f>+'s1'!AC59*0.0098</f>
        <v>0</v>
      </c>
      <c r="S59" s="2">
        <f t="shared" si="2"/>
        <v>1792.03</v>
      </c>
      <c r="T59" s="1"/>
    </row>
    <row r="60" spans="1:20" s="20" customFormat="1" x14ac:dyDescent="0.2">
      <c r="A60" s="1" t="s">
        <v>50</v>
      </c>
      <c r="B60" s="2">
        <f>+'s1'!M60*0.0098</f>
        <v>283.27</v>
      </c>
      <c r="C60" s="2">
        <f>+'s1'!N60*0.0098</f>
        <v>0</v>
      </c>
      <c r="D60" s="2">
        <f>+'s1'!O60*0.0098</f>
        <v>2115.6</v>
      </c>
      <c r="E60" s="2">
        <f>+'s1'!P60*0.0098</f>
        <v>0</v>
      </c>
      <c r="F60" s="2">
        <f>+'s1'!Q60*0.0098</f>
        <v>2289.54</v>
      </c>
      <c r="G60" s="2">
        <f>+'s1'!R60*0.0098</f>
        <v>0</v>
      </c>
      <c r="H60" s="2">
        <f>+'s1'!S60*0.0098</f>
        <v>0</v>
      </c>
      <c r="I60" s="2">
        <f>+'s1'!T60*0.0098</f>
        <v>121.58</v>
      </c>
      <c r="J60" s="2">
        <f>+'s1'!U60*0.0098</f>
        <v>0</v>
      </c>
      <c r="K60" s="2">
        <f>+'s1'!V60*0.0098</f>
        <v>0</v>
      </c>
      <c r="L60" s="2">
        <f>+'s1'!W60*0.0098</f>
        <v>987.12</v>
      </c>
      <c r="M60" s="2">
        <f>+'s1'!X60*0.0098</f>
        <v>0</v>
      </c>
      <c r="N60" s="2">
        <f>+'s1'!Y60*0.0098</f>
        <v>0</v>
      </c>
      <c r="O60" s="2">
        <f>+'s1'!Z60*0.0098</f>
        <v>0</v>
      </c>
      <c r="P60" s="2">
        <f>+'s1'!AA60*0.0098</f>
        <v>0</v>
      </c>
      <c r="Q60" s="2">
        <f>+'s1'!AB60*0.0098</f>
        <v>9994.0499999999993</v>
      </c>
      <c r="R60" s="2">
        <f>+'s1'!AC60*0.0098</f>
        <v>0</v>
      </c>
      <c r="S60" s="78">
        <f t="shared" si="2"/>
        <v>15791.16</v>
      </c>
      <c r="T60" s="18"/>
    </row>
    <row r="61" spans="1:20" x14ac:dyDescent="0.2">
      <c r="A61" s="1" t="s">
        <v>51</v>
      </c>
      <c r="B61" s="2">
        <f>+'s1'!M61*0.0098</f>
        <v>0</v>
      </c>
      <c r="C61" s="2">
        <f>+'s1'!N61*0.0098</f>
        <v>0</v>
      </c>
      <c r="D61" s="2">
        <f>+'s1'!O61*0.0098</f>
        <v>3072.83</v>
      </c>
      <c r="E61" s="2">
        <f>+'s1'!P61*0.0098</f>
        <v>0</v>
      </c>
      <c r="F61" s="2">
        <f>+'s1'!Q61*0.0098</f>
        <v>0</v>
      </c>
      <c r="G61" s="2">
        <f>+'s1'!R61*0.0098</f>
        <v>0</v>
      </c>
      <c r="H61" s="2">
        <f>+'s1'!S61*0.0098</f>
        <v>0</v>
      </c>
      <c r="I61" s="2">
        <f>+'s1'!T61*0.0098</f>
        <v>0</v>
      </c>
      <c r="J61" s="2">
        <f>+'s1'!U61*0.0098</f>
        <v>0</v>
      </c>
      <c r="K61" s="2">
        <f>+'s1'!V61*0.0098</f>
        <v>253.27</v>
      </c>
      <c r="L61" s="2">
        <f>+'s1'!W61*0.0098</f>
        <v>0</v>
      </c>
      <c r="M61" s="2">
        <f>+'s1'!X61*0.0098</f>
        <v>0</v>
      </c>
      <c r="N61" s="2">
        <f>+'s1'!Y61*0.0098</f>
        <v>0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271.02999999999997</v>
      </c>
      <c r="S61" s="2">
        <f t="shared" si="2"/>
        <v>3597.13</v>
      </c>
      <c r="T61" s="1"/>
    </row>
    <row r="62" spans="1:20" s="20" customFormat="1" x14ac:dyDescent="0.2">
      <c r="A62" s="1" t="s">
        <v>475</v>
      </c>
      <c r="B62" s="2">
        <f>+'s1'!M62*0.0098</f>
        <v>0</v>
      </c>
      <c r="C62" s="2">
        <f>+'s1'!N62*0.0098</f>
        <v>0</v>
      </c>
      <c r="D62" s="2">
        <f>+'s1'!O62*0.0098</f>
        <v>0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0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78.66</v>
      </c>
      <c r="S62" s="78">
        <f t="shared" si="2"/>
        <v>78.66</v>
      </c>
      <c r="T62" s="78"/>
    </row>
    <row r="63" spans="1:20" s="20" customFormat="1" x14ac:dyDescent="0.2">
      <c r="A63" s="1" t="s">
        <v>52</v>
      </c>
      <c r="B63" s="2">
        <f>+'s1'!M63*0.0098</f>
        <v>0</v>
      </c>
      <c r="C63" s="2">
        <f>+'s1'!N63*0.0098</f>
        <v>0</v>
      </c>
      <c r="D63" s="2">
        <f>+'s1'!O63*0.0098</f>
        <v>0</v>
      </c>
      <c r="E63" s="2">
        <f>+'s1'!P63*0.0098</f>
        <v>0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4.6100000000000003</v>
      </c>
      <c r="M63" s="2">
        <f>+'s1'!X63*0.0098</f>
        <v>563.48</v>
      </c>
      <c r="N63" s="2">
        <f>+'s1'!Y63*0.0098</f>
        <v>862.68</v>
      </c>
      <c r="O63" s="2">
        <f>+'s1'!Z63*0.0098</f>
        <v>0</v>
      </c>
      <c r="P63" s="2">
        <f>+'s1'!AA63*0.0098</f>
        <v>0</v>
      </c>
      <c r="Q63" s="2">
        <f>+'s1'!AB63*0.0098</f>
        <v>0</v>
      </c>
      <c r="R63" s="2">
        <f>+'s1'!AC63*0.0098</f>
        <v>0</v>
      </c>
      <c r="S63" s="78">
        <f>SUM(B63:R63)</f>
        <v>1430.77</v>
      </c>
      <c r="T63" s="78"/>
    </row>
    <row r="64" spans="1:20" s="20" customFormat="1" x14ac:dyDescent="0.2">
      <c r="A64" s="1" t="s">
        <v>436</v>
      </c>
      <c r="B64" s="2">
        <f>+'s1'!M64*0.0098</f>
        <v>0</v>
      </c>
      <c r="C64" s="2">
        <f>+'s1'!N64*0.0098</f>
        <v>0</v>
      </c>
      <c r="D64" s="2">
        <f>+'s1'!O64*0.0098</f>
        <v>502.69</v>
      </c>
      <c r="E64" s="2">
        <f>+'s1'!P64*0.0098</f>
        <v>0</v>
      </c>
      <c r="F64" s="2">
        <f>+'s1'!Q64*0.0098</f>
        <v>0</v>
      </c>
      <c r="G64" s="2">
        <f>+'s1'!R64*0.0098</f>
        <v>0</v>
      </c>
      <c r="H64" s="2">
        <f>+'s1'!S64*0.0098</f>
        <v>0</v>
      </c>
      <c r="I64" s="2">
        <f>+'s1'!T64*0.0098</f>
        <v>0</v>
      </c>
      <c r="J64" s="2">
        <f>+'s1'!U64*0.0098</f>
        <v>0</v>
      </c>
      <c r="K64" s="2">
        <f>+'s1'!V64*0.0098</f>
        <v>0</v>
      </c>
      <c r="L64" s="2">
        <f>+'s1'!W64*0.0098</f>
        <v>0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167.1</v>
      </c>
      <c r="R64" s="2">
        <f>+'s1'!AC64*0.0098</f>
        <v>0</v>
      </c>
      <c r="S64" s="78">
        <f t="shared" si="2"/>
        <v>669.79</v>
      </c>
      <c r="T64" s="78"/>
    </row>
    <row r="65" spans="1:20" s="20" customFormat="1" x14ac:dyDescent="0.2">
      <c r="A65" s="1" t="s">
        <v>694</v>
      </c>
      <c r="B65" s="2">
        <f>+'s1'!M65*0.0098</f>
        <v>0</v>
      </c>
      <c r="C65" s="2">
        <f>+'s1'!N65*0.0098</f>
        <v>2.92</v>
      </c>
      <c r="D65" s="2">
        <f>+'s1'!O65*0.0098</f>
        <v>0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0</v>
      </c>
      <c r="L65" s="2">
        <f>+'s1'!W65*0.0098</f>
        <v>487.35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0</v>
      </c>
      <c r="S65" s="78">
        <f>SUM(B65:R65)</f>
        <v>490.27</v>
      </c>
      <c r="T65" s="78"/>
    </row>
    <row r="66" spans="1:20" s="20" customFormat="1" x14ac:dyDescent="0.2">
      <c r="A66" s="1" t="s">
        <v>53</v>
      </c>
      <c r="B66" s="2">
        <f>+'s1'!M66*0.0098</f>
        <v>0</v>
      </c>
      <c r="C66" s="2">
        <f>+'s1'!N66*0.0098</f>
        <v>0</v>
      </c>
      <c r="D66" s="2">
        <f>+'s1'!O66*0.0098</f>
        <v>1269.6500000000001</v>
      </c>
      <c r="E66" s="2">
        <f>+'s1'!P66*0.0098</f>
        <v>0</v>
      </c>
      <c r="F66" s="2">
        <f>+'s1'!Q66*0.0098</f>
        <v>2599.6</v>
      </c>
      <c r="G66" s="2">
        <f>+'s1'!R66*0.0098</f>
        <v>0</v>
      </c>
      <c r="H66" s="2">
        <f>+'s1'!S66*0.0098</f>
        <v>0</v>
      </c>
      <c r="I66" s="2">
        <f>+'s1'!T66*0.0098</f>
        <v>2178.25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0</v>
      </c>
      <c r="S66" s="78">
        <f t="shared" si="2"/>
        <v>6047.5</v>
      </c>
      <c r="T66" s="78"/>
    </row>
    <row r="67" spans="1:20" s="89" customFormat="1" x14ac:dyDescent="0.2">
      <c r="A67" s="18" t="s">
        <v>753</v>
      </c>
      <c r="B67" s="2">
        <f>+'s1'!M67*0.0098</f>
        <v>0</v>
      </c>
      <c r="C67" s="2">
        <f>+'s1'!N67*0.0098</f>
        <v>0</v>
      </c>
      <c r="D67" s="2">
        <f>+'s1'!O67*0.0098</f>
        <v>0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0</v>
      </c>
      <c r="M67" s="2">
        <f>+'s1'!X67*0.0098</f>
        <v>0</v>
      </c>
      <c r="N67" s="2">
        <f>+'s1'!Y67*0.0098</f>
        <v>0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8">
        <f t="shared" ref="S67:S75" si="3">SUM(B67:R67)</f>
        <v>0</v>
      </c>
      <c r="T67" s="10"/>
    </row>
    <row r="68" spans="1:20" s="89" customFormat="1" x14ac:dyDescent="0.2">
      <c r="A68" s="18" t="s">
        <v>756</v>
      </c>
      <c r="B68" s="2">
        <f>+'s1'!M68*0.0098</f>
        <v>0</v>
      </c>
      <c r="C68" s="2">
        <f>+'s1'!N68*0.0098</f>
        <v>0</v>
      </c>
      <c r="D68" s="2">
        <f>+'s1'!O68*0.0098</f>
        <v>-956.83</v>
      </c>
      <c r="E68" s="2">
        <f>+'s1'!P68*0.0098</f>
        <v>0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956.83</v>
      </c>
      <c r="J68" s="2">
        <f>+'s1'!U68*0.0098</f>
        <v>0</v>
      </c>
      <c r="K68" s="2">
        <f>+'s1'!V68*0.0098</f>
        <v>0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0</v>
      </c>
      <c r="S68" s="78">
        <f t="shared" si="3"/>
        <v>0</v>
      </c>
      <c r="T68" s="10"/>
    </row>
    <row r="69" spans="1:20" s="89" customFormat="1" x14ac:dyDescent="0.2">
      <c r="A69" s="18" t="s">
        <v>751</v>
      </c>
      <c r="B69" s="2">
        <f>+'s1'!M69*0.0098</f>
        <v>0</v>
      </c>
      <c r="C69" s="2">
        <f>+'s1'!N69*0.0098</f>
        <v>0</v>
      </c>
      <c r="D69" s="2">
        <f>+'s1'!O69*0.0098</f>
        <v>0</v>
      </c>
      <c r="E69" s="2">
        <f>+'s1'!P69*0.0098</f>
        <v>0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0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0</v>
      </c>
      <c r="S69" s="78">
        <f t="shared" si="3"/>
        <v>0</v>
      </c>
      <c r="T69" s="10"/>
    </row>
    <row r="70" spans="1:20" s="89" customFormat="1" x14ac:dyDescent="0.2">
      <c r="A70" s="18" t="s">
        <v>757</v>
      </c>
      <c r="B70" s="2">
        <f>+'s1'!M70*0.0098</f>
        <v>0</v>
      </c>
      <c r="C70" s="2">
        <f>+'s1'!N70*0.0098</f>
        <v>0</v>
      </c>
      <c r="D70" s="2">
        <f>+'s1'!O70*0.0098</f>
        <v>-569.69000000000005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569.69000000000005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0</v>
      </c>
      <c r="S70" s="78">
        <f t="shared" si="3"/>
        <v>0</v>
      </c>
      <c r="T70" s="10"/>
    </row>
    <row r="71" spans="1:20" s="89" customFormat="1" x14ac:dyDescent="0.2">
      <c r="A71" s="18" t="s">
        <v>752</v>
      </c>
      <c r="B71" s="2">
        <f>+'s1'!M71*0.0098</f>
        <v>0</v>
      </c>
      <c r="C71" s="2">
        <f>+'s1'!N71*0.0098</f>
        <v>0</v>
      </c>
      <c r="D71" s="2">
        <f>+'s1'!O71*0.0098</f>
        <v>0</v>
      </c>
      <c r="E71" s="2">
        <f>+'s1'!P71*0.0098</f>
        <v>0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78">
        <f t="shared" si="3"/>
        <v>0</v>
      </c>
      <c r="T71" s="10"/>
    </row>
    <row r="72" spans="1:20" s="89" customFormat="1" x14ac:dyDescent="0.2">
      <c r="A72" s="18" t="s">
        <v>755</v>
      </c>
      <c r="B72" s="2">
        <f>+'s1'!M72*0.0098</f>
        <v>0</v>
      </c>
      <c r="C72" s="2">
        <f>+'s1'!N72*0.0098</f>
        <v>0</v>
      </c>
      <c r="D72" s="2">
        <f>+'s1'!O72*0.0098</f>
        <v>-832.88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832.88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78">
        <f t="shared" si="3"/>
        <v>0</v>
      </c>
      <c r="T72" s="10"/>
    </row>
    <row r="73" spans="1:20" s="89" customFormat="1" x14ac:dyDescent="0.2">
      <c r="A73" s="18" t="s">
        <v>758</v>
      </c>
      <c r="B73" s="2">
        <f>+'s1'!M73*0.0098</f>
        <v>0</v>
      </c>
      <c r="C73" s="2">
        <f>+'s1'!N73*0.0098</f>
        <v>0</v>
      </c>
      <c r="D73" s="2">
        <f>+'s1'!O73*0.0098+24.33</f>
        <v>24.33</v>
      </c>
      <c r="E73" s="2">
        <f>+'s1'!P73*0.0098</f>
        <v>0</v>
      </c>
      <c r="F73" s="2">
        <f>+'s1'!Q73*0.0098+58.87</f>
        <v>58.87</v>
      </c>
      <c r="G73" s="2">
        <f>+'s1'!R73*0.0098</f>
        <v>0</v>
      </c>
      <c r="H73" s="2">
        <f>+'s1'!S73*0.0098</f>
        <v>0</v>
      </c>
      <c r="I73" s="2">
        <f>+'s1'!T73*0.0098+43.77</f>
        <v>43.77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0</v>
      </c>
      <c r="R73" s="2">
        <f>+'s1'!AC73*0.0098</f>
        <v>0</v>
      </c>
      <c r="S73" s="78">
        <f t="shared" si="3"/>
        <v>126.97</v>
      </c>
      <c r="T73" s="10"/>
    </row>
    <row r="74" spans="1:20" s="89" customFormat="1" x14ac:dyDescent="0.2">
      <c r="A74" s="18" t="s">
        <v>759</v>
      </c>
      <c r="B74" s="2">
        <f>+'s1'!M74*0.0098</f>
        <v>0</v>
      </c>
      <c r="C74" s="2">
        <f>+'s1'!N74*0.0098</f>
        <v>0</v>
      </c>
      <c r="D74" s="2">
        <f>+'s1'!O74*0.0098</f>
        <v>-952.7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952.7</v>
      </c>
      <c r="J74" s="2">
        <f>+'s1'!U74*0.0098</f>
        <v>0</v>
      </c>
      <c r="K74" s="2">
        <f>+'s1'!V74*0.0098</f>
        <v>0</v>
      </c>
      <c r="L74" s="2">
        <f>+'s1'!W74*0.0098</f>
        <v>0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78">
        <f t="shared" si="3"/>
        <v>0</v>
      </c>
      <c r="T74" s="10"/>
    </row>
    <row r="75" spans="1:20" s="20" customFormat="1" x14ac:dyDescent="0.2">
      <c r="A75" s="1" t="s">
        <v>711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0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36.119999999999997</v>
      </c>
      <c r="R75" s="2">
        <f>+'s1'!AC75*0.0098</f>
        <v>0</v>
      </c>
      <c r="S75" s="78">
        <f t="shared" si="3"/>
        <v>36.119999999999997</v>
      </c>
      <c r="T75" s="18"/>
    </row>
    <row r="76" spans="1:20" s="20" customFormat="1" x14ac:dyDescent="0.2">
      <c r="A76" s="1" t="s">
        <v>712</v>
      </c>
      <c r="B76" s="2">
        <f>+'s1'!M76*0.0098</f>
        <v>0</v>
      </c>
      <c r="C76" s="2">
        <f>+'s1'!N76*0.0098</f>
        <v>0</v>
      </c>
      <c r="D76" s="2">
        <f>+'s1'!O76*0.0098</f>
        <v>191.94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0</v>
      </c>
      <c r="S76" s="78">
        <f>SUM(B76:R76)</f>
        <v>191.94</v>
      </c>
      <c r="T76" s="18"/>
    </row>
    <row r="77" spans="1:20" s="89" customFormat="1" x14ac:dyDescent="0.2">
      <c r="A77" s="18" t="s">
        <v>699</v>
      </c>
      <c r="B77" s="2">
        <f>+'s1'!M77*0.0098</f>
        <v>0</v>
      </c>
      <c r="C77" s="2">
        <f>+'s1'!N77*0.0098</f>
        <v>0</v>
      </c>
      <c r="D77" s="2">
        <f>+'s1'!O77*0.0098</f>
        <v>0</v>
      </c>
      <c r="E77" s="2">
        <f>+'s1'!P77*0.0098</f>
        <v>0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1037.19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0</v>
      </c>
      <c r="S77" s="78">
        <f t="shared" si="2"/>
        <v>1037.19</v>
      </c>
      <c r="T77" s="10"/>
    </row>
    <row r="78" spans="1:20" s="20" customFormat="1" x14ac:dyDescent="0.2">
      <c r="A78" s="1" t="s">
        <v>54</v>
      </c>
      <c r="B78" s="2">
        <f>+'s1'!M78*0.0098</f>
        <v>0</v>
      </c>
      <c r="C78" s="2">
        <f>+'s1'!N78*0.0098</f>
        <v>0</v>
      </c>
      <c r="D78" s="2">
        <f>+'s1'!O78*0.0098</f>
        <v>0</v>
      </c>
      <c r="E78" s="2">
        <f>+'s1'!P78*0.0098</f>
        <v>60.72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5.29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0</v>
      </c>
      <c r="R78" s="2">
        <f>+'s1'!AC78*0.0098</f>
        <v>0</v>
      </c>
      <c r="S78" s="78">
        <f t="shared" si="2"/>
        <v>66.010000000000005</v>
      </c>
      <c r="T78" s="18"/>
    </row>
    <row r="79" spans="1:20" x14ac:dyDescent="0.2">
      <c r="A79" s="1" t="s">
        <v>55</v>
      </c>
      <c r="B79" s="2">
        <f>+'s1'!M79*0.0098</f>
        <v>0</v>
      </c>
      <c r="C79" s="2">
        <f>+'s1'!N79*0.0098</f>
        <v>0</v>
      </c>
      <c r="D79" s="2">
        <f>+'s1'!O79*0.0098</f>
        <v>0</v>
      </c>
      <c r="E79" s="2">
        <f>+'s1'!P79*0.0098</f>
        <v>448.76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0</v>
      </c>
      <c r="O79" s="2">
        <f>+'s1'!Z79*0.0098</f>
        <v>0</v>
      </c>
      <c r="P79" s="2">
        <f>+'s1'!AA79*0.0098</f>
        <v>0</v>
      </c>
      <c r="Q79" s="2">
        <f>+'s1'!AB79*0.0098</f>
        <v>501.94</v>
      </c>
      <c r="R79" s="2">
        <f>+'s1'!AC79*0.0098</f>
        <v>0</v>
      </c>
      <c r="S79" s="2">
        <f t="shared" si="2"/>
        <v>950.7</v>
      </c>
      <c r="T79" s="2"/>
    </row>
    <row r="80" spans="1:20" x14ac:dyDescent="0.2">
      <c r="A80" s="1" t="s">
        <v>56</v>
      </c>
      <c r="B80" s="2">
        <f>+'s1'!M80*0.0098</f>
        <v>0</v>
      </c>
      <c r="C80" s="2">
        <f>+'s1'!N80*0.0098</f>
        <v>0</v>
      </c>
      <c r="D80" s="2">
        <f>+'s1'!O80*0.0098</f>
        <v>0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</f>
        <v>0</v>
      </c>
      <c r="R80" s="2">
        <f>+'s1'!AC80*0.0098</f>
        <v>525.65</v>
      </c>
      <c r="S80" s="2">
        <f t="shared" ref="S80:S93" si="4">SUM(B80:R80)</f>
        <v>525.65</v>
      </c>
      <c r="T80" s="1"/>
    </row>
    <row r="81" spans="1:20" s="249" customFormat="1" x14ac:dyDescent="0.2">
      <c r="A81" s="18" t="s">
        <v>216</v>
      </c>
      <c r="B81" s="78">
        <f>+'s1'!M81*0.0098</f>
        <v>0</v>
      </c>
      <c r="C81" s="78">
        <f>+'s1'!N81*0.0098</f>
        <v>0</v>
      </c>
      <c r="D81" s="78">
        <f>+'s1'!O81*0.0098</f>
        <v>0.64</v>
      </c>
      <c r="E81" s="78">
        <f>+'s1'!P81*0.0098</f>
        <v>0</v>
      </c>
      <c r="F81" s="78">
        <f>+'s1'!Q81*0.0098</f>
        <v>0</v>
      </c>
      <c r="G81" s="78">
        <f>+'s1'!R81*0.0098</f>
        <v>0</v>
      </c>
      <c r="H81" s="78">
        <f>+'s1'!S81*0.0098</f>
        <v>0</v>
      </c>
      <c r="I81" s="78">
        <f>+'s1'!T81*0.0098</f>
        <v>0</v>
      </c>
      <c r="J81" s="78">
        <f>+'s1'!U81*0.0098</f>
        <v>0</v>
      </c>
      <c r="K81" s="78">
        <f>+'s1'!V81*0.0098</f>
        <v>0</v>
      </c>
      <c r="L81" s="78">
        <f>+'s1'!W81*0.0098</f>
        <v>0</v>
      </c>
      <c r="M81" s="78">
        <f>+'s1'!X81*0.0098</f>
        <v>0</v>
      </c>
      <c r="N81" s="78">
        <f>+'s1'!Y81*0.0098</f>
        <v>0</v>
      </c>
      <c r="O81" s="78">
        <f>+'s1'!Z81*0.0098</f>
        <v>0</v>
      </c>
      <c r="P81" s="78">
        <f>+'s1'!AA81*0.0098</f>
        <v>0</v>
      </c>
      <c r="Q81" s="78">
        <f>+'s1'!AB81*0.0098</f>
        <v>0</v>
      </c>
      <c r="R81" s="78">
        <f>+'s1'!AC81*0.0098</f>
        <v>0</v>
      </c>
      <c r="S81" s="78">
        <f>SUM(B81:R81)</f>
        <v>0.64</v>
      </c>
      <c r="T81" s="380"/>
    </row>
    <row r="82" spans="1:20" x14ac:dyDescent="0.2">
      <c r="A82" s="18" t="s">
        <v>57</v>
      </c>
      <c r="B82" s="2">
        <f>+'s1'!M82*0.0098</f>
        <v>0</v>
      </c>
      <c r="C82" s="2">
        <f>+'s1'!N82*0.0098</f>
        <v>0</v>
      </c>
      <c r="D82" s="2">
        <f>+'s1'!O82*0.0098</f>
        <v>0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0</v>
      </c>
      <c r="L82" s="2">
        <f>+'s1'!W82*0.0098</f>
        <v>0</v>
      </c>
      <c r="M82" s="2">
        <f>+'s1'!X82*0.0098</f>
        <v>0</v>
      </c>
      <c r="N82" s="2">
        <f>+'s1'!Y82*0.0098</f>
        <v>0</v>
      </c>
      <c r="O82" s="2">
        <f>+'s1'!Z82*0.0098</f>
        <v>0</v>
      </c>
      <c r="P82" s="2">
        <f>+'s1'!AA82*0.0098</f>
        <v>0.83</v>
      </c>
      <c r="Q82" s="2">
        <f>+'s1'!AB82*0.0098</f>
        <v>292.22000000000003</v>
      </c>
      <c r="R82" s="2">
        <f>+'s1'!AC82*0.0098</f>
        <v>0</v>
      </c>
      <c r="S82" s="2">
        <f t="shared" si="4"/>
        <v>293.05</v>
      </c>
      <c r="T82" s="2"/>
    </row>
    <row r="83" spans="1:20" x14ac:dyDescent="0.2">
      <c r="A83" s="18" t="s">
        <v>704</v>
      </c>
      <c r="B83" s="2">
        <f>+'s1'!M83*0.0098</f>
        <v>0</v>
      </c>
      <c r="C83" s="2">
        <f>+'s1'!N83*0.0098</f>
        <v>0</v>
      </c>
      <c r="D83" s="2">
        <f>+'s1'!O83*0.0098</f>
        <v>24214.43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150.99</v>
      </c>
      <c r="L83" s="2">
        <f>+'s1'!W83*0.0098</f>
        <v>0</v>
      </c>
      <c r="M83" s="2">
        <f>+'s1'!X83*0.0098</f>
        <v>0</v>
      </c>
      <c r="N83" s="2">
        <f>+'s1'!Y83*0.0098</f>
        <v>1635.94</v>
      </c>
      <c r="O83" s="2">
        <f>+'s1'!Z83*0.0098</f>
        <v>0</v>
      </c>
      <c r="P83" s="2">
        <f>+'s1'!AA83*0.0098</f>
        <v>0</v>
      </c>
      <c r="Q83" s="2">
        <f>+'s1'!AB83*0.0098</f>
        <v>0</v>
      </c>
      <c r="R83" s="2">
        <f>+'s1'!AC83*0.0098</f>
        <v>0</v>
      </c>
      <c r="S83" s="2">
        <f>SUM(B83:R83)</f>
        <v>26001.360000000001</v>
      </c>
      <c r="T83" s="2"/>
    </row>
    <row r="84" spans="1:20" x14ac:dyDescent="0.2">
      <c r="A84" s="1" t="s">
        <v>437</v>
      </c>
      <c r="B84" s="2">
        <f>+'s1'!M84*0.0098</f>
        <v>0</v>
      </c>
      <c r="C84" s="2">
        <f>+'s1'!N84*0.0098</f>
        <v>0</v>
      </c>
      <c r="D84" s="2">
        <f>+'s1'!O84*0.0098</f>
        <v>1519.27</v>
      </c>
      <c r="E84" s="2">
        <f>+'s1'!P84*0.0098</f>
        <v>0</v>
      </c>
      <c r="F84" s="2">
        <f>+'s1'!Q84*0.0098</f>
        <v>0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0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1342.99</v>
      </c>
      <c r="R84" s="2">
        <f>+'s1'!AC84*0.0098</f>
        <v>0</v>
      </c>
      <c r="S84" s="2">
        <f t="shared" si="4"/>
        <v>2862.26</v>
      </c>
      <c r="T84" s="1"/>
    </row>
    <row r="85" spans="1:20" s="20" customFormat="1" x14ac:dyDescent="0.2">
      <c r="A85" s="1" t="s">
        <v>58</v>
      </c>
      <c r="B85" s="2">
        <f>+'s1'!M85*0.0098</f>
        <v>0</v>
      </c>
      <c r="C85" s="2">
        <f>+'s1'!N85*0.0098</f>
        <v>0</v>
      </c>
      <c r="D85" s="2">
        <f>+'s1'!O85*0.0098</f>
        <v>16602.189999999999</v>
      </c>
      <c r="E85" s="2">
        <f>+'s1'!P85*0.0098</f>
        <v>0</v>
      </c>
      <c r="F85" s="2">
        <f>+'s1'!Q85*0.0098</f>
        <v>0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0</v>
      </c>
      <c r="R85" s="2">
        <f>+'s1'!AC85*0.0098</f>
        <v>0</v>
      </c>
      <c r="S85" s="78">
        <f t="shared" si="4"/>
        <v>16602.189999999999</v>
      </c>
      <c r="T85" s="78"/>
    </row>
    <row r="86" spans="1:20" s="20" customFormat="1" x14ac:dyDescent="0.2">
      <c r="A86" s="1" t="s">
        <v>438</v>
      </c>
      <c r="B86" s="2">
        <f>+'s1'!M86*0.0098</f>
        <v>0</v>
      </c>
      <c r="C86" s="2">
        <f>+'s1'!N86*0.0098</f>
        <v>0</v>
      </c>
      <c r="D86" s="2">
        <f>+'s1'!O86*0.0098</f>
        <v>1484.1</v>
      </c>
      <c r="E86" s="2">
        <f>+'s1'!P86*0.0098</f>
        <v>0</v>
      </c>
      <c r="F86" s="2">
        <f>+'s1'!Q86*0.0098</f>
        <v>2331.2399999999998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1316.67</v>
      </c>
      <c r="M86" s="2">
        <f>+'s1'!X86*0.0098</f>
        <v>0</v>
      </c>
      <c r="N86" s="2">
        <f>+'s1'!Y86*0.0098</f>
        <v>0</v>
      </c>
      <c r="O86" s="2">
        <f>+'s1'!Z86*0.0098</f>
        <v>0</v>
      </c>
      <c r="P86" s="2">
        <f>+'s1'!AA86*0.0098</f>
        <v>0</v>
      </c>
      <c r="Q86" s="2">
        <f>+'s1'!AB86*0.0098</f>
        <v>0</v>
      </c>
      <c r="R86" s="2">
        <f>+'s1'!AC86*0.0098</f>
        <v>0</v>
      </c>
      <c r="S86" s="78">
        <f t="shared" si="4"/>
        <v>5132.01</v>
      </c>
      <c r="T86" s="78"/>
    </row>
    <row r="87" spans="1:20" x14ac:dyDescent="0.2">
      <c r="A87" s="1" t="s">
        <v>439</v>
      </c>
      <c r="B87" s="2">
        <f>+'s1'!M87*0.0098</f>
        <v>221.57</v>
      </c>
      <c r="C87" s="2">
        <f>+'s1'!N87*0.0098</f>
        <v>0</v>
      </c>
      <c r="D87" s="2">
        <f>+'s1'!O87*0.0098</f>
        <v>300.49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0</v>
      </c>
      <c r="O87" s="2">
        <f>+'s1'!Z87*0.0098</f>
        <v>0</v>
      </c>
      <c r="P87" s="2">
        <f>+'s1'!AA87*0.0098</f>
        <v>0</v>
      </c>
      <c r="Q87" s="2">
        <f>+'s1'!AB87*0.0098</f>
        <v>812</v>
      </c>
      <c r="R87" s="2">
        <f>+'s1'!AC87*0.0098</f>
        <v>0</v>
      </c>
      <c r="S87" s="2">
        <f t="shared" si="4"/>
        <v>1334.06</v>
      </c>
      <c r="T87" s="2"/>
    </row>
    <row r="88" spans="1:20" x14ac:dyDescent="0.2">
      <c r="A88" s="1" t="s">
        <v>351</v>
      </c>
      <c r="B88" s="2">
        <f>+'s1'!M88*0.0098</f>
        <v>0</v>
      </c>
      <c r="C88" s="2">
        <f>+'s1'!N88*0.0098</f>
        <v>0</v>
      </c>
      <c r="D88" s="2">
        <f>+'s1'!O88*0.0098</f>
        <v>230.29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0</v>
      </c>
      <c r="L88" s="2">
        <f>+'s1'!W88*0.0098</f>
        <v>0</v>
      </c>
      <c r="M88" s="2">
        <f>+'s1'!X88*0.0098</f>
        <v>0</v>
      </c>
      <c r="N88" s="2">
        <f>+'s1'!Y88*0.0098</f>
        <v>951.75</v>
      </c>
      <c r="O88" s="2">
        <f>+'s1'!Z88*0.0098</f>
        <v>0</v>
      </c>
      <c r="P88" s="2">
        <f>+'s1'!AA88*0.0098</f>
        <v>0</v>
      </c>
      <c r="Q88" s="2">
        <f>+'s1'!AB88*0.0098</f>
        <v>0</v>
      </c>
      <c r="R88" s="2">
        <f>+'s1'!AC88*0.0098</f>
        <v>0</v>
      </c>
      <c r="S88" s="2">
        <f>SUM(B88:R88)</f>
        <v>1182.04</v>
      </c>
      <c r="T88" s="2"/>
    </row>
    <row r="89" spans="1:20" s="20" customFormat="1" x14ac:dyDescent="0.2">
      <c r="A89" s="1" t="s">
        <v>604</v>
      </c>
      <c r="B89" s="2">
        <f>+'s1'!M89*0.0098</f>
        <v>0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0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0</v>
      </c>
      <c r="P89" s="2">
        <f>+'s1'!AA89*0.0098</f>
        <v>0</v>
      </c>
      <c r="Q89" s="2">
        <f>+'s1'!AB89*0.0098-58.38</f>
        <v>94.42</v>
      </c>
      <c r="R89" s="2">
        <f>+'s1'!AC89*0.0098</f>
        <v>0</v>
      </c>
      <c r="S89" s="78">
        <f>SUM(B89:R89)</f>
        <v>94.42</v>
      </c>
      <c r="T89" s="78"/>
    </row>
    <row r="90" spans="1:20" s="20" customFormat="1" x14ac:dyDescent="0.2">
      <c r="A90" s="18" t="s">
        <v>440</v>
      </c>
      <c r="B90" s="2">
        <f>+'s1'!M90*0.0098</f>
        <v>2176.02</v>
      </c>
      <c r="C90" s="2">
        <f>+'s1'!N90*0.0098</f>
        <v>0</v>
      </c>
      <c r="D90" s="2">
        <f>+'s1'!O90*0.0098</f>
        <v>0</v>
      </c>
      <c r="E90" s="2">
        <f>+'s1'!P90*0.0098</f>
        <v>0</v>
      </c>
      <c r="F90" s="2">
        <f>+'s1'!Q90*0.0098</f>
        <v>0</v>
      </c>
      <c r="G90" s="2">
        <f>+'s1'!R90*0.0098</f>
        <v>0</v>
      </c>
      <c r="H90" s="2">
        <f>+'s1'!S90*0.0098</f>
        <v>0</v>
      </c>
      <c r="I90" s="2">
        <f>+'s1'!T90*0.0098</f>
        <v>0</v>
      </c>
      <c r="J90" s="2">
        <f>+'s1'!U90*0.0098</f>
        <v>0</v>
      </c>
      <c r="K90" s="2">
        <f>+'s1'!V90*0.0098</f>
        <v>0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0</v>
      </c>
      <c r="P90" s="2">
        <f>+'s1'!AA90*0.0098</f>
        <v>0</v>
      </c>
      <c r="Q90" s="2">
        <f>+'s1'!AB90*0.0098</f>
        <v>9180.94</v>
      </c>
      <c r="R90" s="2">
        <f>+'s1'!AC90*0.0098</f>
        <v>0</v>
      </c>
      <c r="S90" s="78">
        <f>SUM(B90:R90)</f>
        <v>11356.96</v>
      </c>
      <c r="T90" s="78"/>
    </row>
    <row r="91" spans="1:20" x14ac:dyDescent="0.2">
      <c r="A91" s="18" t="s">
        <v>59</v>
      </c>
      <c r="B91" s="2">
        <f>+'s1'!M91*0.0098</f>
        <v>0</v>
      </c>
      <c r="C91" s="2">
        <f>+'s1'!N91*0.0098</f>
        <v>0</v>
      </c>
      <c r="D91" s="2">
        <f>+'s1'!O91*0.0098</f>
        <v>75086.77</v>
      </c>
      <c r="E91" s="2">
        <f>+'s1'!P91*0.0098</f>
        <v>0</v>
      </c>
      <c r="F91" s="2">
        <f>+'s1'!Q91*0.0098</f>
        <v>0</v>
      </c>
      <c r="G91" s="2">
        <f>+'s1'!R91*0.0098</f>
        <v>71.13</v>
      </c>
      <c r="H91" s="2">
        <f>+'s1'!S91*0.0098</f>
        <v>0</v>
      </c>
      <c r="I91" s="2">
        <f>+'s1'!T91*0.0098</f>
        <v>0</v>
      </c>
      <c r="J91" s="2">
        <f>+'s1'!U91*0.0098</f>
        <v>16.63</v>
      </c>
      <c r="K91" s="2">
        <f>+'s1'!V91*0.0098</f>
        <v>68.02</v>
      </c>
      <c r="L91" s="2">
        <f>+'s1'!W91*0.0098</f>
        <v>0</v>
      </c>
      <c r="M91" s="2">
        <f>+'s1'!X91*0.0098</f>
        <v>0</v>
      </c>
      <c r="N91" s="2">
        <f>+'s1'!Y91*0.0098</f>
        <v>4771.83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0</v>
      </c>
      <c r="S91" s="2">
        <f>SUM(B91:R91)</f>
        <v>80014.38</v>
      </c>
      <c r="T91" s="2"/>
    </row>
    <row r="92" spans="1:20" s="20" customFormat="1" x14ac:dyDescent="0.2">
      <c r="A92" s="1" t="s">
        <v>60</v>
      </c>
      <c r="B92" s="2">
        <f>+'s1'!M92*0.0098</f>
        <v>0</v>
      </c>
      <c r="C92" s="2">
        <f>+'s1'!N92*0.0098</f>
        <v>0</v>
      </c>
      <c r="D92" s="2">
        <f>+'s1'!O92*0.0098</f>
        <v>0</v>
      </c>
      <c r="E92" s="2">
        <f>+'s1'!P92*0.0098</f>
        <v>0</v>
      </c>
      <c r="F92" s="2">
        <f>+'s1'!Q92*0.0098</f>
        <v>955.24</v>
      </c>
      <c r="G92" s="2">
        <f>+'s1'!R92*0.0098</f>
        <v>0</v>
      </c>
      <c r="H92" s="2">
        <f>+'s1'!S92*0.0098</f>
        <v>0</v>
      </c>
      <c r="I92" s="2">
        <f>+'s1'!T92*0.0098</f>
        <v>118.41</v>
      </c>
      <c r="J92" s="2">
        <f>+'s1'!U92*0.0098</f>
        <v>0</v>
      </c>
      <c r="K92" s="2">
        <f>+'s1'!V92*0.0098</f>
        <v>589.30999999999995</v>
      </c>
      <c r="L92" s="2">
        <f>+'s1'!W92*0.0098</f>
        <v>0</v>
      </c>
      <c r="M92" s="2">
        <f>+'s1'!X92*0.0098</f>
        <v>0</v>
      </c>
      <c r="N92" s="2">
        <f>+'s1'!Y92*0.0098</f>
        <v>0</v>
      </c>
      <c r="O92" s="2">
        <f>+'s1'!Z92*0.0098</f>
        <v>0</v>
      </c>
      <c r="P92" s="2">
        <f>+'s1'!AA92*0.0098</f>
        <v>0</v>
      </c>
      <c r="Q92" s="2">
        <f>+'s1'!AB92*0.0098</f>
        <v>0</v>
      </c>
      <c r="R92" s="2">
        <f>+'s1'!AC92*0.0098</f>
        <v>2831.81</v>
      </c>
      <c r="S92" s="78">
        <f>SUM(B92:R92)</f>
        <v>4494.7700000000004</v>
      </c>
      <c r="T92" s="78"/>
    </row>
    <row r="93" spans="1:20" s="20" customFormat="1" x14ac:dyDescent="0.2">
      <c r="A93" s="1" t="s">
        <v>461</v>
      </c>
      <c r="B93" s="2">
        <f>+'s1'!M93*0.0098</f>
        <v>0</v>
      </c>
      <c r="C93" s="2">
        <f>+'s1'!N93*0.0098</f>
        <v>0</v>
      </c>
      <c r="D93" s="2">
        <f>+'s1'!O93*0.0098</f>
        <v>0</v>
      </c>
      <c r="E93" s="2">
        <f>+'s1'!P93*0.0098</f>
        <v>0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0</v>
      </c>
      <c r="M93" s="2">
        <f>+'s1'!X93*0.0098</f>
        <v>0</v>
      </c>
      <c r="N93" s="2">
        <f>+'s1'!Y93*0.0098</f>
        <v>0</v>
      </c>
      <c r="O93" s="2">
        <f>+'s1'!Z93*0.0098</f>
        <v>0</v>
      </c>
      <c r="P93" s="2">
        <f>+'s1'!AA93*0.0098</f>
        <v>0</v>
      </c>
      <c r="Q93" s="2">
        <f>+'s1'!AB93*0.0098</f>
        <v>109.76</v>
      </c>
      <c r="R93" s="2">
        <f>+'s1'!AC93*0.0098</f>
        <v>0</v>
      </c>
      <c r="S93" s="78">
        <f t="shared" si="4"/>
        <v>109.76</v>
      </c>
      <c r="T93" s="18"/>
    </row>
    <row r="94" spans="1:20" s="20" customFormat="1" x14ac:dyDescent="0.2">
      <c r="A94" s="18" t="s">
        <v>61</v>
      </c>
      <c r="B94" s="2">
        <f>+'s1'!M94*0.0098</f>
        <v>2647.34</v>
      </c>
      <c r="C94" s="2">
        <f>+'s1'!N94*0.0098</f>
        <v>787.56</v>
      </c>
      <c r="D94" s="2">
        <f>+'s1'!O94*0.0098</f>
        <v>15441.03</v>
      </c>
      <c r="E94" s="2">
        <f>+'s1'!P94*0.0098</f>
        <v>663.98</v>
      </c>
      <c r="F94" s="2">
        <f>+'s1'!Q94*0.0098</f>
        <v>0</v>
      </c>
      <c r="G94" s="2">
        <f>+'s1'!R94*0.0098</f>
        <v>78.680000000000007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1.27</v>
      </c>
      <c r="L94" s="2">
        <f>+'s1'!W94*0.0098</f>
        <v>1255.1400000000001</v>
      </c>
      <c r="M94" s="2">
        <f>+'s1'!X94*0.0098</f>
        <v>59</v>
      </c>
      <c r="N94" s="2">
        <f>+'s1'!Y94*0.0098</f>
        <v>75.569999999999993</v>
      </c>
      <c r="O94" s="2">
        <f>+'s1'!Z94*0.0098</f>
        <v>190.49</v>
      </c>
      <c r="P94" s="2">
        <f>+'s1'!AA94*0.0098</f>
        <v>0</v>
      </c>
      <c r="Q94" s="2">
        <f>+'s1'!AB94*0.0098</f>
        <v>2834.83</v>
      </c>
      <c r="R94" s="2">
        <f>+'s1'!AC94*0.0098</f>
        <v>0</v>
      </c>
      <c r="S94" s="78">
        <f>SUM(B94:R94)</f>
        <v>24034.89</v>
      </c>
      <c r="T94" s="18"/>
    </row>
    <row r="95" spans="1:20" x14ac:dyDescent="0.2">
      <c r="A95" s="1" t="s">
        <v>462</v>
      </c>
      <c r="B95" s="2">
        <f>+'s1'!M95*0.0098</f>
        <v>0</v>
      </c>
      <c r="C95" s="2">
        <f>+'s1'!N95*0.0098</f>
        <v>3.9</v>
      </c>
      <c r="D95" s="2">
        <f>+'s1'!O95*0.0098</f>
        <v>0</v>
      </c>
      <c r="E95" s="2">
        <f>+'s1'!P95*0.0098</f>
        <v>8.11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</f>
        <v>634.59</v>
      </c>
      <c r="M95" s="2">
        <f>+'s1'!X95*0.0098</f>
        <v>0.7</v>
      </c>
      <c r="N95" s="2">
        <f>+'s1'!Y95*0.0098</f>
        <v>0</v>
      </c>
      <c r="O95" s="2">
        <f>+'s1'!Z95*0.0098</f>
        <v>0</v>
      </c>
      <c r="P95" s="2">
        <f>+'s1'!AA95*0.0098</f>
        <v>0</v>
      </c>
      <c r="Q95" s="2">
        <f>+'s1'!AB95*0.0098</f>
        <v>16.13</v>
      </c>
      <c r="R95" s="2">
        <f>+'s1'!AC95*0.0098</f>
        <v>0</v>
      </c>
      <c r="S95" s="2">
        <f>SUM(B95:R95)</f>
        <v>663.43</v>
      </c>
      <c r="T95" s="1"/>
    </row>
    <row r="96" spans="1:20" x14ac:dyDescent="0.2">
      <c r="A96" s="18" t="s">
        <v>62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457.06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17.670000000000002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2">
        <f t="shared" ref="S96:S110" si="5">SUM(B96:R96)</f>
        <v>474.73</v>
      </c>
      <c r="T96" s="2"/>
    </row>
    <row r="97" spans="1:20" s="20" customFormat="1" x14ac:dyDescent="0.2">
      <c r="A97" s="1" t="s">
        <v>63</v>
      </c>
      <c r="B97" s="2">
        <f>+'s1'!M97*0.0098</f>
        <v>0</v>
      </c>
      <c r="C97" s="2">
        <f>+'s1'!N97*0.0098</f>
        <v>0</v>
      </c>
      <c r="D97" s="2">
        <f>+'s1'!O97*0.0098</f>
        <v>0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0</v>
      </c>
      <c r="R97" s="2">
        <f>+'s1'!AC97*0.0098</f>
        <v>49.47</v>
      </c>
      <c r="S97" s="78">
        <f t="shared" si="5"/>
        <v>49.47</v>
      </c>
      <c r="T97" s="78"/>
    </row>
    <row r="98" spans="1:20" x14ac:dyDescent="0.2">
      <c r="A98" s="1" t="s">
        <v>64</v>
      </c>
      <c r="B98" s="2">
        <f>+'s1'!M98*0.0098</f>
        <v>0</v>
      </c>
      <c r="C98" s="2">
        <f>+'s1'!N98*0.0098</f>
        <v>0</v>
      </c>
      <c r="D98" s="2">
        <f>+'s1'!O98*0.0098</f>
        <v>0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228.04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20.22</v>
      </c>
      <c r="P98" s="2">
        <f>+'s1'!AA98*0.0098</f>
        <v>0</v>
      </c>
      <c r="Q98" s="2">
        <f>+'s1'!AB98*0.0098</f>
        <v>0</v>
      </c>
      <c r="R98" s="2">
        <f>+'s1'!AC98*0.0098</f>
        <v>0</v>
      </c>
      <c r="S98" s="2">
        <f>SUM(B98:R98)</f>
        <v>248.26</v>
      </c>
      <c r="T98" s="2"/>
    </row>
    <row r="99" spans="1:20" s="20" customFormat="1" x14ac:dyDescent="0.2">
      <c r="A99" s="18" t="s">
        <v>721</v>
      </c>
      <c r="B99" s="2">
        <f>+'s1'!M99*0.0098</f>
        <v>0</v>
      </c>
      <c r="C99" s="2">
        <f>+'s1'!N99*0.0098</f>
        <v>0</v>
      </c>
      <c r="D99" s="2">
        <f>+'s1'!O99*0.0098</f>
        <v>0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0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3731.11</v>
      </c>
      <c r="R99" s="2">
        <f>+'s1'!AC99*0.0098</f>
        <v>0</v>
      </c>
      <c r="S99" s="78">
        <f>SUM(B99:R99)</f>
        <v>3731.11</v>
      </c>
      <c r="T99" s="78"/>
    </row>
    <row r="100" spans="1:20" s="20" customFormat="1" x14ac:dyDescent="0.2">
      <c r="A100" s="18" t="s">
        <v>65</v>
      </c>
      <c r="B100" s="2">
        <f>+'s1'!M100*0.0098</f>
        <v>0</v>
      </c>
      <c r="C100" s="2">
        <f>+'s1'!N100*0.0098</f>
        <v>0</v>
      </c>
      <c r="D100" s="2">
        <f>+'s1'!O100*0.0098</f>
        <v>25.7</v>
      </c>
      <c r="E100" s="2">
        <f>+'s1'!P100*0.0098</f>
        <v>0</v>
      </c>
      <c r="F100" s="2">
        <f>+'s1'!Q100*0.0098</f>
        <v>0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0</v>
      </c>
      <c r="M100" s="2">
        <f>+'s1'!X100*0.0098</f>
        <v>0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8">
        <f t="shared" si="5"/>
        <v>25.7</v>
      </c>
      <c r="T100" s="78"/>
    </row>
    <row r="101" spans="1:20" s="20" customFormat="1" x14ac:dyDescent="0.2">
      <c r="A101" s="18" t="s">
        <v>569</v>
      </c>
      <c r="B101" s="2">
        <f>+'s1'!M101*0.0098</f>
        <v>0</v>
      </c>
      <c r="C101" s="2">
        <f>+'s1'!N101*0.0098</f>
        <v>0</v>
      </c>
      <c r="D101" s="2">
        <f>+'s1'!O101*0.0098</f>
        <v>0</v>
      </c>
      <c r="E101" s="2">
        <f>+'s1'!P101*0.0098</f>
        <v>0</v>
      </c>
      <c r="F101" s="2">
        <f>+'s1'!Q101*0.0098</f>
        <v>0</v>
      </c>
      <c r="G101" s="2">
        <f>+'s1'!R101*0.0098</f>
        <v>0</v>
      </c>
      <c r="H101" s="2">
        <f>+'s1'!S101*0.0098</f>
        <v>306.5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0</v>
      </c>
      <c r="P101" s="2">
        <f>+'s1'!AA101*0.0098</f>
        <v>0</v>
      </c>
      <c r="Q101" s="2">
        <f>+'s1'!AB101*0.0098</f>
        <v>0</v>
      </c>
      <c r="R101" s="2">
        <f>+'s1'!AC101*0.0098</f>
        <v>0</v>
      </c>
      <c r="S101" s="78">
        <f t="shared" si="5"/>
        <v>306.5</v>
      </c>
      <c r="T101" s="78"/>
    </row>
    <row r="102" spans="1:20" s="20" customFormat="1" x14ac:dyDescent="0.2">
      <c r="A102" s="18" t="s">
        <v>441</v>
      </c>
      <c r="B102" s="2">
        <f>+'s1'!M102*0.0098</f>
        <v>0</v>
      </c>
      <c r="C102" s="2">
        <f>+'s1'!N102*0.0098</f>
        <v>0</v>
      </c>
      <c r="D102" s="2">
        <f>+'s1'!O102*0.0098</f>
        <v>7398.21</v>
      </c>
      <c r="E102" s="2">
        <f>+'s1'!P102*0.0098</f>
        <v>0</v>
      </c>
      <c r="F102" s="2">
        <f>+'s1'!Q102*0.0098</f>
        <v>1643.95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2052.06</v>
      </c>
      <c r="M102" s="2">
        <f>+'s1'!X102*0.0098</f>
        <v>0</v>
      </c>
      <c r="N102" s="2">
        <f>+'s1'!Y102*0.0098</f>
        <v>2307.15</v>
      </c>
      <c r="O102" s="2">
        <f>+'s1'!Z102*0.0098</f>
        <v>0</v>
      </c>
      <c r="P102" s="2">
        <f>+'s1'!AA102*0.0098</f>
        <v>0</v>
      </c>
      <c r="Q102" s="2">
        <f>+'s1'!AB102*0.0098</f>
        <v>0</v>
      </c>
      <c r="R102" s="2">
        <f>+'s1'!AC102*0.0098</f>
        <v>0</v>
      </c>
      <c r="S102" s="78">
        <f t="shared" si="5"/>
        <v>13401.37</v>
      </c>
      <c r="T102" s="78"/>
    </row>
    <row r="103" spans="1:20" s="20" customFormat="1" x14ac:dyDescent="0.2">
      <c r="A103" s="18" t="s">
        <v>66</v>
      </c>
      <c r="B103" s="2">
        <f>+'s1'!M103*0.0098</f>
        <v>0</v>
      </c>
      <c r="C103" s="2">
        <f>+'s1'!N103*0.0098</f>
        <v>1254.8499999999999</v>
      </c>
      <c r="D103" s="2">
        <f>+'s1'!O103*0.0098</f>
        <v>0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8">
        <f t="shared" si="5"/>
        <v>1254.8499999999999</v>
      </c>
      <c r="T103" s="18"/>
    </row>
    <row r="104" spans="1:20" s="20" customFormat="1" x14ac:dyDescent="0.2">
      <c r="A104" s="18" t="s">
        <v>477</v>
      </c>
      <c r="B104" s="2">
        <f>+'s1'!M104*0.0098</f>
        <v>3854.42</v>
      </c>
      <c r="C104" s="2">
        <f>+'s1'!N104*0.0098</f>
        <v>0</v>
      </c>
      <c r="D104" s="2">
        <f>+'s1'!O104*0.0098</f>
        <v>12006.22</v>
      </c>
      <c r="E104" s="2">
        <f>+'s1'!P104*0.0098</f>
        <v>768.59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287.20999999999998</v>
      </c>
      <c r="N104" s="2">
        <f>+'s1'!Y104*0.0098</f>
        <v>63.19</v>
      </c>
      <c r="O104" s="2">
        <f>+'s1'!Z104*0.0098</f>
        <v>0</v>
      </c>
      <c r="P104" s="2">
        <f>+'s1'!AA104*0.0098</f>
        <v>0</v>
      </c>
      <c r="Q104" s="2">
        <f>+'s1'!AB104*0.0098</f>
        <v>8967.23</v>
      </c>
      <c r="R104" s="2">
        <f>+'s1'!AC104*0.0098</f>
        <v>0</v>
      </c>
      <c r="S104" s="78">
        <f t="shared" si="5"/>
        <v>25946.86</v>
      </c>
      <c r="T104" s="78"/>
    </row>
    <row r="105" spans="1:20" s="20" customFormat="1" x14ac:dyDescent="0.2">
      <c r="A105" s="18" t="s">
        <v>67</v>
      </c>
      <c r="B105" s="2">
        <f>+'s1'!M105*0.0098</f>
        <v>0</v>
      </c>
      <c r="C105" s="2">
        <f>+'s1'!N105*0.0098</f>
        <v>0</v>
      </c>
      <c r="D105" s="2">
        <f>+'s1'!O105*0.0098</f>
        <v>0</v>
      </c>
      <c r="E105" s="2">
        <f>+'s1'!P105*0.0098</f>
        <v>0</v>
      </c>
      <c r="F105" s="2">
        <f>+'s1'!Q105*0.0098</f>
        <v>239.58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0</v>
      </c>
      <c r="R105" s="2">
        <f>+'s1'!AC105*0.0098</f>
        <v>2.4900000000000002</v>
      </c>
      <c r="S105" s="78">
        <f t="shared" si="5"/>
        <v>242.07</v>
      </c>
      <c r="T105" s="78"/>
    </row>
    <row r="106" spans="1:20" s="20" customFormat="1" x14ac:dyDescent="0.2">
      <c r="A106" s="18" t="s">
        <v>83</v>
      </c>
      <c r="B106" s="2">
        <f>+'s1'!M106*0.0098</f>
        <v>0</v>
      </c>
      <c r="C106" s="2">
        <f>+'s1'!N106*0.0098</f>
        <v>0</v>
      </c>
      <c r="D106" s="2">
        <f>+'s1'!O106*0.0098</f>
        <v>1739.35</v>
      </c>
      <c r="E106" s="2">
        <f>+'s1'!P106*0.0098</f>
        <v>0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0</v>
      </c>
      <c r="R106" s="2">
        <f>+'s1'!AC106*0.0098</f>
        <v>0</v>
      </c>
      <c r="S106" s="78">
        <f t="shared" si="5"/>
        <v>1739.35</v>
      </c>
      <c r="T106" s="78"/>
    </row>
    <row r="107" spans="1:20" s="20" customFormat="1" ht="13.5" customHeight="1" x14ac:dyDescent="0.2">
      <c r="A107" s="18" t="s">
        <v>352</v>
      </c>
      <c r="B107" s="2">
        <f>+'s1'!M107*0.0098</f>
        <v>0</v>
      </c>
      <c r="C107" s="2">
        <f>+'s1'!N107*0.0098</f>
        <v>0</v>
      </c>
      <c r="D107" s="2">
        <f>+'s1'!O107*0.0098</f>
        <v>1555.71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551.46</v>
      </c>
      <c r="P107" s="2">
        <f>+'s1'!AA107*0.0098</f>
        <v>0</v>
      </c>
      <c r="Q107" s="2">
        <f>+'s1'!AB107*0.0098</f>
        <v>1689.35</v>
      </c>
      <c r="R107" s="2">
        <f>+'s1'!AC107*0.0098</f>
        <v>0</v>
      </c>
      <c r="S107" s="78">
        <f t="shared" si="5"/>
        <v>3796.52</v>
      </c>
      <c r="T107" s="78"/>
    </row>
    <row r="108" spans="1:20" s="20" customFormat="1" x14ac:dyDescent="0.2">
      <c r="A108" s="18" t="s">
        <v>365</v>
      </c>
      <c r="B108" s="2">
        <f>+'s1'!M108*0.0098</f>
        <v>0</v>
      </c>
      <c r="C108" s="2">
        <f>+'s1'!N108*0.0098</f>
        <v>0</v>
      </c>
      <c r="D108" s="2">
        <f>+'s1'!O108*0.0098</f>
        <v>757.6</v>
      </c>
      <c r="E108" s="2">
        <f>+'s1'!P108*0.0098</f>
        <v>1441.06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1056.68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3909.79</v>
      </c>
      <c r="R108" s="2">
        <f>+'s1'!AC108*0.0098</f>
        <v>0</v>
      </c>
      <c r="S108" s="78">
        <f t="shared" si="5"/>
        <v>7165.13</v>
      </c>
      <c r="T108" s="78"/>
    </row>
    <row r="109" spans="1:20" s="20" customFormat="1" x14ac:dyDescent="0.2">
      <c r="A109" s="1" t="s">
        <v>68</v>
      </c>
      <c r="B109" s="2">
        <f>+'s1'!M109*0.0098</f>
        <v>0</v>
      </c>
      <c r="C109" s="2">
        <f>+'s1'!N109*0.0098</f>
        <v>0</v>
      </c>
      <c r="D109" s="2">
        <f>+'s1'!O109*0.0098</f>
        <v>237.5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0</v>
      </c>
      <c r="R109" s="2">
        <f>+'s1'!AC109*0.0098</f>
        <v>0</v>
      </c>
      <c r="S109" s="78">
        <f t="shared" si="5"/>
        <v>237.5</v>
      </c>
      <c r="T109" s="78"/>
    </row>
    <row r="110" spans="1:20" s="20" customFormat="1" x14ac:dyDescent="0.2">
      <c r="A110" s="1" t="s">
        <v>69</v>
      </c>
      <c r="B110" s="2">
        <f>+'s1'!M110*0.0098</f>
        <v>0</v>
      </c>
      <c r="C110" s="2">
        <f>+'s1'!N110*0.0098</f>
        <v>463.5</v>
      </c>
      <c r="D110" s="2">
        <f>+'s1'!O110*0.0098</f>
        <v>0</v>
      </c>
      <c r="E110" s="2">
        <f>+'s1'!P110*0.0098</f>
        <v>0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587.63</v>
      </c>
      <c r="M110" s="2">
        <f>+'s1'!X110*0.0098</f>
        <v>684.3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931.97</v>
      </c>
      <c r="R110" s="2">
        <f>+'s1'!AC110*0.0098</f>
        <v>0</v>
      </c>
      <c r="S110" s="78">
        <f t="shared" si="5"/>
        <v>2667.4</v>
      </c>
      <c r="T110" s="78"/>
    </row>
    <row r="111" spans="1:20" x14ac:dyDescent="0.2">
      <c r="A111" s="1" t="s">
        <v>570</v>
      </c>
      <c r="B111" s="2">
        <f>+'s1'!M111*0.0098</f>
        <v>1834.04</v>
      </c>
      <c r="C111" s="2">
        <f>+'s1'!N111*0.0098</f>
        <v>0</v>
      </c>
      <c r="D111" s="2">
        <f>+'s1'!O111*0.0098</f>
        <v>44593.64</v>
      </c>
      <c r="E111" s="2">
        <f>+'s1'!P111*0.0098</f>
        <v>1500.96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618.04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16569.189999999999</v>
      </c>
      <c r="R111" s="2">
        <f>+'s1'!AC111*0.0098</f>
        <v>0</v>
      </c>
      <c r="S111" s="2">
        <f>SUM(B111:R111)</f>
        <v>65115.87</v>
      </c>
      <c r="T111" s="2"/>
    </row>
    <row r="112" spans="1:20" ht="13.5" customHeight="1" x14ac:dyDescent="0.2">
      <c r="A112" s="1" t="s">
        <v>695</v>
      </c>
      <c r="B112" s="2">
        <f>+'s1'!M112*0.0098</f>
        <v>0</v>
      </c>
      <c r="C112" s="2">
        <f>+'s1'!N112*0.0098</f>
        <v>0</v>
      </c>
      <c r="D112" s="2">
        <f>+'s1'!O112*0.0098</f>
        <v>407.33</v>
      </c>
      <c r="E112" s="2">
        <f>+'s1'!P112*0.0098</f>
        <v>0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0</v>
      </c>
      <c r="R112" s="2">
        <f>+'s1'!AC112*0.0098</f>
        <v>0</v>
      </c>
      <c r="S112" s="2">
        <f>SUM(B112:R112)</f>
        <v>407.33</v>
      </c>
      <c r="T112" s="1"/>
    </row>
    <row r="113" spans="1:20" s="20" customFormat="1" x14ac:dyDescent="0.2">
      <c r="A113" s="1" t="s">
        <v>443</v>
      </c>
      <c r="B113" s="2">
        <f>+'s1'!M113*0.0098</f>
        <v>0</v>
      </c>
      <c r="C113" s="2">
        <f>+'s1'!N113*0.0098</f>
        <v>0</v>
      </c>
      <c r="D113" s="2">
        <f>+'s1'!O113*0.0098</f>
        <v>920.44</v>
      </c>
      <c r="E113" s="2">
        <f>+'s1'!P113*0.0098</f>
        <v>0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0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172.14</v>
      </c>
      <c r="R113" s="2">
        <f>+'s1'!AC113*0.0098</f>
        <v>0</v>
      </c>
      <c r="S113" s="78">
        <f>SUM(B113:R113)</f>
        <v>1092.58</v>
      </c>
      <c r="T113" s="78"/>
    </row>
    <row r="114" spans="1:20" s="89" customFormat="1" x14ac:dyDescent="0.2">
      <c r="A114" s="18" t="s">
        <v>745</v>
      </c>
      <c r="B114" s="2">
        <f>+'s1'!M114*0.0098</f>
        <v>0</v>
      </c>
      <c r="C114" s="2">
        <f>+'s1'!N114*0.0098</f>
        <v>0</v>
      </c>
      <c r="D114" s="2">
        <f>+'s1'!O114*0.0098</f>
        <v>-14.39</v>
      </c>
      <c r="E114" s="2">
        <f>+'s1'!P114*0.0098</f>
        <v>0</v>
      </c>
      <c r="F114" s="2">
        <f>+'s1'!Q114*0.0098</f>
        <v>0</v>
      </c>
      <c r="G114" s="2">
        <f>+'s1'!R114*0.0098</f>
        <v>0</v>
      </c>
      <c r="H114" s="2">
        <f>+'s1'!S114*0.0098</f>
        <v>0</v>
      </c>
      <c r="I114" s="2">
        <f>+'s1'!T114*0.0098</f>
        <v>0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0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0</v>
      </c>
      <c r="R114" s="2">
        <f>+'s1'!AC114*0.0098</f>
        <v>0</v>
      </c>
      <c r="S114" s="78">
        <f>SUM(B114:R114)</f>
        <v>-14.39</v>
      </c>
      <c r="T114" s="10"/>
    </row>
    <row r="115" spans="1:20" s="89" customFormat="1" x14ac:dyDescent="0.2">
      <c r="A115" s="1" t="s">
        <v>493</v>
      </c>
      <c r="B115" s="2">
        <f>+'s1'!M115*0.0098</f>
        <v>0</v>
      </c>
      <c r="C115" s="2">
        <f>+'s1'!N115*0.0098</f>
        <v>0</v>
      </c>
      <c r="D115" s="2">
        <f>+'s1'!O115*0.0098</f>
        <v>2.8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0</v>
      </c>
      <c r="R115" s="2">
        <f>+'s1'!AC115*0.0098</f>
        <v>0</v>
      </c>
      <c r="S115" s="78">
        <f t="shared" ref="S115:S122" si="6">SUM(B115:R115)</f>
        <v>2.8</v>
      </c>
      <c r="T115" s="10"/>
    </row>
    <row r="116" spans="1:20" s="89" customFormat="1" x14ac:dyDescent="0.2">
      <c r="A116" s="1" t="s">
        <v>84</v>
      </c>
      <c r="B116" s="2">
        <f>+'s1'!M116*0.0098</f>
        <v>0</v>
      </c>
      <c r="C116" s="2">
        <f>+'s1'!N116*0.0098</f>
        <v>0</v>
      </c>
      <c r="D116" s="2">
        <f>+'s1'!O116*0.0098</f>
        <v>0</v>
      </c>
      <c r="E116" s="2">
        <f>+'s1'!P116*0.0098</f>
        <v>0</v>
      </c>
      <c r="F116" s="2">
        <f>+'s1'!Q116*0.0098</f>
        <v>48.93</v>
      </c>
      <c r="G116" s="2">
        <f>+'s1'!R116*0.0098</f>
        <v>0</v>
      </c>
      <c r="H116" s="2">
        <f>+'s1'!S116*0.0098</f>
        <v>0</v>
      </c>
      <c r="I116" s="2">
        <f>+'s1'!T116*0.0098</f>
        <v>209.72</v>
      </c>
      <c r="J116" s="2">
        <f>+'s1'!U116*0.0098</f>
        <v>0</v>
      </c>
      <c r="K116" s="2">
        <f>+'s1'!V116*0.0098</f>
        <v>0</v>
      </c>
      <c r="L116" s="2">
        <f>+'s1'!W116*0.0098</f>
        <v>0</v>
      </c>
      <c r="M116" s="2">
        <f>+'s1'!X116*0.0098</f>
        <v>0</v>
      </c>
      <c r="N116" s="2">
        <f>+'s1'!Y116*0.0098</f>
        <v>0</v>
      </c>
      <c r="O116" s="2">
        <f>+'s1'!Z116*0.0098</f>
        <v>0</v>
      </c>
      <c r="P116" s="2">
        <f>+'s1'!AA116*0.0098</f>
        <v>0</v>
      </c>
      <c r="Q116" s="2">
        <f>+'s1'!AB116*0.0098</f>
        <v>0</v>
      </c>
      <c r="R116" s="2">
        <f>+'s1'!AC116*0.0098</f>
        <v>0</v>
      </c>
      <c r="S116" s="78">
        <f t="shared" si="6"/>
        <v>258.64999999999998</v>
      </c>
      <c r="T116" s="10"/>
    </row>
    <row r="117" spans="1:20" s="89" customFormat="1" x14ac:dyDescent="0.2">
      <c r="A117" s="1" t="s">
        <v>476</v>
      </c>
      <c r="B117" s="2">
        <f>+'s1'!M117*0.0098</f>
        <v>0</v>
      </c>
      <c r="C117" s="2">
        <f>+'s1'!N117*0.0098</f>
        <v>0</v>
      </c>
      <c r="D117" s="2">
        <f>+'s1'!O117*0.0098</f>
        <v>1.25</v>
      </c>
      <c r="E117" s="2">
        <f>+'s1'!P117*0.0098</f>
        <v>0</v>
      </c>
      <c r="F117" s="2">
        <f>+'s1'!Q117*0.0098</f>
        <v>0</v>
      </c>
      <c r="G117" s="2">
        <f>+'s1'!R117*0.0098</f>
        <v>0</v>
      </c>
      <c r="H117" s="2">
        <f>+'s1'!S117*0.0098</f>
        <v>0</v>
      </c>
      <c r="I117" s="2">
        <f>+'s1'!T117*0.0098</f>
        <v>0</v>
      </c>
      <c r="J117" s="2">
        <f>+'s1'!U117*0.0098</f>
        <v>0</v>
      </c>
      <c r="K117" s="2">
        <f>+'s1'!V117*0.0098</f>
        <v>0</v>
      </c>
      <c r="L117" s="2">
        <f>+'s1'!W117*0.0098</f>
        <v>0</v>
      </c>
      <c r="M117" s="2">
        <f>+'s1'!X117*0.0098</f>
        <v>0</v>
      </c>
      <c r="N117" s="2">
        <f>+'s1'!Y117*0.0098</f>
        <v>0</v>
      </c>
      <c r="O117" s="2">
        <f>+'s1'!Z117*0.0098</f>
        <v>0</v>
      </c>
      <c r="P117" s="2">
        <f>+'s1'!AA117*0.0098</f>
        <v>0</v>
      </c>
      <c r="Q117" s="2">
        <f>+'s1'!AB117*0.0098</f>
        <v>0</v>
      </c>
      <c r="R117" s="2">
        <f>+'s1'!AC117*0.0098</f>
        <v>0</v>
      </c>
      <c r="S117" s="78">
        <f t="shared" si="6"/>
        <v>1.25</v>
      </c>
      <c r="T117" s="10"/>
    </row>
    <row r="118" spans="1:20" s="89" customFormat="1" x14ac:dyDescent="0.2">
      <c r="A118" s="18" t="s">
        <v>571</v>
      </c>
      <c r="B118" s="2">
        <f>+'s1'!M118*0.0098</f>
        <v>0</v>
      </c>
      <c r="C118" s="2">
        <f>+'s1'!N118*0.0098</f>
        <v>0</v>
      </c>
      <c r="D118" s="2">
        <f>+'s1'!O118*0.0098</f>
        <v>6286.55</v>
      </c>
      <c r="E118" s="2">
        <f>+'s1'!P118*0.0098</f>
        <v>0</v>
      </c>
      <c r="F118" s="2">
        <f>+'s1'!Q118*0.0098</f>
        <v>0</v>
      </c>
      <c r="G118" s="2">
        <f>+'s1'!R118*0.0098</f>
        <v>0</v>
      </c>
      <c r="H118" s="2">
        <f>+'s1'!S118*0.0098</f>
        <v>0</v>
      </c>
      <c r="I118" s="2">
        <f>+'s1'!T118*0.0098</f>
        <v>0</v>
      </c>
      <c r="J118" s="2">
        <f>+'s1'!U118*0.0098</f>
        <v>0</v>
      </c>
      <c r="K118" s="2">
        <f>+'s1'!V118*0.0098</f>
        <v>0</v>
      </c>
      <c r="L118" s="2">
        <f>+'s1'!W118*0.0098</f>
        <v>0</v>
      </c>
      <c r="M118" s="2">
        <f>+'s1'!X118*0.0098</f>
        <v>0</v>
      </c>
      <c r="N118" s="2">
        <f>+'s1'!Y118*0.0098</f>
        <v>0</v>
      </c>
      <c r="O118" s="2">
        <f>+'s1'!Z118*0.0098</f>
        <v>0</v>
      </c>
      <c r="P118" s="2">
        <f>+'s1'!AA118*0.0098</f>
        <v>0</v>
      </c>
      <c r="Q118" s="2">
        <f>+'s1'!AB118*0.0098</f>
        <v>2660.21</v>
      </c>
      <c r="R118" s="2">
        <f>+'s1'!AC118*0.0098</f>
        <v>0</v>
      </c>
      <c r="S118" s="78">
        <f t="shared" si="6"/>
        <v>8946.76</v>
      </c>
      <c r="T118" s="10"/>
    </row>
    <row r="119" spans="1:20" s="89" customFormat="1" x14ac:dyDescent="0.2">
      <c r="A119" s="18" t="s">
        <v>785</v>
      </c>
      <c r="B119" s="2">
        <f>+'s1'!M119*0.0098</f>
        <v>0</v>
      </c>
      <c r="C119" s="2">
        <f>+'s1'!N119*0.0098</f>
        <v>-5090.3500000000004</v>
      </c>
      <c r="D119" s="2">
        <f>+'s1'!O119*0.0098</f>
        <v>5090.3500000000004</v>
      </c>
      <c r="E119" s="2">
        <f>+'s1'!P119*0.0098</f>
        <v>0</v>
      </c>
      <c r="F119" s="2">
        <f>+'s1'!Q119*0.0098</f>
        <v>0</v>
      </c>
      <c r="G119" s="2">
        <f>+'s1'!R119*0.0098</f>
        <v>0</v>
      </c>
      <c r="H119" s="2">
        <f>+'s1'!S119*0.0098</f>
        <v>0</v>
      </c>
      <c r="I119" s="2">
        <f>+'s1'!T119*0.0098</f>
        <v>0</v>
      </c>
      <c r="J119" s="2">
        <f>+'s1'!U119*0.0098</f>
        <v>0</v>
      </c>
      <c r="K119" s="2">
        <f>+'s1'!V119*0.0098</f>
        <v>0</v>
      </c>
      <c r="L119" s="2">
        <f>+'s1'!W119*0.0098</f>
        <v>0</v>
      </c>
      <c r="M119" s="2">
        <f>+'s1'!X119*0.0098</f>
        <v>0</v>
      </c>
      <c r="N119" s="2">
        <f>+'s1'!Y119*0.0098</f>
        <v>0</v>
      </c>
      <c r="O119" s="2">
        <f>+'s1'!Z119*0.0098</f>
        <v>0</v>
      </c>
      <c r="P119" s="2">
        <f>+'s1'!AA119*0.0098</f>
        <v>0</v>
      </c>
      <c r="Q119" s="2">
        <f>+'s1'!AB119*0.0098</f>
        <v>0</v>
      </c>
      <c r="R119" s="2">
        <f>+'s1'!AC119*0.0098</f>
        <v>0</v>
      </c>
      <c r="S119" s="78">
        <f>SUM(B119:R119)</f>
        <v>0</v>
      </c>
      <c r="T119" s="10"/>
    </row>
    <row r="120" spans="1:20" s="89" customFormat="1" x14ac:dyDescent="0.2">
      <c r="A120" s="18" t="s">
        <v>70</v>
      </c>
      <c r="B120" s="2">
        <f>+'s1'!M120*0.0098</f>
        <v>0</v>
      </c>
      <c r="C120" s="2">
        <f>+'s1'!N120*0.0098</f>
        <v>0</v>
      </c>
      <c r="D120" s="2">
        <f>+'s1'!O120*0.0098</f>
        <v>0</v>
      </c>
      <c r="E120" s="2">
        <f>+'s1'!P120*0.0098</f>
        <v>0</v>
      </c>
      <c r="F120" s="2">
        <f>+'s1'!Q120*0.0098</f>
        <v>0</v>
      </c>
      <c r="G120" s="2">
        <f>+'s1'!R120*0.0098</f>
        <v>0</v>
      </c>
      <c r="H120" s="2">
        <f>+'s1'!S120*0.0098</f>
        <v>0</v>
      </c>
      <c r="I120" s="2">
        <f>+'s1'!T120*0.0098</f>
        <v>0</v>
      </c>
      <c r="J120" s="2">
        <f>+'s1'!U120*0.0098</f>
        <v>0</v>
      </c>
      <c r="K120" s="2">
        <f>+'s1'!V120*0.0098</f>
        <v>0</v>
      </c>
      <c r="L120" s="2">
        <f>+'s1'!W120*0.0098</f>
        <v>0</v>
      </c>
      <c r="M120" s="2">
        <f>+'s1'!X120*0.0098</f>
        <v>0</v>
      </c>
      <c r="N120" s="2">
        <f>+'s1'!Y120*0.0098</f>
        <v>0</v>
      </c>
      <c r="O120" s="2">
        <f>+'s1'!Z120*0.0098</f>
        <v>0</v>
      </c>
      <c r="P120" s="2">
        <f>+'s1'!AA120*0.0098</f>
        <v>0</v>
      </c>
      <c r="Q120" s="2">
        <f>+'s1'!AB120*0.0098</f>
        <v>1609.68</v>
      </c>
      <c r="R120" s="2">
        <f>+'s1'!AC120*0.0098</f>
        <v>0</v>
      </c>
      <c r="S120" s="78">
        <f t="shared" si="6"/>
        <v>1609.68</v>
      </c>
      <c r="T120" s="10"/>
    </row>
    <row r="121" spans="1:20" s="89" customFormat="1" x14ac:dyDescent="0.2">
      <c r="A121" s="1" t="s">
        <v>71</v>
      </c>
      <c r="B121" s="2">
        <f>+'s1'!M121*0.0098</f>
        <v>0</v>
      </c>
      <c r="C121" s="2">
        <f>+'s1'!N121*0.0098</f>
        <v>1533.23</v>
      </c>
      <c r="D121" s="2">
        <f>+'s1'!O121*0.0098</f>
        <v>0</v>
      </c>
      <c r="E121" s="2">
        <f>+'s1'!P121*0.0098</f>
        <v>0</v>
      </c>
      <c r="F121" s="2">
        <f>+'s1'!Q121*0.0098</f>
        <v>0</v>
      </c>
      <c r="G121" s="2">
        <f>+'s1'!R121*0.0098</f>
        <v>21.7</v>
      </c>
      <c r="H121" s="2">
        <f>+'s1'!S121*0.0098</f>
        <v>0</v>
      </c>
      <c r="I121" s="2">
        <f>+'s1'!T121*0.0098</f>
        <v>0</v>
      </c>
      <c r="J121" s="2">
        <f>+'s1'!U121*0.0098</f>
        <v>0</v>
      </c>
      <c r="K121" s="2">
        <f>+'s1'!V121*0.0098</f>
        <v>0</v>
      </c>
      <c r="L121" s="2">
        <f>+'s1'!W121*0.0098</f>
        <v>0</v>
      </c>
      <c r="M121" s="2">
        <f>+'s1'!X121*0.0098</f>
        <v>813.59</v>
      </c>
      <c r="N121" s="2">
        <f>+'s1'!Y121*0.0098</f>
        <v>0</v>
      </c>
      <c r="O121" s="2">
        <f>+'s1'!Z121*0.0098</f>
        <v>0</v>
      </c>
      <c r="P121" s="2">
        <f>+'s1'!AA121*0.0098</f>
        <v>0</v>
      </c>
      <c r="Q121" s="2">
        <f>+'s1'!AB121*0.0098</f>
        <v>0</v>
      </c>
      <c r="R121" s="2">
        <f>+'s1'!AC121*0.0098</f>
        <v>0</v>
      </c>
      <c r="S121" s="78">
        <f t="shared" si="6"/>
        <v>2368.52</v>
      </c>
      <c r="T121" s="10"/>
    </row>
    <row r="122" spans="1:20" s="89" customFormat="1" x14ac:dyDescent="0.2">
      <c r="A122" s="1" t="s">
        <v>363</v>
      </c>
      <c r="B122" s="2">
        <f>+'s1'!M122*0.0098</f>
        <v>0</v>
      </c>
      <c r="C122" s="2">
        <f>+'s1'!N122*0.0098</f>
        <v>0</v>
      </c>
      <c r="D122" s="2">
        <f>+'s1'!O122*0.0098</f>
        <v>1451.97</v>
      </c>
      <c r="E122" s="2">
        <f>+'s1'!P122*0.0098</f>
        <v>0</v>
      </c>
      <c r="F122" s="2">
        <f>+'s1'!Q122*0.0098</f>
        <v>0</v>
      </c>
      <c r="G122" s="2">
        <f>+'s1'!R122*0.0098</f>
        <v>0</v>
      </c>
      <c r="H122" s="2">
        <f>+'s1'!S122*0.0098</f>
        <v>0</v>
      </c>
      <c r="I122" s="2">
        <f>+'s1'!T122*0.0098</f>
        <v>0</v>
      </c>
      <c r="J122" s="2">
        <f>+'s1'!U122*0.0098</f>
        <v>0</v>
      </c>
      <c r="K122" s="2">
        <f>+'s1'!V122*0.0098</f>
        <v>0</v>
      </c>
      <c r="L122" s="2">
        <f>+'s1'!W122*0.0098</f>
        <v>0</v>
      </c>
      <c r="M122" s="2">
        <f>+'s1'!X122*0.0098</f>
        <v>0</v>
      </c>
      <c r="N122" s="2">
        <f>+'s1'!Y122*0.0098</f>
        <v>0</v>
      </c>
      <c r="O122" s="2">
        <f>+'s1'!Z122*0.0098</f>
        <v>0</v>
      </c>
      <c r="P122" s="2">
        <f>+'s1'!AA122*0.0098</f>
        <v>0</v>
      </c>
      <c r="Q122" s="2">
        <f>+'s1'!AB122*0.0098</f>
        <v>0</v>
      </c>
      <c r="R122" s="2">
        <f>+'s1'!AC122*0.0098</f>
        <v>0</v>
      </c>
      <c r="S122" s="78">
        <f t="shared" si="6"/>
        <v>1451.97</v>
      </c>
      <c r="T122" s="10"/>
    </row>
    <row r="123" spans="1:20" ht="24.75" customHeight="1" thickBot="1" x14ac:dyDescent="0.25">
      <c r="A123" s="1" t="s">
        <v>12</v>
      </c>
      <c r="B123" s="36">
        <f t="shared" ref="B123:S123" si="7">SUM(B12:B122)</f>
        <v>29792.68</v>
      </c>
      <c r="C123" s="36">
        <f t="shared" si="7"/>
        <v>3342.89</v>
      </c>
      <c r="D123" s="36">
        <f t="shared" si="7"/>
        <v>593707.61</v>
      </c>
      <c r="E123" s="36">
        <f t="shared" si="7"/>
        <v>19702.89</v>
      </c>
      <c r="F123" s="36">
        <f t="shared" si="7"/>
        <v>21084.58</v>
      </c>
      <c r="G123" s="36">
        <f t="shared" si="7"/>
        <v>317.98</v>
      </c>
      <c r="H123" s="36">
        <f t="shared" si="7"/>
        <v>993.6</v>
      </c>
      <c r="I123" s="36">
        <f t="shared" si="7"/>
        <v>13348.44</v>
      </c>
      <c r="J123" s="36">
        <f t="shared" si="7"/>
        <v>3271.93</v>
      </c>
      <c r="K123" s="36">
        <f t="shared" si="7"/>
        <v>1627.87</v>
      </c>
      <c r="L123" s="36">
        <f t="shared" si="7"/>
        <v>14367.37</v>
      </c>
      <c r="M123" s="36">
        <f t="shared" si="7"/>
        <v>2809.16</v>
      </c>
      <c r="N123" s="36">
        <f t="shared" si="7"/>
        <v>21247.58</v>
      </c>
      <c r="O123" s="36">
        <f t="shared" si="7"/>
        <v>2556.2600000000002</v>
      </c>
      <c r="P123" s="36">
        <f t="shared" si="7"/>
        <v>244.93</v>
      </c>
      <c r="Q123" s="36">
        <f t="shared" si="7"/>
        <v>152055.51999999999</v>
      </c>
      <c r="R123" s="36">
        <f t="shared" si="7"/>
        <v>5650.09</v>
      </c>
      <c r="S123" s="36">
        <f t="shared" si="7"/>
        <v>886121.38</v>
      </c>
      <c r="T123" s="1"/>
    </row>
    <row r="124" spans="1:20" hidden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</row>
    <row r="125" spans="1:20" hidden="1" x14ac:dyDescent="0.2">
      <c r="B125" s="2"/>
    </row>
    <row r="126" spans="1:20" hidden="1" x14ac:dyDescent="0.2">
      <c r="S126" s="11">
        <f>SUM(B123:R123)</f>
        <v>886121.38</v>
      </c>
      <c r="T126" t="s">
        <v>106</v>
      </c>
    </row>
    <row r="127" spans="1:20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179"/>
  <sheetViews>
    <sheetView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5.85546875" customWidth="1"/>
    <col min="3" max="3" width="15.7109375" customWidth="1"/>
    <col min="4" max="4" width="17.85546875" customWidth="1"/>
    <col min="5" max="5" width="12.85546875" customWidth="1"/>
    <col min="6" max="6" width="14.28515625" customWidth="1"/>
    <col min="7" max="7" width="12.140625" customWidth="1"/>
    <col min="8" max="8" width="20.140625" customWidth="1"/>
    <col min="9" max="9" width="13.28515625" hidden="1" customWidth="1"/>
    <col min="10" max="10" width="0" hidden="1" customWidth="1"/>
    <col min="11" max="11" width="16.140625" hidden="1" customWidth="1"/>
    <col min="12" max="14" width="13.7109375" hidden="1" customWidth="1"/>
    <col min="15" max="15" width="15.140625" style="295" hidden="1" customWidth="1"/>
    <col min="16" max="16" width="17.28515625" hidden="1" customWidth="1"/>
    <col min="17" max="17" width="13.5703125" hidden="1" customWidth="1"/>
    <col min="18" max="18" width="17.140625" hidden="1" customWidth="1"/>
    <col min="19" max="19" width="14.5703125" hidden="1" customWidth="1"/>
    <col min="20" max="28" width="0" hidden="1" customWidth="1"/>
  </cols>
  <sheetData>
    <row r="1" spans="1:22" ht="15.75" x14ac:dyDescent="0.25">
      <c r="A1" s="63" t="s">
        <v>107</v>
      </c>
      <c r="B1" s="1"/>
      <c r="C1" s="1"/>
      <c r="D1" s="1"/>
      <c r="E1" s="1"/>
      <c r="F1" s="1"/>
      <c r="G1" s="1"/>
      <c r="H1" s="1"/>
      <c r="I1" s="1"/>
      <c r="J1" s="1"/>
      <c r="K1" s="63" t="s">
        <v>107</v>
      </c>
      <c r="L1" s="63"/>
      <c r="N1" s="1"/>
      <c r="O1" s="292"/>
      <c r="P1" s="1"/>
      <c r="Q1" s="1"/>
      <c r="R1" s="1"/>
      <c r="S1" s="1"/>
      <c r="T1" s="1"/>
      <c r="U1" s="1"/>
      <c r="V1" s="1"/>
    </row>
    <row r="2" spans="1:22" ht="15.75" x14ac:dyDescent="0.25">
      <c r="A2" s="116" t="str">
        <f>ReportMonth</f>
        <v>APRIL 2004</v>
      </c>
      <c r="B2" s="1"/>
      <c r="C2" s="1"/>
      <c r="D2" s="1"/>
      <c r="E2" s="1"/>
      <c r="F2" s="1"/>
      <c r="G2" s="1"/>
      <c r="H2" s="1"/>
      <c r="I2" s="2">
        <f>ST5.35</f>
        <v>4738029.24</v>
      </c>
      <c r="J2" s="1"/>
      <c r="K2" s="77" t="str">
        <f>ReportMonth</f>
        <v>APRIL 2004</v>
      </c>
      <c r="L2" s="63"/>
      <c r="M2" s="63"/>
      <c r="N2" s="1"/>
      <c r="O2" s="292"/>
      <c r="P2" s="1"/>
      <c r="Q2" s="1"/>
      <c r="R2" s="1"/>
      <c r="S2" s="1"/>
      <c r="T2" s="1"/>
      <c r="U2" s="1"/>
      <c r="V2" s="1"/>
    </row>
    <row r="3" spans="1:22" ht="14.25" customHeight="1" x14ac:dyDescent="0.2">
      <c r="A3" s="118" t="s">
        <v>108</v>
      </c>
      <c r="B3" s="1"/>
      <c r="D3" s="1"/>
      <c r="E3" s="1"/>
      <c r="F3" s="1"/>
      <c r="G3" s="1"/>
      <c r="H3" s="1"/>
      <c r="I3" s="131">
        <f>LessWP535</f>
        <v>60110.720000000001</v>
      </c>
      <c r="J3" s="1"/>
      <c r="K3" s="118" t="s">
        <v>109</v>
      </c>
      <c r="L3" s="1"/>
      <c r="M3" s="1"/>
      <c r="N3" s="1"/>
      <c r="O3" s="292"/>
      <c r="Q3" s="1"/>
      <c r="R3" s="1"/>
      <c r="S3" s="1"/>
      <c r="T3" s="1"/>
      <c r="U3" s="1"/>
      <c r="V3" s="1"/>
    </row>
    <row r="4" spans="1:22" ht="15.75" x14ac:dyDescent="0.25">
      <c r="A4" s="66" t="s">
        <v>110</v>
      </c>
      <c r="B4" s="42"/>
      <c r="C4" s="42"/>
      <c r="D4" s="42"/>
      <c r="E4" s="42"/>
      <c r="F4" s="42"/>
      <c r="G4" s="1"/>
      <c r="H4" s="1"/>
      <c r="I4" s="12">
        <f>LessAF535</f>
        <v>15805.83</v>
      </c>
      <c r="J4" s="1"/>
      <c r="K4" s="95" t="s">
        <v>111</v>
      </c>
      <c r="L4" s="43"/>
      <c r="M4" s="43"/>
      <c r="N4" s="43"/>
      <c r="O4" s="389"/>
      <c r="P4" s="43"/>
      <c r="Q4" s="43"/>
      <c r="R4" s="43"/>
      <c r="T4" s="1"/>
      <c r="U4" s="1"/>
      <c r="V4" s="1"/>
    </row>
    <row r="5" spans="1:22" x14ac:dyDescent="0.2">
      <c r="G5" s="1"/>
      <c r="H5" s="1"/>
      <c r="I5" s="2">
        <f>SUM(I2-(I3+I4))</f>
        <v>4662112.6900000004</v>
      </c>
      <c r="J5" s="1"/>
      <c r="K5" s="1"/>
      <c r="S5" s="1"/>
      <c r="T5" s="1"/>
      <c r="U5" s="1"/>
      <c r="V5" s="1"/>
    </row>
    <row r="6" spans="1:22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292"/>
      <c r="Q6" s="1"/>
      <c r="R6" s="1"/>
      <c r="S6" s="1"/>
      <c r="T6" s="1"/>
      <c r="U6" s="1"/>
      <c r="V6" s="1"/>
    </row>
    <row r="7" spans="1:22" x14ac:dyDescent="0.2">
      <c r="A7" s="1"/>
      <c r="B7" s="6"/>
      <c r="C7" s="119" t="s">
        <v>113</v>
      </c>
      <c r="D7" s="119" t="s">
        <v>114</v>
      </c>
      <c r="E7" s="119" t="s">
        <v>115</v>
      </c>
      <c r="F7" s="5" t="s">
        <v>73</v>
      </c>
      <c r="G7" s="1"/>
      <c r="H7" s="1"/>
      <c r="I7" s="2">
        <f>SUM($I$5*0.327103)</f>
        <v>1524991.05</v>
      </c>
      <c r="J7" s="1"/>
      <c r="K7" s="1"/>
      <c r="L7" s="1"/>
      <c r="M7" s="1"/>
      <c r="N7" s="1"/>
      <c r="O7" s="390" t="s">
        <v>73</v>
      </c>
      <c r="P7" s="119" t="s">
        <v>116</v>
      </c>
      <c r="Q7" s="119" t="s">
        <v>117</v>
      </c>
      <c r="R7" s="119" t="s">
        <v>118</v>
      </c>
      <c r="S7" s="1"/>
      <c r="T7" s="1"/>
      <c r="U7" s="1"/>
      <c r="V7" s="1"/>
    </row>
    <row r="8" spans="1:22" x14ac:dyDescent="0.2">
      <c r="A8" s="1"/>
      <c r="B8" s="97" t="s">
        <v>119</v>
      </c>
      <c r="C8" s="97" t="s">
        <v>120</v>
      </c>
      <c r="D8" s="97" t="s">
        <v>121</v>
      </c>
      <c r="E8" s="97" t="s">
        <v>122</v>
      </c>
      <c r="F8" s="97" t="s">
        <v>123</v>
      </c>
      <c r="G8" s="1"/>
      <c r="H8" s="1"/>
      <c r="I8" s="2">
        <f>SUM($I$5*0.233645)</f>
        <v>1089279.32</v>
      </c>
      <c r="J8" s="1"/>
      <c r="K8" s="4"/>
      <c r="L8" s="40" t="s">
        <v>124</v>
      </c>
      <c r="M8" s="40" t="s">
        <v>125</v>
      </c>
      <c r="N8" s="40" t="s">
        <v>126</v>
      </c>
      <c r="O8" s="139" t="s">
        <v>127</v>
      </c>
      <c r="P8" s="97" t="s">
        <v>128</v>
      </c>
      <c r="Q8" s="97" t="s">
        <v>129</v>
      </c>
      <c r="R8" s="97" t="s">
        <v>130</v>
      </c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2">
        <f>SUM($I$5*0.439252)</f>
        <v>2047842.32</v>
      </c>
      <c r="J9" s="1"/>
      <c r="K9" s="1"/>
      <c r="L9" s="1"/>
      <c r="M9" s="1"/>
      <c r="N9" s="1"/>
      <c r="O9" s="292"/>
      <c r="P9" s="1"/>
      <c r="Q9" s="1"/>
      <c r="R9" s="1"/>
      <c r="S9" s="1"/>
      <c r="T9" s="1"/>
      <c r="U9" s="1"/>
      <c r="V9" s="1"/>
    </row>
    <row r="10" spans="1:22" x14ac:dyDescent="0.2">
      <c r="A10" s="1" t="s">
        <v>131</v>
      </c>
      <c r="B10" s="7">
        <f>CA</f>
        <v>3040069</v>
      </c>
      <c r="C10" s="30">
        <f t="shared" ref="C10:C26" si="0">SUM(B10/$B$27)</f>
        <v>3.3621681E-2</v>
      </c>
      <c r="D10" s="2">
        <f t="shared" ref="D10:D26" si="1">SUM($I$7*C10)</f>
        <v>51272.76</v>
      </c>
      <c r="E10" s="2">
        <v>26.22</v>
      </c>
      <c r="F10" s="2">
        <f t="shared" ref="F10:F26" si="2">SUM(+D10-E10)</f>
        <v>51246.54</v>
      </c>
      <c r="G10" s="1"/>
      <c r="H10" s="1"/>
      <c r="I10" s="1"/>
      <c r="J10" s="14"/>
      <c r="K10" s="1" t="s">
        <v>131</v>
      </c>
      <c r="L10" s="2">
        <f t="shared" ref="L10:L26" si="3">F10</f>
        <v>51246.54</v>
      </c>
      <c r="M10" s="2">
        <f t="shared" ref="M10:M26" si="4">F37</f>
        <v>18585.38</v>
      </c>
      <c r="N10" s="2">
        <f t="shared" ref="N10:N26" si="5">F68</f>
        <v>0</v>
      </c>
      <c r="O10" s="294">
        <f t="shared" ref="O10:O26" si="6">L10+M10+N10</f>
        <v>69831.92</v>
      </c>
      <c r="P10" s="2">
        <f>NETCAG</f>
        <v>266658.55</v>
      </c>
      <c r="Q10" s="2">
        <f>NETCAG1</f>
        <v>29777.7</v>
      </c>
      <c r="R10" s="2">
        <f t="shared" ref="R10:R26" si="7">SUM(O10:Q10)</f>
        <v>366268.17</v>
      </c>
      <c r="S10" s="1">
        <f t="shared" ref="S10:S26" si="8">L10+M10+N10+P10+Q10</f>
        <v>366268.17</v>
      </c>
      <c r="T10" s="1"/>
      <c r="U10" s="1"/>
      <c r="V10" s="1"/>
    </row>
    <row r="11" spans="1:22" x14ac:dyDescent="0.2">
      <c r="A11" s="1" t="s">
        <v>132</v>
      </c>
      <c r="B11" s="7">
        <f>CH</f>
        <v>341111</v>
      </c>
      <c r="C11" s="30">
        <f t="shared" si="0"/>
        <v>3.772521E-3</v>
      </c>
      <c r="D11" s="2">
        <f t="shared" si="1"/>
        <v>5753.06</v>
      </c>
      <c r="E11" s="2">
        <v>502.56</v>
      </c>
      <c r="F11" s="2">
        <f t="shared" si="2"/>
        <v>5250.5</v>
      </c>
      <c r="G11" s="1"/>
      <c r="H11" s="1"/>
      <c r="I11" s="2">
        <f>SUM(I7:I9)</f>
        <v>4662112.6900000004</v>
      </c>
      <c r="J11" s="14"/>
      <c r="K11" s="1" t="s">
        <v>132</v>
      </c>
      <c r="L11" s="2">
        <f t="shared" si="3"/>
        <v>5250.5</v>
      </c>
      <c r="M11" s="2">
        <f t="shared" si="4"/>
        <v>28846.35</v>
      </c>
      <c r="N11" s="2">
        <f t="shared" si="5"/>
        <v>0</v>
      </c>
      <c r="O11" s="294">
        <f t="shared" si="6"/>
        <v>34096.85</v>
      </c>
      <c r="P11" s="2">
        <f>NETCHG</f>
        <v>27350.78</v>
      </c>
      <c r="Q11" s="2">
        <f>NETCHG1</f>
        <v>3055.69</v>
      </c>
      <c r="R11" s="2">
        <f t="shared" si="7"/>
        <v>64503.32</v>
      </c>
      <c r="S11" s="1">
        <f t="shared" si="8"/>
        <v>64503.32</v>
      </c>
      <c r="T11" s="1"/>
      <c r="U11" s="1"/>
      <c r="V11" s="1"/>
    </row>
    <row r="12" spans="1:22" x14ac:dyDescent="0.2">
      <c r="A12" s="1" t="s">
        <v>133</v>
      </c>
      <c r="B12" s="7">
        <f>CL</f>
        <v>60579924</v>
      </c>
      <c r="C12" s="30">
        <f t="shared" si="0"/>
        <v>0.669984417</v>
      </c>
      <c r="D12" s="2">
        <f t="shared" si="1"/>
        <v>1021720.24</v>
      </c>
      <c r="E12" s="2">
        <v>1249.1199999999999</v>
      </c>
      <c r="F12" s="2">
        <f t="shared" si="2"/>
        <v>1020471.12</v>
      </c>
      <c r="G12" s="1"/>
      <c r="H12" s="1"/>
      <c r="I12" s="1"/>
      <c r="J12" s="14"/>
      <c r="K12" s="1" t="s">
        <v>133</v>
      </c>
      <c r="L12" s="2">
        <f t="shared" si="3"/>
        <v>1020471.12</v>
      </c>
      <c r="M12" s="2">
        <f t="shared" si="4"/>
        <v>489449.62</v>
      </c>
      <c r="N12" s="2">
        <f t="shared" si="5"/>
        <v>0</v>
      </c>
      <c r="O12" s="294">
        <f t="shared" si="6"/>
        <v>1509920.74</v>
      </c>
      <c r="P12" s="2">
        <f>NETCLG</f>
        <v>5310227.29</v>
      </c>
      <c r="Q12" s="2">
        <f>NETCLG1</f>
        <v>592993.82999999996</v>
      </c>
      <c r="R12" s="2">
        <f t="shared" si="7"/>
        <v>7413141.8600000003</v>
      </c>
      <c r="S12" s="1">
        <f t="shared" si="8"/>
        <v>7413141.8600000003</v>
      </c>
      <c r="T12" s="1"/>
      <c r="U12" s="1"/>
      <c r="V12" s="1"/>
    </row>
    <row r="13" spans="1:22" x14ac:dyDescent="0.2">
      <c r="A13" s="1" t="s">
        <v>134</v>
      </c>
      <c r="B13" s="7">
        <f>DO</f>
        <v>2010500</v>
      </c>
      <c r="C13" s="30">
        <f t="shared" si="0"/>
        <v>2.2235149999999999E-2</v>
      </c>
      <c r="D13" s="2">
        <f t="shared" si="1"/>
        <v>33908.400000000001</v>
      </c>
      <c r="E13" s="2">
        <v>43.01</v>
      </c>
      <c r="F13" s="2">
        <f t="shared" si="2"/>
        <v>33865.39</v>
      </c>
      <c r="G13" s="1"/>
      <c r="H13" s="1"/>
      <c r="I13" s="1"/>
      <c r="J13" s="14"/>
      <c r="K13" s="1" t="s">
        <v>134</v>
      </c>
      <c r="L13" s="2">
        <f t="shared" si="3"/>
        <v>33865.39</v>
      </c>
      <c r="M13" s="2">
        <f t="shared" si="4"/>
        <v>16637.37</v>
      </c>
      <c r="N13" s="2">
        <f t="shared" si="5"/>
        <v>0</v>
      </c>
      <c r="O13" s="294">
        <f t="shared" si="6"/>
        <v>50502.76</v>
      </c>
      <c r="P13" s="2">
        <f>NETDOG</f>
        <v>78319.23</v>
      </c>
      <c r="Q13" s="2">
        <f>NETDOG1</f>
        <v>19678.32</v>
      </c>
      <c r="R13" s="2">
        <f t="shared" si="7"/>
        <v>148500.31</v>
      </c>
      <c r="S13" s="1">
        <f t="shared" si="8"/>
        <v>148500.31</v>
      </c>
      <c r="T13" s="1"/>
      <c r="U13" s="1"/>
      <c r="V13" s="1"/>
    </row>
    <row r="14" spans="1:22" x14ac:dyDescent="0.2">
      <c r="A14" s="1" t="s">
        <v>135</v>
      </c>
      <c r="B14" s="7">
        <f>EL</f>
        <v>2145650</v>
      </c>
      <c r="C14" s="30">
        <f t="shared" si="0"/>
        <v>2.3729843E-2</v>
      </c>
      <c r="D14" s="2">
        <f t="shared" si="1"/>
        <v>36187.800000000003</v>
      </c>
      <c r="E14" s="2">
        <v>360.29</v>
      </c>
      <c r="F14" s="2">
        <f t="shared" si="2"/>
        <v>35827.51</v>
      </c>
      <c r="G14" s="1"/>
      <c r="H14" s="1"/>
      <c r="I14" s="2">
        <f>+'s1'!I126</f>
        <v>63915.1</v>
      </c>
      <c r="J14" s="14"/>
      <c r="K14" s="1" t="s">
        <v>135</v>
      </c>
      <c r="L14" s="2">
        <f t="shared" si="3"/>
        <v>35827.51</v>
      </c>
      <c r="M14" s="2">
        <f t="shared" si="4"/>
        <v>68002.41</v>
      </c>
      <c r="N14" s="2">
        <f t="shared" si="5"/>
        <v>0</v>
      </c>
      <c r="O14" s="294">
        <f t="shared" si="6"/>
        <v>103829.92</v>
      </c>
      <c r="P14" s="2">
        <f>NETELG</f>
        <v>83093.17</v>
      </c>
      <c r="Q14" s="2">
        <f>NETELG1</f>
        <v>20878.72</v>
      </c>
      <c r="R14" s="2">
        <f t="shared" si="7"/>
        <v>207801.81</v>
      </c>
      <c r="S14" s="1">
        <f t="shared" si="8"/>
        <v>207801.81</v>
      </c>
      <c r="T14" s="1"/>
      <c r="U14" s="1"/>
      <c r="V14" s="1"/>
    </row>
    <row r="15" spans="1:22" x14ac:dyDescent="0.2">
      <c r="A15" s="1" t="s">
        <v>136</v>
      </c>
      <c r="B15" s="7">
        <f>ES</f>
        <v>32447</v>
      </c>
      <c r="C15" s="30">
        <f t="shared" si="0"/>
        <v>3.5884799999999999E-4</v>
      </c>
      <c r="D15" s="2">
        <f t="shared" si="1"/>
        <v>547.24</v>
      </c>
      <c r="E15" s="2">
        <v>0</v>
      </c>
      <c r="F15" s="2">
        <f t="shared" si="2"/>
        <v>547.24</v>
      </c>
      <c r="G15" s="1"/>
      <c r="H15" s="5"/>
      <c r="I15" s="14">
        <v>2.7400000000000001E-2</v>
      </c>
      <c r="J15" s="14"/>
      <c r="K15" s="1" t="s">
        <v>136</v>
      </c>
      <c r="L15" s="2">
        <f t="shared" si="3"/>
        <v>547.24</v>
      </c>
      <c r="M15" s="2">
        <f t="shared" si="4"/>
        <v>15829.05</v>
      </c>
      <c r="N15" s="2">
        <f t="shared" si="5"/>
        <v>0</v>
      </c>
      <c r="O15" s="294">
        <f t="shared" si="6"/>
        <v>16376.29</v>
      </c>
      <c r="P15" s="2">
        <f>NETESG</f>
        <v>1265.56</v>
      </c>
      <c r="Q15" s="2">
        <f>NETESG1</f>
        <v>317.98</v>
      </c>
      <c r="R15" s="2">
        <f t="shared" si="7"/>
        <v>17959.830000000002</v>
      </c>
      <c r="S15" s="1">
        <f t="shared" si="8"/>
        <v>17959.830000000002</v>
      </c>
      <c r="T15" s="1"/>
      <c r="U15" s="1"/>
      <c r="V15" s="1"/>
    </row>
    <row r="16" spans="1:22" x14ac:dyDescent="0.2">
      <c r="A16" s="1" t="s">
        <v>137</v>
      </c>
      <c r="B16" s="7">
        <f>EU</f>
        <v>101387</v>
      </c>
      <c r="C16" s="30">
        <f t="shared" si="0"/>
        <v>1.121291E-3</v>
      </c>
      <c r="D16" s="2">
        <f t="shared" si="1"/>
        <v>1709.96</v>
      </c>
      <c r="E16" s="2">
        <v>29.46</v>
      </c>
      <c r="F16" s="2">
        <f t="shared" si="2"/>
        <v>1680.5</v>
      </c>
      <c r="G16" s="1"/>
      <c r="H16" s="1"/>
      <c r="I16" s="1"/>
      <c r="J16" s="14"/>
      <c r="K16" s="1" t="s">
        <v>137</v>
      </c>
      <c r="L16" s="2">
        <f t="shared" si="3"/>
        <v>1680.5</v>
      </c>
      <c r="M16" s="2">
        <f t="shared" si="4"/>
        <v>20202.86</v>
      </c>
      <c r="N16" s="2">
        <f t="shared" si="5"/>
        <v>0</v>
      </c>
      <c r="O16" s="294">
        <f t="shared" si="6"/>
        <v>21883.360000000001</v>
      </c>
      <c r="P16" s="2">
        <f>NETEUG</f>
        <v>3887.15</v>
      </c>
      <c r="Q16" s="2">
        <f>NETEUG1</f>
        <v>976.77</v>
      </c>
      <c r="R16" s="2">
        <f t="shared" si="7"/>
        <v>26747.279999999999</v>
      </c>
      <c r="S16" s="1">
        <f t="shared" si="8"/>
        <v>26747.279999999999</v>
      </c>
      <c r="T16" s="1"/>
      <c r="U16" s="1"/>
      <c r="V16" s="1"/>
    </row>
    <row r="17" spans="1:19" x14ac:dyDescent="0.2">
      <c r="A17" s="1" t="s">
        <v>138</v>
      </c>
      <c r="B17" s="7">
        <f>HU</f>
        <v>1357619</v>
      </c>
      <c r="C17" s="30">
        <f t="shared" si="0"/>
        <v>1.5014604000000001E-2</v>
      </c>
      <c r="D17" s="2">
        <f t="shared" si="1"/>
        <v>22897.14</v>
      </c>
      <c r="E17" s="2">
        <v>91.84</v>
      </c>
      <c r="F17" s="2">
        <f t="shared" si="2"/>
        <v>22805.3</v>
      </c>
      <c r="G17" s="1"/>
      <c r="H17" s="5"/>
      <c r="I17" s="222">
        <f>+Q107</f>
        <v>7287.92</v>
      </c>
      <c r="J17" s="14"/>
      <c r="K17" s="1" t="s">
        <v>138</v>
      </c>
      <c r="L17" s="2">
        <f t="shared" si="3"/>
        <v>22805.3</v>
      </c>
      <c r="M17" s="2">
        <f t="shared" si="4"/>
        <v>40822.269999999997</v>
      </c>
      <c r="N17" s="2">
        <f t="shared" si="5"/>
        <v>0</v>
      </c>
      <c r="O17" s="294">
        <f t="shared" si="6"/>
        <v>63627.57</v>
      </c>
      <c r="P17" s="2">
        <f>NETHUG</f>
        <v>119062.96</v>
      </c>
      <c r="Q17" s="2">
        <f>NETHUG1</f>
        <v>13295.96</v>
      </c>
      <c r="R17" s="2">
        <f t="shared" si="7"/>
        <v>195986.49</v>
      </c>
      <c r="S17" s="1">
        <f t="shared" si="8"/>
        <v>195986.49</v>
      </c>
    </row>
    <row r="18" spans="1:19" x14ac:dyDescent="0.2">
      <c r="A18" s="1" t="s">
        <v>139</v>
      </c>
      <c r="B18" s="7">
        <f>LA</f>
        <v>340057</v>
      </c>
      <c r="C18" s="30">
        <f t="shared" si="0"/>
        <v>3.760865E-3</v>
      </c>
      <c r="D18" s="2">
        <f t="shared" si="1"/>
        <v>5735.29</v>
      </c>
      <c r="E18" s="2">
        <v>137.72999999999999</v>
      </c>
      <c r="F18" s="2">
        <f t="shared" si="2"/>
        <v>5597.56</v>
      </c>
      <c r="G18" s="1"/>
      <c r="H18" s="24"/>
      <c r="I18" s="222">
        <f>+Q108</f>
        <v>5194.58</v>
      </c>
      <c r="J18" s="14"/>
      <c r="K18" s="1" t="s">
        <v>139</v>
      </c>
      <c r="L18" s="2">
        <f t="shared" si="3"/>
        <v>5597.56</v>
      </c>
      <c r="M18" s="2">
        <f t="shared" si="4"/>
        <v>25826.34</v>
      </c>
      <c r="N18" s="2">
        <f t="shared" si="5"/>
        <v>0</v>
      </c>
      <c r="O18" s="294">
        <f t="shared" si="6"/>
        <v>31423.9</v>
      </c>
      <c r="P18" s="2">
        <f>NETLAG</f>
        <v>25592.57</v>
      </c>
      <c r="Q18" s="2">
        <f>NETLAG1</f>
        <v>3193.23</v>
      </c>
      <c r="R18" s="2">
        <f t="shared" si="7"/>
        <v>60209.7</v>
      </c>
      <c r="S18" s="1">
        <f t="shared" si="8"/>
        <v>60209.7</v>
      </c>
    </row>
    <row r="19" spans="1:19" x14ac:dyDescent="0.2">
      <c r="A19" s="1" t="s">
        <v>140</v>
      </c>
      <c r="B19" s="7">
        <f>LI</f>
        <v>166110</v>
      </c>
      <c r="C19" s="30">
        <f t="shared" si="0"/>
        <v>1.8370960000000001E-3</v>
      </c>
      <c r="D19" s="2">
        <f t="shared" si="1"/>
        <v>2801.55</v>
      </c>
      <c r="E19" s="2">
        <v>13.91</v>
      </c>
      <c r="F19" s="2">
        <f t="shared" si="2"/>
        <v>2787.64</v>
      </c>
      <c r="G19" s="1"/>
      <c r="H19" s="5"/>
      <c r="I19" s="222">
        <f>+Q109</f>
        <v>9784.44</v>
      </c>
      <c r="J19" s="14"/>
      <c r="K19" s="1" t="s">
        <v>140</v>
      </c>
      <c r="L19" s="2">
        <f t="shared" si="3"/>
        <v>2787.64</v>
      </c>
      <c r="M19" s="2">
        <f t="shared" si="4"/>
        <v>44987.81</v>
      </c>
      <c r="N19" s="2">
        <f t="shared" si="5"/>
        <v>0</v>
      </c>
      <c r="O19" s="294">
        <f t="shared" si="6"/>
        <v>47775.45</v>
      </c>
      <c r="P19" s="2">
        <f>NETLIG</f>
        <v>6447.14</v>
      </c>
      <c r="Q19" s="2">
        <f>NETLIG1</f>
        <v>1619.92</v>
      </c>
      <c r="R19" s="2">
        <f t="shared" si="7"/>
        <v>55842.51</v>
      </c>
      <c r="S19" s="1">
        <f t="shared" si="8"/>
        <v>55842.51</v>
      </c>
    </row>
    <row r="20" spans="1:19" x14ac:dyDescent="0.2">
      <c r="A20" s="1" t="s">
        <v>141</v>
      </c>
      <c r="B20" s="7">
        <f>LY</f>
        <v>1466059</v>
      </c>
      <c r="C20" s="30">
        <f t="shared" si="0"/>
        <v>1.6213898000000001E-2</v>
      </c>
      <c r="D20" s="2">
        <f t="shared" si="1"/>
        <v>24726.05</v>
      </c>
      <c r="E20" s="2">
        <v>998.92</v>
      </c>
      <c r="F20" s="2">
        <f t="shared" si="2"/>
        <v>23727.13</v>
      </c>
      <c r="G20" s="1"/>
      <c r="H20" s="108"/>
      <c r="I20" s="220">
        <f>+Q110</f>
        <v>22266.94</v>
      </c>
      <c r="J20" s="14"/>
      <c r="K20" s="1" t="s">
        <v>141</v>
      </c>
      <c r="L20" s="2">
        <f t="shared" si="3"/>
        <v>23727.13</v>
      </c>
      <c r="M20" s="2">
        <f t="shared" si="4"/>
        <v>20507.95</v>
      </c>
      <c r="N20" s="2">
        <f t="shared" si="5"/>
        <v>0</v>
      </c>
      <c r="O20" s="294">
        <f t="shared" si="6"/>
        <v>44235.08</v>
      </c>
      <c r="P20" s="2">
        <f>NETLYG</f>
        <v>123522.66</v>
      </c>
      <c r="Q20" s="2">
        <f>NETLYG1</f>
        <v>13796.59</v>
      </c>
      <c r="R20" s="2">
        <f t="shared" si="7"/>
        <v>181554.33</v>
      </c>
      <c r="S20" s="1">
        <f t="shared" si="8"/>
        <v>181554.33</v>
      </c>
    </row>
    <row r="21" spans="1:19" x14ac:dyDescent="0.2">
      <c r="A21" s="1" t="s">
        <v>142</v>
      </c>
      <c r="B21" s="7">
        <f>MI</f>
        <v>286648</v>
      </c>
      <c r="C21" s="30">
        <f t="shared" si="0"/>
        <v>3.1701870000000001E-3</v>
      </c>
      <c r="D21" s="2">
        <f t="shared" si="1"/>
        <v>4834.51</v>
      </c>
      <c r="E21" s="2">
        <v>604</v>
      </c>
      <c r="F21" s="2">
        <f t="shared" si="2"/>
        <v>4230.51</v>
      </c>
      <c r="G21" s="1"/>
      <c r="H21" s="398"/>
      <c r="I21" s="222">
        <f>+Q111-R113</f>
        <v>37476.99</v>
      </c>
      <c r="J21" s="14"/>
      <c r="K21" s="1" t="s">
        <v>142</v>
      </c>
      <c r="L21" s="2">
        <f t="shared" si="3"/>
        <v>4230.51</v>
      </c>
      <c r="M21" s="2">
        <f t="shared" si="4"/>
        <v>14579.38</v>
      </c>
      <c r="N21" s="2">
        <f t="shared" si="5"/>
        <v>0</v>
      </c>
      <c r="O21" s="294">
        <f t="shared" si="6"/>
        <v>18809.89</v>
      </c>
      <c r="P21" s="2">
        <f>NETMIG</f>
        <v>22049.62</v>
      </c>
      <c r="Q21" s="2">
        <f>NETMIG1</f>
        <v>2464.0100000000002</v>
      </c>
      <c r="R21" s="2">
        <f t="shared" si="7"/>
        <v>43323.519999999997</v>
      </c>
      <c r="S21" s="1">
        <f t="shared" si="8"/>
        <v>43323.519999999997</v>
      </c>
    </row>
    <row r="22" spans="1:19" x14ac:dyDescent="0.2">
      <c r="A22" s="1" t="s">
        <v>143</v>
      </c>
      <c r="B22" s="7">
        <f>NY</f>
        <v>2168120</v>
      </c>
      <c r="C22" s="30">
        <f t="shared" si="0"/>
        <v>2.3978349999999999E-2</v>
      </c>
      <c r="D22" s="2">
        <f t="shared" si="1"/>
        <v>36566.769999999997</v>
      </c>
      <c r="E22" s="2">
        <v>99.42</v>
      </c>
      <c r="F22" s="2">
        <f t="shared" si="2"/>
        <v>36467.35</v>
      </c>
      <c r="G22" s="1"/>
      <c r="H22" s="399"/>
      <c r="I22" s="222">
        <f>+Q112</f>
        <v>4171.17</v>
      </c>
      <c r="J22" s="14"/>
      <c r="K22" s="1" t="s">
        <v>143</v>
      </c>
      <c r="L22" s="2">
        <f t="shared" si="3"/>
        <v>36467.35</v>
      </c>
      <c r="M22" s="2">
        <f t="shared" si="4"/>
        <v>70501.73</v>
      </c>
      <c r="N22" s="2">
        <f t="shared" si="5"/>
        <v>0</v>
      </c>
      <c r="O22" s="294">
        <f t="shared" si="6"/>
        <v>106969.08</v>
      </c>
      <c r="P22" s="2">
        <f>NETNYG</f>
        <v>84338.09</v>
      </c>
      <c r="Q22" s="2">
        <f>NETNYG1</f>
        <v>21190.78</v>
      </c>
      <c r="R22" s="2">
        <f t="shared" si="7"/>
        <v>212497.95</v>
      </c>
      <c r="S22" s="1">
        <f t="shared" si="8"/>
        <v>212497.95</v>
      </c>
    </row>
    <row r="23" spans="1:19" x14ac:dyDescent="0.2">
      <c r="A23" s="1" t="s">
        <v>144</v>
      </c>
      <c r="B23" s="7">
        <f>PE</f>
        <v>260843</v>
      </c>
      <c r="C23" s="30">
        <f t="shared" si="0"/>
        <v>2.8847959999999998E-3</v>
      </c>
      <c r="D23" s="2">
        <f t="shared" si="1"/>
        <v>4399.29</v>
      </c>
      <c r="E23" s="2">
        <v>12.4</v>
      </c>
      <c r="F23" s="2">
        <f t="shared" si="2"/>
        <v>4386.8900000000003</v>
      </c>
      <c r="G23" s="1"/>
      <c r="H23" s="399"/>
      <c r="I23" s="220">
        <f>+Q113</f>
        <v>63915.1</v>
      </c>
      <c r="J23" s="14"/>
      <c r="K23" s="1" t="s">
        <v>144</v>
      </c>
      <c r="L23" s="2">
        <f t="shared" si="3"/>
        <v>4386.8900000000003</v>
      </c>
      <c r="M23" s="2">
        <f t="shared" si="4"/>
        <v>31062.05</v>
      </c>
      <c r="N23" s="2">
        <f t="shared" si="5"/>
        <v>0</v>
      </c>
      <c r="O23" s="294">
        <f t="shared" si="6"/>
        <v>35448.94</v>
      </c>
      <c r="P23" s="2">
        <f>NETPEG</f>
        <v>22827.55</v>
      </c>
      <c r="Q23" s="2">
        <f>NETPEG1</f>
        <v>2549.17</v>
      </c>
      <c r="R23" s="2">
        <f t="shared" si="7"/>
        <v>60825.66</v>
      </c>
      <c r="S23" s="1">
        <f t="shared" si="8"/>
        <v>60825.66</v>
      </c>
    </row>
    <row r="24" spans="1:19" x14ac:dyDescent="0.2">
      <c r="A24" s="1" t="s">
        <v>145</v>
      </c>
      <c r="B24" s="7">
        <f>ST</f>
        <v>24993</v>
      </c>
      <c r="C24" s="30">
        <f t="shared" si="0"/>
        <v>2.7640999999999999E-4</v>
      </c>
      <c r="D24" s="2">
        <f t="shared" si="1"/>
        <v>421.52</v>
      </c>
      <c r="E24" s="2">
        <v>0</v>
      </c>
      <c r="F24" s="2">
        <f t="shared" si="2"/>
        <v>421.52</v>
      </c>
      <c r="G24" s="1"/>
      <c r="H24" s="10"/>
      <c r="I24" s="1"/>
      <c r="J24" s="14"/>
      <c r="K24" s="1" t="s">
        <v>145</v>
      </c>
      <c r="L24" s="2">
        <f t="shared" si="3"/>
        <v>421.52</v>
      </c>
      <c r="M24" s="2">
        <f t="shared" si="4"/>
        <v>2291.0500000000002</v>
      </c>
      <c r="N24" s="2">
        <f t="shared" si="5"/>
        <v>0</v>
      </c>
      <c r="O24" s="294">
        <f t="shared" si="6"/>
        <v>2712.57</v>
      </c>
      <c r="P24" s="2">
        <f>NETSTG</f>
        <v>974.83</v>
      </c>
      <c r="Q24" s="2">
        <f>NETSTG1</f>
        <v>244.93</v>
      </c>
      <c r="R24" s="2">
        <f t="shared" si="7"/>
        <v>3932.33</v>
      </c>
      <c r="S24" s="1">
        <f t="shared" si="8"/>
        <v>3932.33</v>
      </c>
    </row>
    <row r="25" spans="1:19" x14ac:dyDescent="0.2">
      <c r="A25" s="1" t="s">
        <v>146</v>
      </c>
      <c r="B25" s="7">
        <f>WA</f>
        <v>15521823</v>
      </c>
      <c r="C25" s="30">
        <f t="shared" si="0"/>
        <v>0.17166379300000001</v>
      </c>
      <c r="D25" s="2">
        <f>SUM($I$7*C25)</f>
        <v>261785.75</v>
      </c>
      <c r="E25" s="2">
        <v>3718.39</v>
      </c>
      <c r="F25" s="2">
        <f t="shared" si="2"/>
        <v>258067.36</v>
      </c>
      <c r="G25" s="1"/>
      <c r="H25" s="356"/>
      <c r="I25" s="90">
        <f>+'s1'!I126</f>
        <v>63915.1</v>
      </c>
      <c r="J25" s="14"/>
      <c r="K25" s="1" t="s">
        <v>146</v>
      </c>
      <c r="L25" s="2">
        <f t="shared" si="3"/>
        <v>258067.36</v>
      </c>
      <c r="M25" s="2">
        <f t="shared" si="4"/>
        <v>133494.07999999999</v>
      </c>
      <c r="N25" s="2">
        <f t="shared" si="5"/>
        <v>0</v>
      </c>
      <c r="O25" s="294">
        <f t="shared" si="6"/>
        <v>391561.44</v>
      </c>
      <c r="P25" s="2">
        <f>NETWAG</f>
        <v>1342533.67</v>
      </c>
      <c r="Q25" s="2">
        <f>NETWAG1</f>
        <v>149930.72</v>
      </c>
      <c r="R25" s="2">
        <f t="shared" si="7"/>
        <v>1884025.83</v>
      </c>
      <c r="S25" s="1">
        <f t="shared" si="8"/>
        <v>1884025.83</v>
      </c>
    </row>
    <row r="26" spans="1:19" x14ac:dyDescent="0.2">
      <c r="A26" s="1" t="s">
        <v>147</v>
      </c>
      <c r="B26" s="7">
        <f>WH</f>
        <v>576540</v>
      </c>
      <c r="C26" s="30">
        <f t="shared" si="0"/>
        <v>6.3762510000000003E-3</v>
      </c>
      <c r="D26" s="2">
        <f t="shared" si="1"/>
        <v>9723.73</v>
      </c>
      <c r="E26" s="2">
        <v>72.959999999999994</v>
      </c>
      <c r="F26" s="2">
        <f t="shared" si="2"/>
        <v>9650.77</v>
      </c>
      <c r="G26" s="1"/>
      <c r="I26" s="357">
        <f>+I23-I25</f>
        <v>0</v>
      </c>
      <c r="J26" s="14"/>
      <c r="K26" s="1" t="s">
        <v>147</v>
      </c>
      <c r="L26" s="2">
        <f t="shared" si="3"/>
        <v>9650.77</v>
      </c>
      <c r="M26" s="2">
        <f t="shared" si="4"/>
        <v>41967.8</v>
      </c>
      <c r="N26" s="2">
        <f t="shared" si="5"/>
        <v>0</v>
      </c>
      <c r="O26" s="294">
        <f t="shared" si="6"/>
        <v>51618.57</v>
      </c>
      <c r="P26" s="2">
        <f>NETWHG</f>
        <v>50221.36</v>
      </c>
      <c r="Q26" s="2">
        <f>NETWHG1</f>
        <v>5608.41</v>
      </c>
      <c r="R26" s="2">
        <f t="shared" si="7"/>
        <v>107448.34</v>
      </c>
      <c r="S26" s="1">
        <f t="shared" si="8"/>
        <v>107448.34</v>
      </c>
    </row>
    <row r="27" spans="1:19" ht="21.75" customHeight="1" thickBot="1" x14ac:dyDescent="0.25">
      <c r="A27" s="1" t="s">
        <v>12</v>
      </c>
      <c r="B27" s="34">
        <f>SUM(B10:B26)</f>
        <v>90419900</v>
      </c>
      <c r="C27" s="41">
        <f>ROUND(B27/B$27,4)</f>
        <v>1</v>
      </c>
      <c r="D27" s="132">
        <f>SUM(D10:D26)</f>
        <v>1524991.06</v>
      </c>
      <c r="E27" s="132">
        <f>SUM(E10:E26)</f>
        <v>7960.23</v>
      </c>
      <c r="F27" s="132">
        <f>SUM(F10:F26)</f>
        <v>1517030.83</v>
      </c>
      <c r="G27" s="1"/>
      <c r="H27" s="1"/>
      <c r="I27" s="1"/>
      <c r="J27" s="14"/>
      <c r="K27" s="1" t="s">
        <v>12</v>
      </c>
      <c r="L27" s="132">
        <f t="shared" ref="L27:R27" si="9">SUM(L10:L26)</f>
        <v>1517030.83</v>
      </c>
      <c r="M27" s="132">
        <f t="shared" si="9"/>
        <v>1083593.5</v>
      </c>
      <c r="N27" s="132">
        <f t="shared" si="9"/>
        <v>0</v>
      </c>
      <c r="O27" s="391">
        <f t="shared" si="9"/>
        <v>2600624.33</v>
      </c>
      <c r="P27" s="132">
        <f t="shared" si="9"/>
        <v>7568372.1799999997</v>
      </c>
      <c r="Q27" s="132">
        <f t="shared" si="9"/>
        <v>881572.73</v>
      </c>
      <c r="R27" s="132">
        <f t="shared" si="9"/>
        <v>11050569.24</v>
      </c>
      <c r="S27" s="1"/>
    </row>
    <row r="28" spans="1:19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92"/>
      <c r="P28" s="1"/>
      <c r="Q28" s="1"/>
      <c r="R28" s="9"/>
      <c r="S28" s="1"/>
    </row>
    <row r="29" spans="1:19" hidden="1" x14ac:dyDescent="0.2">
      <c r="A29" s="1"/>
      <c r="B29" s="7">
        <f>TOTGAL</f>
        <v>90419713</v>
      </c>
      <c r="C29" s="1"/>
      <c r="D29" s="9">
        <f>I7</f>
        <v>1524991.05</v>
      </c>
      <c r="E29" s="1"/>
      <c r="F29" s="1"/>
      <c r="G29" s="1"/>
      <c r="H29" s="1"/>
      <c r="I29" s="1"/>
      <c r="J29" s="1"/>
      <c r="K29" s="1"/>
      <c r="L29" s="2"/>
      <c r="M29" s="2"/>
      <c r="N29" s="9"/>
      <c r="P29" s="1"/>
      <c r="Q29" s="1"/>
      <c r="R29" s="2"/>
      <c r="S29" s="1"/>
    </row>
    <row r="30" spans="1:19" ht="23.25" customHeight="1" x14ac:dyDescent="0.25">
      <c r="A30" s="63" t="s">
        <v>429</v>
      </c>
      <c r="B30" s="21"/>
      <c r="C30" s="21"/>
      <c r="D30" s="1"/>
      <c r="E30" s="1"/>
      <c r="F30" s="1"/>
      <c r="G30" s="1"/>
      <c r="H30" s="1"/>
      <c r="I30" s="1"/>
      <c r="J30" s="1"/>
      <c r="K30" s="1">
        <v>0</v>
      </c>
      <c r="L30" s="1"/>
      <c r="M30" s="1"/>
      <c r="N30" s="1"/>
      <c r="O30" s="392">
        <f>NET5.35</f>
        <v>4637777.1399999997</v>
      </c>
      <c r="P30" s="1"/>
      <c r="Q30" s="1"/>
      <c r="R30" s="2">
        <f>SUM($O$27:$Q$27)</f>
        <v>11050569.24</v>
      </c>
      <c r="S30" s="1"/>
    </row>
    <row r="31" spans="1:19" ht="15.75" x14ac:dyDescent="0.25">
      <c r="A31" s="77" t="str">
        <f>ReportMonth</f>
        <v>APRIL 2004</v>
      </c>
      <c r="B31" s="21"/>
      <c r="D31" s="1"/>
      <c r="E31" s="1"/>
      <c r="F31" s="1"/>
      <c r="G31" s="1"/>
      <c r="H31" s="1"/>
      <c r="I31" s="1"/>
      <c r="J31" s="1"/>
      <c r="S31" s="1"/>
    </row>
    <row r="32" spans="1:19" ht="15" x14ac:dyDescent="0.2">
      <c r="A32" s="118" t="s">
        <v>108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19"/>
      <c r="D34" s="96" t="s">
        <v>149</v>
      </c>
      <c r="E34" s="119" t="s">
        <v>115</v>
      </c>
      <c r="F34" s="5" t="s">
        <v>73</v>
      </c>
      <c r="H34" s="1"/>
      <c r="I34" s="1"/>
      <c r="J34" s="1"/>
    </row>
    <row r="35" spans="1:10" x14ac:dyDescent="0.2">
      <c r="A35" s="1"/>
      <c r="B35" s="1"/>
      <c r="C35" s="124"/>
      <c r="D35" s="38" t="s">
        <v>151</v>
      </c>
      <c r="E35" s="97" t="s">
        <v>122</v>
      </c>
      <c r="F35" s="97" t="s">
        <v>152</v>
      </c>
      <c r="H35" s="1"/>
      <c r="I35" s="1"/>
      <c r="J35" s="1"/>
    </row>
    <row r="36" spans="1:10" x14ac:dyDescent="0.2">
      <c r="A36" s="4"/>
      <c r="B36" s="4"/>
      <c r="C36" s="4"/>
      <c r="H36" s="1"/>
      <c r="I36" s="1"/>
      <c r="J36" s="1"/>
    </row>
    <row r="37" spans="1:10" x14ac:dyDescent="0.2">
      <c r="A37" s="1" t="s">
        <v>131</v>
      </c>
      <c r="B37" s="1"/>
      <c r="C37" s="14"/>
      <c r="D37" s="215">
        <f t="shared" ref="D37:D53" si="10">F37+E37</f>
        <v>18704.78</v>
      </c>
      <c r="E37" s="2">
        <v>119.4</v>
      </c>
      <c r="F37" s="151">
        <f>IF(s3b!$C$4&gt;s3b!$C$2,s3b!T25,s3b!I4)</f>
        <v>18585.38</v>
      </c>
      <c r="H37" s="1"/>
      <c r="I37" s="1"/>
      <c r="J37" s="1"/>
    </row>
    <row r="38" spans="1:10" x14ac:dyDescent="0.2">
      <c r="A38" s="1" t="s">
        <v>132</v>
      </c>
      <c r="B38" s="1"/>
      <c r="C38" s="14"/>
      <c r="D38" s="215">
        <f t="shared" si="10"/>
        <v>28943.01</v>
      </c>
      <c r="E38" s="2">
        <v>96.66</v>
      </c>
      <c r="F38" s="151">
        <f>IF(s3b!$C$4&gt;s3b!$C$2,s3b!T26,s3b!I5)</f>
        <v>28846.35</v>
      </c>
      <c r="H38" s="1"/>
      <c r="I38" s="1"/>
      <c r="J38" s="1"/>
    </row>
    <row r="39" spans="1:10" x14ac:dyDescent="0.2">
      <c r="A39" s="1" t="s">
        <v>133</v>
      </c>
      <c r="B39" s="1"/>
      <c r="C39" s="14"/>
      <c r="D39" s="215">
        <f t="shared" si="10"/>
        <v>492571.18</v>
      </c>
      <c r="E39" s="2">
        <v>3121.56</v>
      </c>
      <c r="F39" s="151">
        <f>IF(s3b!$C$4&gt;s3b!$C$2,s3b!T27,s3b!I6)</f>
        <v>489449.62</v>
      </c>
      <c r="H39" s="1"/>
      <c r="I39" s="1"/>
      <c r="J39" s="9"/>
    </row>
    <row r="40" spans="1:10" x14ac:dyDescent="0.2">
      <c r="A40" s="1" t="s">
        <v>134</v>
      </c>
      <c r="B40" s="1"/>
      <c r="C40" s="14"/>
      <c r="D40" s="215">
        <f t="shared" si="10"/>
        <v>16734.03</v>
      </c>
      <c r="E40" s="2">
        <v>96.66</v>
      </c>
      <c r="F40" s="151">
        <f>IF(s3b!$C$4&gt;s3b!$C$2,s3b!T28,s3b!I7)</f>
        <v>16637.37</v>
      </c>
      <c r="H40" s="1"/>
      <c r="I40" s="1"/>
      <c r="J40" s="2"/>
    </row>
    <row r="41" spans="1:10" x14ac:dyDescent="0.2">
      <c r="A41" s="1" t="s">
        <v>135</v>
      </c>
      <c r="B41" s="1"/>
      <c r="C41" s="14"/>
      <c r="D41" s="215">
        <f t="shared" si="10"/>
        <v>68190.039999999994</v>
      </c>
      <c r="E41" s="2">
        <v>187.63</v>
      </c>
      <c r="F41" s="151">
        <f>IF(s3b!$C$4&gt;s3b!$C$2,s3b!T29,s3b!I8)</f>
        <v>68002.41</v>
      </c>
      <c r="H41" s="1"/>
      <c r="I41" s="1"/>
      <c r="J41" s="2"/>
    </row>
    <row r="42" spans="1:10" x14ac:dyDescent="0.2">
      <c r="A42" s="1" t="s">
        <v>136</v>
      </c>
      <c r="B42" s="1"/>
      <c r="C42" s="14"/>
      <c r="D42" s="215">
        <f t="shared" si="10"/>
        <v>15874.54</v>
      </c>
      <c r="E42" s="2">
        <v>45.49</v>
      </c>
      <c r="F42" s="151">
        <f>IF(s3b!$C$4&gt;s3b!$C$2,s3b!T30,s3b!I9)</f>
        <v>15829.05</v>
      </c>
      <c r="H42" s="1"/>
      <c r="I42" s="1"/>
      <c r="J42" s="2"/>
    </row>
    <row r="43" spans="1:10" x14ac:dyDescent="0.2">
      <c r="A43" s="1" t="s">
        <v>137</v>
      </c>
      <c r="B43" s="1"/>
      <c r="C43" s="14"/>
      <c r="D43" s="215">
        <f t="shared" si="10"/>
        <v>20293.830000000002</v>
      </c>
      <c r="E43" s="2">
        <v>90.97</v>
      </c>
      <c r="F43" s="151">
        <f>IF(s3b!$C$4&gt;s3b!$C$2,s3b!T31,s3b!I10)</f>
        <v>20202.86</v>
      </c>
      <c r="H43" s="1"/>
      <c r="I43" s="1"/>
      <c r="J43" s="2"/>
    </row>
    <row r="44" spans="1:10" x14ac:dyDescent="0.2">
      <c r="A44" s="1" t="s">
        <v>138</v>
      </c>
      <c r="B44" s="1"/>
      <c r="C44" s="14"/>
      <c r="D44" s="215">
        <f t="shared" si="10"/>
        <v>40941.67</v>
      </c>
      <c r="E44" s="2">
        <v>119.4</v>
      </c>
      <c r="F44" s="151">
        <f>IF(s3b!$C$4&gt;s3b!$C$2,s3b!T32,s3b!I11)</f>
        <v>40822.269999999997</v>
      </c>
      <c r="H44" s="1"/>
      <c r="I44" s="1"/>
      <c r="J44" s="2"/>
    </row>
    <row r="45" spans="1:10" x14ac:dyDescent="0.2">
      <c r="A45" s="1" t="s">
        <v>139</v>
      </c>
      <c r="B45" s="1"/>
      <c r="C45" s="14"/>
      <c r="D45" s="215">
        <f t="shared" si="10"/>
        <v>25940.06</v>
      </c>
      <c r="E45" s="2">
        <v>113.72</v>
      </c>
      <c r="F45" s="151">
        <f>IF(s3b!$C$4&gt;s3b!$C$2,s3b!T33,s3b!I12)</f>
        <v>25826.34</v>
      </c>
      <c r="H45" s="1"/>
      <c r="I45" s="1"/>
      <c r="J45" s="2"/>
    </row>
    <row r="46" spans="1:10" x14ac:dyDescent="0.2">
      <c r="A46" s="1" t="s">
        <v>140</v>
      </c>
      <c r="B46" s="1"/>
      <c r="C46" s="14"/>
      <c r="D46" s="215">
        <f t="shared" si="10"/>
        <v>45169.760000000002</v>
      </c>
      <c r="E46" s="2">
        <v>181.95</v>
      </c>
      <c r="F46" s="151">
        <f>IF(s3b!$C$4&gt;s3b!$C$2,s3b!T34,s3b!I13)</f>
        <v>44987.81</v>
      </c>
      <c r="H46" s="1"/>
      <c r="I46" s="1"/>
      <c r="J46" s="2"/>
    </row>
    <row r="47" spans="1:10" x14ac:dyDescent="0.2">
      <c r="A47" s="1" t="s">
        <v>141</v>
      </c>
      <c r="B47" s="1"/>
      <c r="C47" s="14"/>
      <c r="D47" s="215">
        <f t="shared" si="10"/>
        <v>20627.3</v>
      </c>
      <c r="E47" s="2">
        <f>119.4-0.05</f>
        <v>119.35</v>
      </c>
      <c r="F47" s="151">
        <f>IF(s3b!$C$4&gt;s3b!$C$2,s3b!T35,s3b!I14)</f>
        <v>20507.95</v>
      </c>
      <c r="H47" s="1"/>
      <c r="I47" s="1"/>
      <c r="J47" s="2"/>
    </row>
    <row r="48" spans="1:10" x14ac:dyDescent="0.2">
      <c r="A48" s="1" t="s">
        <v>142</v>
      </c>
      <c r="B48" s="1"/>
      <c r="C48" s="14"/>
      <c r="D48" s="215">
        <f t="shared" si="10"/>
        <v>14619.18</v>
      </c>
      <c r="E48" s="2">
        <v>39.799999999999997</v>
      </c>
      <c r="F48" s="151">
        <f>IF(s3b!$C$4&gt;s3b!$C$2,s3b!T36,s3b!I15)</f>
        <v>14579.38</v>
      </c>
      <c r="H48" s="1"/>
      <c r="I48" s="1"/>
      <c r="J48" s="2"/>
    </row>
    <row r="49" spans="1:10" x14ac:dyDescent="0.2">
      <c r="A49" s="1" t="s">
        <v>143</v>
      </c>
      <c r="B49" s="1"/>
      <c r="C49" s="14"/>
      <c r="D49" s="215">
        <f t="shared" si="10"/>
        <v>70751.91</v>
      </c>
      <c r="E49" s="2">
        <v>250.18</v>
      </c>
      <c r="F49" s="151">
        <f>IF(s3b!$C$4&gt;s3b!$C$2,s3b!T37,s3b!I16)</f>
        <v>70501.73</v>
      </c>
      <c r="H49" s="1"/>
      <c r="I49" s="1"/>
      <c r="J49" s="2"/>
    </row>
    <row r="50" spans="1:10" x14ac:dyDescent="0.2">
      <c r="A50" s="1" t="s">
        <v>144</v>
      </c>
      <c r="B50" s="1"/>
      <c r="C50" s="14"/>
      <c r="D50" s="215">
        <f t="shared" si="10"/>
        <v>31249.68</v>
      </c>
      <c r="E50" s="2">
        <v>187.63</v>
      </c>
      <c r="F50" s="151">
        <f>IF(s3b!$C$4&gt;s3b!$C$2,s3b!T38,s3b!I17)</f>
        <v>31062.05</v>
      </c>
      <c r="H50" s="1"/>
      <c r="I50" s="1"/>
      <c r="J50" s="2"/>
    </row>
    <row r="51" spans="1:10" x14ac:dyDescent="0.2">
      <c r="A51" s="1" t="s">
        <v>145</v>
      </c>
      <c r="B51" s="1"/>
      <c r="C51" s="14"/>
      <c r="D51" s="215">
        <f t="shared" si="10"/>
        <v>2302.42</v>
      </c>
      <c r="E51" s="2">
        <v>11.37</v>
      </c>
      <c r="F51" s="151">
        <f>IF(s3b!$C$4&gt;s3b!$C$2,s3b!T39,s3b!I18)</f>
        <v>2291.0500000000002</v>
      </c>
      <c r="H51" s="1"/>
      <c r="I51" s="1"/>
      <c r="J51" s="2"/>
    </row>
    <row r="52" spans="1:10" x14ac:dyDescent="0.2">
      <c r="A52" s="1" t="s">
        <v>146</v>
      </c>
      <c r="B52" s="1"/>
      <c r="C52" s="14"/>
      <c r="D52" s="215">
        <f t="shared" si="10"/>
        <v>134278.73000000001</v>
      </c>
      <c r="E52" s="2">
        <v>784.65</v>
      </c>
      <c r="F52" s="151">
        <f>IF(s3b!$C$4&gt;s3b!$C$2,s3b!T40,s3b!I19)</f>
        <v>133494.07999999999</v>
      </c>
      <c r="H52" s="1"/>
      <c r="I52" s="1"/>
      <c r="J52" s="2"/>
    </row>
    <row r="53" spans="1:10" x14ac:dyDescent="0.2">
      <c r="A53" s="1" t="s">
        <v>147</v>
      </c>
      <c r="B53" s="1"/>
      <c r="C53" s="212"/>
      <c r="D53" s="215">
        <f t="shared" si="10"/>
        <v>42087.199999999997</v>
      </c>
      <c r="E53" s="2">
        <v>119.4</v>
      </c>
      <c r="F53" s="151">
        <f>IF(s3b!$C$4&gt;s3b!$C$2,s3b!T41,s3b!I20)</f>
        <v>41967.8</v>
      </c>
      <c r="H53" s="1"/>
      <c r="I53" s="1"/>
      <c r="J53" s="2"/>
    </row>
    <row r="54" spans="1:10" ht="13.5" thickBot="1" x14ac:dyDescent="0.25">
      <c r="A54" s="1" t="s">
        <v>12</v>
      </c>
      <c r="B54" s="1"/>
      <c r="C54" s="212"/>
      <c r="D54" s="132">
        <f>SUM(D37:D53)</f>
        <v>1089279.32</v>
      </c>
      <c r="E54" s="132">
        <f>SUM(E37:E53)</f>
        <v>5685.82</v>
      </c>
      <c r="F54" s="132">
        <f>SUM(F37:F53)</f>
        <v>1083593.5</v>
      </c>
      <c r="H54" s="1"/>
      <c r="I54" s="1"/>
      <c r="J54" s="2"/>
    </row>
    <row r="56" spans="1:10" hidden="1" x14ac:dyDescent="0.2">
      <c r="A56" s="1"/>
      <c r="B56" s="1"/>
      <c r="C56" s="1"/>
      <c r="D56" s="2">
        <f>I8</f>
        <v>1089279.32</v>
      </c>
      <c r="E56" s="1"/>
      <c r="F56" s="1"/>
      <c r="G56" s="1"/>
      <c r="H56" s="1"/>
      <c r="I56" s="1"/>
      <c r="J56" s="9"/>
    </row>
    <row r="57" spans="1:10" hidden="1" x14ac:dyDescent="0.2"/>
    <row r="58" spans="1:10" ht="15.75" hidden="1" x14ac:dyDescent="0.25">
      <c r="A58" s="63" t="s">
        <v>107</v>
      </c>
      <c r="B58" s="63"/>
      <c r="C58" s="63"/>
      <c r="D58" s="1"/>
      <c r="E58" s="1"/>
      <c r="F58" s="1"/>
      <c r="G58" s="1"/>
      <c r="H58" s="1"/>
      <c r="I58" s="1"/>
      <c r="J58" s="1"/>
    </row>
    <row r="59" spans="1:10" ht="15.75" hidden="1" x14ac:dyDescent="0.25">
      <c r="A59" s="77" t="str">
        <f>ReportMonth</f>
        <v>APRIL 2004</v>
      </c>
      <c r="B59" s="63"/>
      <c r="D59" s="1"/>
      <c r="E59" s="1"/>
      <c r="F59" s="1"/>
      <c r="G59" s="1"/>
      <c r="H59" s="1"/>
      <c r="I59" s="1"/>
      <c r="J59" s="1"/>
    </row>
    <row r="60" spans="1:10" ht="15" hidden="1" x14ac:dyDescent="0.2">
      <c r="A60" s="118" t="s">
        <v>153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15.75" hidden="1" x14ac:dyDescent="0.25">
      <c r="A61" s="95" t="s">
        <v>422</v>
      </c>
      <c r="B61" s="42"/>
      <c r="C61" s="42"/>
      <c r="D61" s="42"/>
      <c r="E61" s="42"/>
      <c r="F61" s="42"/>
      <c r="G61" s="1"/>
      <c r="H61" s="1"/>
      <c r="I61" s="1"/>
      <c r="J61" s="1"/>
    </row>
    <row r="62" spans="1:10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</row>
    <row r="65" spans="1:6" hidden="1" x14ac:dyDescent="0.2">
      <c r="A65" s="1"/>
      <c r="B65" s="1"/>
      <c r="C65" s="119"/>
      <c r="D65" s="119" t="s">
        <v>154</v>
      </c>
      <c r="E65" s="119" t="s">
        <v>115</v>
      </c>
      <c r="F65" s="5" t="s">
        <v>73</v>
      </c>
    </row>
    <row r="66" spans="1:6" hidden="1" x14ac:dyDescent="0.2">
      <c r="A66" s="1"/>
      <c r="B66" s="1"/>
      <c r="C66" s="124"/>
      <c r="D66" s="97" t="s">
        <v>121</v>
      </c>
      <c r="E66" s="97" t="s">
        <v>122</v>
      </c>
      <c r="F66" s="97" t="s">
        <v>155</v>
      </c>
    </row>
    <row r="67" spans="1:6" hidden="1" x14ac:dyDescent="0.2"/>
    <row r="68" spans="1:6" hidden="1" x14ac:dyDescent="0.2">
      <c r="A68" s="1" t="s">
        <v>131</v>
      </c>
      <c r="B68" s="1"/>
      <c r="C68" s="14"/>
      <c r="D68" s="2"/>
      <c r="E68" s="2">
        <v>224.48</v>
      </c>
      <c r="F68" s="2"/>
    </row>
    <row r="69" spans="1:6" hidden="1" x14ac:dyDescent="0.2">
      <c r="A69" s="1" t="s">
        <v>132</v>
      </c>
      <c r="B69" s="1"/>
      <c r="C69" s="14"/>
      <c r="D69" s="2"/>
      <c r="E69" s="2">
        <v>181.72</v>
      </c>
      <c r="F69" s="2"/>
    </row>
    <row r="70" spans="1:6" hidden="1" x14ac:dyDescent="0.2">
      <c r="A70" s="1" t="s">
        <v>133</v>
      </c>
      <c r="B70" s="1"/>
      <c r="C70" s="14"/>
      <c r="D70" s="2"/>
      <c r="E70" s="2">
        <v>5868.53</v>
      </c>
      <c r="F70" s="2"/>
    </row>
    <row r="71" spans="1:6" hidden="1" x14ac:dyDescent="0.2">
      <c r="A71" s="1" t="s">
        <v>134</v>
      </c>
      <c r="B71" s="1"/>
      <c r="C71" s="14"/>
      <c r="D71" s="2"/>
      <c r="E71" s="2">
        <v>181.72</v>
      </c>
      <c r="F71" s="2"/>
    </row>
    <row r="72" spans="1:6" hidden="1" x14ac:dyDescent="0.2">
      <c r="A72" s="1" t="s">
        <v>135</v>
      </c>
      <c r="B72" s="1"/>
      <c r="C72" s="14"/>
      <c r="D72" s="2"/>
      <c r="E72" s="2">
        <v>352.75</v>
      </c>
      <c r="F72" s="2"/>
    </row>
    <row r="73" spans="1:6" hidden="1" x14ac:dyDescent="0.2">
      <c r="A73" s="1" t="s">
        <v>136</v>
      </c>
      <c r="B73" s="1"/>
      <c r="C73" s="14"/>
      <c r="D73" s="2"/>
      <c r="E73" s="2">
        <v>85.52</v>
      </c>
      <c r="F73" s="2"/>
    </row>
    <row r="74" spans="1:6" hidden="1" x14ac:dyDescent="0.2">
      <c r="A74" s="1" t="s">
        <v>137</v>
      </c>
      <c r="B74" s="1"/>
      <c r="C74" s="14"/>
      <c r="D74" s="2"/>
      <c r="E74" s="2">
        <v>171.03</v>
      </c>
      <c r="F74" s="2"/>
    </row>
    <row r="75" spans="1:6" hidden="1" x14ac:dyDescent="0.2">
      <c r="A75" s="1" t="s">
        <v>138</v>
      </c>
      <c r="B75" s="1"/>
      <c r="C75" s="14"/>
      <c r="D75" s="2"/>
      <c r="E75" s="2">
        <v>224.48</v>
      </c>
      <c r="F75" s="2"/>
    </row>
    <row r="76" spans="1:6" hidden="1" x14ac:dyDescent="0.2">
      <c r="A76" s="1" t="s">
        <v>139</v>
      </c>
      <c r="B76" s="1"/>
      <c r="C76" s="14"/>
      <c r="D76" s="2"/>
      <c r="E76" s="2">
        <v>213.79</v>
      </c>
      <c r="F76" s="2"/>
    </row>
    <row r="77" spans="1:6" hidden="1" x14ac:dyDescent="0.2">
      <c r="A77" s="1" t="s">
        <v>140</v>
      </c>
      <c r="B77" s="1"/>
      <c r="C77" s="14"/>
      <c r="D77" s="2"/>
      <c r="E77" s="2">
        <v>342.06</v>
      </c>
      <c r="F77" s="2"/>
    </row>
    <row r="78" spans="1:6" hidden="1" x14ac:dyDescent="0.2">
      <c r="A78" s="1" t="s">
        <v>141</v>
      </c>
      <c r="B78" s="1"/>
      <c r="C78" s="14"/>
      <c r="D78" s="2"/>
      <c r="E78" s="2">
        <v>224.48</v>
      </c>
      <c r="F78" s="2"/>
    </row>
    <row r="79" spans="1:6" hidden="1" x14ac:dyDescent="0.2">
      <c r="A79" s="1" t="s">
        <v>142</v>
      </c>
      <c r="B79" s="1"/>
      <c r="C79" s="14"/>
      <c r="D79" s="2"/>
      <c r="E79" s="2">
        <v>74.83</v>
      </c>
      <c r="F79" s="2"/>
    </row>
    <row r="80" spans="1:6" hidden="1" x14ac:dyDescent="0.2">
      <c r="A80" s="1" t="s">
        <v>143</v>
      </c>
      <c r="B80" s="1"/>
      <c r="C80" s="14"/>
      <c r="D80" s="2"/>
      <c r="E80" s="2">
        <v>470.34</v>
      </c>
      <c r="F80" s="2"/>
    </row>
    <row r="81" spans="1:6" hidden="1" x14ac:dyDescent="0.2">
      <c r="A81" s="1" t="s">
        <v>144</v>
      </c>
      <c r="B81" s="1"/>
      <c r="C81" s="14"/>
      <c r="D81" s="2"/>
      <c r="E81" s="2">
        <v>352.75</v>
      </c>
      <c r="F81" s="2"/>
    </row>
    <row r="82" spans="1:6" hidden="1" x14ac:dyDescent="0.2">
      <c r="A82" s="1" t="s">
        <v>145</v>
      </c>
      <c r="B82" s="1"/>
      <c r="C82" s="14"/>
      <c r="D82" s="2"/>
      <c r="E82" s="2">
        <v>21.38</v>
      </c>
      <c r="F82" s="2"/>
    </row>
    <row r="83" spans="1:6" hidden="1" x14ac:dyDescent="0.2">
      <c r="A83" s="1" t="s">
        <v>146</v>
      </c>
      <c r="B83" s="1"/>
      <c r="C83" s="14"/>
      <c r="D83" s="2"/>
      <c r="E83" s="2">
        <v>1475.15</v>
      </c>
      <c r="F83" s="2"/>
    </row>
    <row r="84" spans="1:6" hidden="1" x14ac:dyDescent="0.2">
      <c r="A84" s="1" t="s">
        <v>147</v>
      </c>
      <c r="B84" s="1"/>
      <c r="C84" s="212"/>
      <c r="D84" s="2"/>
      <c r="E84" s="2">
        <v>224.48</v>
      </c>
      <c r="F84" s="2"/>
    </row>
    <row r="85" spans="1:6" ht="13.5" hidden="1" thickBot="1" x14ac:dyDescent="0.25">
      <c r="A85" s="1" t="s">
        <v>12</v>
      </c>
      <c r="B85" s="1"/>
      <c r="C85" s="212"/>
      <c r="D85" s="132">
        <f>SUM(D68:D84)</f>
        <v>0</v>
      </c>
      <c r="E85" s="132">
        <f>SUM(E68:E84)</f>
        <v>10689.49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I9</f>
        <v>2047842.32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1:19" hidden="1" x14ac:dyDescent="0.2">
      <c r="K97" s="401" t="s">
        <v>677</v>
      </c>
      <c r="L97" s="401"/>
      <c r="M97" s="401"/>
      <c r="N97" s="401"/>
      <c r="O97" s="401"/>
      <c r="P97" s="401"/>
      <c r="Q97" s="401"/>
      <c r="R97" s="401"/>
    </row>
    <row r="98" spans="11:19" hidden="1" x14ac:dyDescent="0.2">
      <c r="L98" s="1"/>
      <c r="M98" s="1"/>
      <c r="N98" s="1"/>
      <c r="O98" s="390" t="s">
        <v>73</v>
      </c>
      <c r="P98" s="119" t="s">
        <v>116</v>
      </c>
      <c r="Q98" s="119" t="s">
        <v>117</v>
      </c>
      <c r="R98" s="119" t="s">
        <v>118</v>
      </c>
    </row>
    <row r="99" spans="11:19" hidden="1" x14ac:dyDescent="0.2">
      <c r="L99" s="40" t="s">
        <v>124</v>
      </c>
      <c r="M99" s="40" t="s">
        <v>125</v>
      </c>
      <c r="N99" s="40" t="s">
        <v>126</v>
      </c>
      <c r="O99" s="139" t="s">
        <v>127</v>
      </c>
      <c r="P99" s="97" t="s">
        <v>128</v>
      </c>
      <c r="Q99" s="97" t="s">
        <v>129</v>
      </c>
      <c r="R99" s="40" t="s">
        <v>230</v>
      </c>
    </row>
    <row r="100" spans="11:19" hidden="1" x14ac:dyDescent="0.2">
      <c r="K100" s="155" t="s">
        <v>678</v>
      </c>
      <c r="L100" s="223">
        <f>+s3a!J51</f>
        <v>2833.22</v>
      </c>
      <c r="M100" s="223">
        <f>+Q108</f>
        <v>5194.58</v>
      </c>
      <c r="N100" s="223">
        <f>+$Q$109*s3c!F108</f>
        <v>5597.38</v>
      </c>
      <c r="O100" s="393">
        <f>+L100+M100+N100</f>
        <v>13625.18</v>
      </c>
      <c r="P100" s="223">
        <f>+Q111</f>
        <v>37476.99</v>
      </c>
      <c r="Q100" s="223">
        <f>ROUND(+$Q$112*s3c!I108,2)</f>
        <v>1117.97</v>
      </c>
      <c r="R100" s="223">
        <f>+O100+P100+Q100</f>
        <v>52220.14</v>
      </c>
    </row>
    <row r="101" spans="11:19" hidden="1" x14ac:dyDescent="0.2">
      <c r="K101" s="155" t="s">
        <v>679</v>
      </c>
      <c r="L101" s="223">
        <f>+s3a!J52</f>
        <v>3331.04</v>
      </c>
      <c r="M101" s="223"/>
      <c r="N101" s="223">
        <f>+$Q$109*s3c!F109</f>
        <v>3016.74</v>
      </c>
      <c r="O101" s="393">
        <f>+L101+M101+N101</f>
        <v>6347.78</v>
      </c>
      <c r="P101" s="223"/>
      <c r="Q101" s="223">
        <f>ROUND(+$Q$112*s3c!I109,2)</f>
        <v>2179.85</v>
      </c>
      <c r="R101" s="223">
        <f>+O101+P101+Q101</f>
        <v>8527.6299999999992</v>
      </c>
    </row>
    <row r="102" spans="11:19" hidden="1" x14ac:dyDescent="0.2">
      <c r="K102" s="155" t="s">
        <v>680</v>
      </c>
      <c r="L102" s="223">
        <f>+s3a!J53</f>
        <v>1123.6600000000001</v>
      </c>
      <c r="M102" s="223"/>
      <c r="N102" s="223">
        <f>+$Q$109*s3c!F110</f>
        <v>1170.32</v>
      </c>
      <c r="O102" s="393">
        <f>+L102+M102+N102</f>
        <v>2293.98</v>
      </c>
      <c r="P102" s="223"/>
      <c r="Q102" s="223">
        <f>ROUND(+$Q$112*s3c!I110,2)</f>
        <v>873.35</v>
      </c>
      <c r="R102" s="223">
        <f>+O102+P102+Q102</f>
        <v>3167.33</v>
      </c>
    </row>
    <row r="103" spans="11:19" hidden="1" x14ac:dyDescent="0.2">
      <c r="K103" s="358" t="s">
        <v>681</v>
      </c>
      <c r="L103" s="359">
        <f>+L100+L101+L102</f>
        <v>7287.92</v>
      </c>
      <c r="M103" s="359">
        <f>+M100+M101+M102</f>
        <v>5194.58</v>
      </c>
      <c r="N103" s="359">
        <f>SUM(N100:N102)</f>
        <v>9784.44</v>
      </c>
      <c r="O103" s="394">
        <f>SUM(O100:O102)</f>
        <v>22266.94</v>
      </c>
      <c r="P103" s="359">
        <f>+P100+P101+P102</f>
        <v>37476.99</v>
      </c>
      <c r="Q103" s="359">
        <f>+Q100+Q101+Q102</f>
        <v>4171.17</v>
      </c>
      <c r="R103" s="359">
        <f>+O103+P103+Q103</f>
        <v>63915.1</v>
      </c>
    </row>
    <row r="104" spans="11:19" hidden="1" x14ac:dyDescent="0.2">
      <c r="L104" s="223"/>
      <c r="M104" s="223"/>
      <c r="N104" s="223"/>
      <c r="O104" s="393"/>
      <c r="P104" s="223"/>
      <c r="Q104" s="223"/>
      <c r="R104" s="223">
        <f>+R100+R101+R102</f>
        <v>63915.1</v>
      </c>
      <c r="S104" s="223">
        <f>+R103-R104</f>
        <v>0</v>
      </c>
    </row>
    <row r="105" spans="11:19" hidden="1" x14ac:dyDescent="0.2">
      <c r="O105" s="395"/>
      <c r="P105" s="283"/>
      <c r="Q105" s="283"/>
      <c r="R105" s="283"/>
    </row>
    <row r="106" spans="11:19" hidden="1" x14ac:dyDescent="0.2">
      <c r="K106" t="s">
        <v>682</v>
      </c>
      <c r="L106" t="s">
        <v>597</v>
      </c>
      <c r="M106" t="s">
        <v>676</v>
      </c>
      <c r="N106" t="s">
        <v>683</v>
      </c>
      <c r="O106" s="395" t="s">
        <v>684</v>
      </c>
      <c r="P106" s="283" t="s">
        <v>685</v>
      </c>
      <c r="Q106" s="283" t="s">
        <v>686</v>
      </c>
      <c r="R106" s="283"/>
    </row>
    <row r="107" spans="11:19" hidden="1" x14ac:dyDescent="0.2">
      <c r="K107">
        <v>1.75</v>
      </c>
      <c r="L107" s="1">
        <v>1.7140200000000001E-2</v>
      </c>
      <c r="M107" s="360">
        <v>2.7400000000000001E-2</v>
      </c>
      <c r="N107" s="20">
        <f>ROUND(L107*M107,6)</f>
        <v>4.6999999999999999E-4</v>
      </c>
      <c r="O107" s="396">
        <f>N107/$N$113</f>
        <v>0.114025086</v>
      </c>
      <c r="P107" s="223">
        <f>+I14</f>
        <v>63915.1</v>
      </c>
      <c r="Q107" s="223">
        <f>+$P$107*O107</f>
        <v>7287.92</v>
      </c>
    </row>
    <row r="108" spans="11:19" hidden="1" x14ac:dyDescent="0.2">
      <c r="K108">
        <v>1.25</v>
      </c>
      <c r="L108">
        <v>1.2243E-2</v>
      </c>
      <c r="M108" s="360">
        <v>2.7400000000000001E-2</v>
      </c>
      <c r="N108" s="20">
        <f>ROUND(L108*M108,6)</f>
        <v>3.3500000000000001E-4</v>
      </c>
      <c r="O108" s="396">
        <f>N108/$N$113</f>
        <v>8.1273199000000004E-2</v>
      </c>
      <c r="P108" s="223" t="s">
        <v>82</v>
      </c>
      <c r="Q108" s="223">
        <f>+$P$107*O108</f>
        <v>5194.58</v>
      </c>
    </row>
    <row r="109" spans="11:19" hidden="1" x14ac:dyDescent="0.2">
      <c r="K109">
        <v>2.35</v>
      </c>
      <c r="L109" s="1">
        <v>2.30168E-2</v>
      </c>
      <c r="M109" s="360">
        <v>2.7400000000000001E-2</v>
      </c>
      <c r="N109" s="20">
        <f>ROUND(L109*M109,6)</f>
        <v>6.3100000000000005E-4</v>
      </c>
      <c r="O109" s="396">
        <f>N109/$N$113</f>
        <v>0.153084742</v>
      </c>
      <c r="P109" s="223" t="s">
        <v>82</v>
      </c>
      <c r="Q109" s="223">
        <f>+$P$107*O109+0.01</f>
        <v>9784.44</v>
      </c>
      <c r="R109" s="223" t="s">
        <v>82</v>
      </c>
      <c r="S109" s="223" t="str">
        <f>+R109</f>
        <v xml:space="preserve"> </v>
      </c>
    </row>
    <row r="110" spans="11:19" hidden="1" x14ac:dyDescent="0.2">
      <c r="K110" s="355" t="s">
        <v>687</v>
      </c>
      <c r="L110" s="361">
        <f>+L108+L109+L107</f>
        <v>5.2400000000000002E-2</v>
      </c>
      <c r="M110" s="344">
        <v>2.7400000000000001E-2</v>
      </c>
      <c r="N110" s="345">
        <f>ROUND(L110*M110,6)</f>
        <v>1.436E-3</v>
      </c>
      <c r="O110" s="397">
        <f>SUM(O107:O109)</f>
        <v>0.34838302700000001</v>
      </c>
      <c r="P110" s="221" t="s">
        <v>82</v>
      </c>
      <c r="Q110" s="221">
        <f>+Q107+Q108+Q109</f>
        <v>22266.94</v>
      </c>
      <c r="R110" s="223">
        <f>+O103</f>
        <v>22266.94</v>
      </c>
      <c r="S110" s="223">
        <f>+Q110-R110</f>
        <v>0</v>
      </c>
    </row>
    <row r="111" spans="11:19" hidden="1" x14ac:dyDescent="0.2">
      <c r="K111">
        <v>0.09</v>
      </c>
      <c r="L111" s="20">
        <v>8.8200000000000001E-2</v>
      </c>
      <c r="M111" s="362">
        <v>2.7400000000000001E-2</v>
      </c>
      <c r="N111" s="20">
        <f>ROUND(L111*M111,6)-0.0000001</f>
        <v>2.4169E-3</v>
      </c>
      <c r="O111" s="396">
        <f>N111/$N$113</f>
        <v>0.58635580700000001</v>
      </c>
      <c r="P111" s="223" t="s">
        <v>82</v>
      </c>
      <c r="Q111" s="223">
        <f>+$P$107*O111</f>
        <v>37476.99</v>
      </c>
    </row>
    <row r="112" spans="11:19" hidden="1" x14ac:dyDescent="0.2">
      <c r="K112">
        <v>0.01</v>
      </c>
      <c r="L112">
        <v>9.7999999999999997E-3</v>
      </c>
      <c r="M112" s="360">
        <v>2.7400000000000001E-2</v>
      </c>
      <c r="N112" s="20">
        <f>ROUND(L112*M112,6)</f>
        <v>2.6899999999999998E-4</v>
      </c>
      <c r="O112" s="396">
        <f>N112/$N$113</f>
        <v>6.5261165999999995E-2</v>
      </c>
      <c r="P112" s="223" t="s">
        <v>82</v>
      </c>
      <c r="Q112" s="223">
        <f>+$P$107*O112</f>
        <v>4171.17</v>
      </c>
    </row>
    <row r="113" spans="1:18" hidden="1" x14ac:dyDescent="0.2">
      <c r="K113" s="355" t="s">
        <v>688</v>
      </c>
      <c r="L113" s="361">
        <f>+L110+L111+L112</f>
        <v>0.15040000000000001</v>
      </c>
      <c r="M113" s="363">
        <f>+M112</f>
        <v>2.7400000000000001E-2</v>
      </c>
      <c r="N113" s="364">
        <f>+N111+N112+N110</f>
        <v>4.1219000000000004E-3</v>
      </c>
      <c r="O113" s="397">
        <f>+O110+O111+O112</f>
        <v>1</v>
      </c>
      <c r="P113" s="221" t="s">
        <v>82</v>
      </c>
      <c r="Q113" s="221">
        <f>+Q110+Q111+Q112</f>
        <v>63915.1</v>
      </c>
      <c r="R113" s="223">
        <f>+P107-Q113</f>
        <v>0</v>
      </c>
    </row>
    <row r="115" spans="1:18" ht="15.75" x14ac:dyDescent="0.25">
      <c r="A115" s="63" t="s">
        <v>430</v>
      </c>
      <c r="B115" s="63"/>
      <c r="D115" s="1"/>
      <c r="E115" s="263"/>
      <c r="F115" s="1"/>
      <c r="G115" s="1"/>
      <c r="H115" s="1"/>
    </row>
    <row r="116" spans="1:18" ht="15.75" x14ac:dyDescent="0.25">
      <c r="A116" s="77" t="str">
        <f>ReportMonth</f>
        <v>APRIL 2004</v>
      </c>
      <c r="B116" s="63"/>
      <c r="C116" s="63"/>
      <c r="D116" s="1"/>
      <c r="E116" s="263"/>
      <c r="F116" s="1"/>
      <c r="G116" s="1"/>
      <c r="H116" s="1"/>
    </row>
    <row r="117" spans="1:18" ht="15.75" x14ac:dyDescent="0.25">
      <c r="A117" s="95" t="s">
        <v>111</v>
      </c>
      <c r="B117" s="43"/>
      <c r="C117" s="43"/>
      <c r="D117" s="43"/>
      <c r="E117" s="264"/>
      <c r="F117" s="43"/>
      <c r="G117" s="43"/>
      <c r="H117" s="43"/>
    </row>
    <row r="118" spans="1:18" x14ac:dyDescent="0.2">
      <c r="A118" s="1"/>
      <c r="B118" s="1"/>
      <c r="C118" s="1"/>
      <c r="D118" s="1"/>
      <c r="E118" s="266" t="s">
        <v>73</v>
      </c>
      <c r="F118" s="119" t="s">
        <v>116</v>
      </c>
      <c r="G118" s="119" t="s">
        <v>117</v>
      </c>
      <c r="H118" s="119" t="s">
        <v>118</v>
      </c>
    </row>
    <row r="119" spans="1:18" x14ac:dyDescent="0.2">
      <c r="A119" s="4"/>
      <c r="B119" s="40" t="s">
        <v>124</v>
      </c>
      <c r="C119" s="40" t="s">
        <v>125</v>
      </c>
      <c r="D119" s="40" t="s">
        <v>126</v>
      </c>
      <c r="E119" s="267" t="s">
        <v>127</v>
      </c>
      <c r="F119" s="97" t="s">
        <v>128</v>
      </c>
      <c r="G119" s="97" t="s">
        <v>129</v>
      </c>
      <c r="H119" s="40" t="s">
        <v>230</v>
      </c>
    </row>
    <row r="120" spans="1:18" x14ac:dyDescent="0.2">
      <c r="A120" s="1"/>
      <c r="B120" s="2"/>
      <c r="C120" s="1"/>
      <c r="D120" s="1"/>
      <c r="E120" s="263"/>
      <c r="F120" s="1"/>
      <c r="G120" s="1"/>
      <c r="H120" s="1"/>
    </row>
    <row r="121" spans="1:18" x14ac:dyDescent="0.2">
      <c r="A121" s="219" t="s">
        <v>21</v>
      </c>
      <c r="B121" s="220">
        <f>s3a!K8</f>
        <v>51246.54</v>
      </c>
      <c r="C121" s="220">
        <f>F37</f>
        <v>18585.38</v>
      </c>
      <c r="D121" s="220">
        <f>s3c!G71</f>
        <v>34940.44</v>
      </c>
      <c r="E121" s="270">
        <f>SUM(B121:D121)</f>
        <v>104772.36</v>
      </c>
      <c r="F121" s="220">
        <f>P10</f>
        <v>266658.55</v>
      </c>
      <c r="G121" s="220">
        <f>+s3c!H71</f>
        <v>29777.7</v>
      </c>
      <c r="H121" s="221">
        <f t="shared" ref="H121:H158" si="11">SUM(E121:G121)</f>
        <v>401208.61</v>
      </c>
    </row>
    <row r="122" spans="1:18" x14ac:dyDescent="0.2">
      <c r="A122" s="155" t="s">
        <v>22</v>
      </c>
      <c r="B122" s="222">
        <f>s3a!K9</f>
        <v>3881.37</v>
      </c>
      <c r="C122" s="222">
        <f>F38</f>
        <v>28846.35</v>
      </c>
      <c r="D122" s="222">
        <f>s3c!G72</f>
        <v>47415.37</v>
      </c>
      <c r="E122" s="271">
        <f>SUM(B122:D122)</f>
        <v>80143.09</v>
      </c>
      <c r="F122" s="222">
        <f>P11</f>
        <v>27350.78</v>
      </c>
      <c r="G122" s="222">
        <f>+s3c!H72</f>
        <v>2060.73</v>
      </c>
      <c r="H122" s="223">
        <f t="shared" si="11"/>
        <v>109554.6</v>
      </c>
    </row>
    <row r="123" spans="1:18" x14ac:dyDescent="0.2">
      <c r="A123" s="198" t="s">
        <v>375</v>
      </c>
      <c r="B123" s="222">
        <f>s3a!K10</f>
        <v>1369.13</v>
      </c>
      <c r="C123" s="222"/>
      <c r="D123" s="222">
        <f>s3c!G73</f>
        <v>6815.77</v>
      </c>
      <c r="E123" s="271">
        <f>SUM(B123:D123)</f>
        <v>8184.9</v>
      </c>
      <c r="F123" s="222"/>
      <c r="G123" s="222">
        <f>+s3c!H73</f>
        <v>994.96</v>
      </c>
      <c r="H123" s="223">
        <f t="shared" si="11"/>
        <v>9179.86</v>
      </c>
    </row>
    <row r="124" spans="1:18" x14ac:dyDescent="0.2">
      <c r="A124" s="218" t="s">
        <v>431</v>
      </c>
      <c r="B124" s="220">
        <f>SUM(B122:B123)</f>
        <v>5250.5</v>
      </c>
      <c r="C124" s="220">
        <f>C122</f>
        <v>28846.35</v>
      </c>
      <c r="D124" s="220">
        <f>s3c!G74</f>
        <v>54231.14</v>
      </c>
      <c r="E124" s="270">
        <f>SUM(E122:E123)</f>
        <v>88327.99</v>
      </c>
      <c r="F124" s="220">
        <f>P11</f>
        <v>27350.78</v>
      </c>
      <c r="G124" s="220">
        <f>SUM(G122:G123)</f>
        <v>3055.69</v>
      </c>
      <c r="H124" s="221">
        <f t="shared" si="11"/>
        <v>118734.46</v>
      </c>
    </row>
    <row r="125" spans="1:18" x14ac:dyDescent="0.2">
      <c r="A125" s="155" t="s">
        <v>23</v>
      </c>
      <c r="B125" s="222">
        <f>s3a!K12</f>
        <v>522175.06</v>
      </c>
      <c r="C125" s="222">
        <f>F39</f>
        <v>489449.62</v>
      </c>
      <c r="D125" s="222">
        <f>s3c!G75</f>
        <v>570059.43999999994</v>
      </c>
      <c r="E125" s="271">
        <f t="shared" ref="E125:E130" si="12">SUM(B125:D125)</f>
        <v>1581684.12</v>
      </c>
      <c r="F125" s="222">
        <f>P12</f>
        <v>5310227.29</v>
      </c>
      <c r="G125" s="222">
        <f>+s3c!H75</f>
        <v>253133.06</v>
      </c>
      <c r="H125" s="223">
        <f t="shared" si="11"/>
        <v>7145044.4699999997</v>
      </c>
    </row>
    <row r="126" spans="1:18" x14ac:dyDescent="0.2">
      <c r="A126" s="155" t="s">
        <v>376</v>
      </c>
      <c r="B126" s="222">
        <f>s3a!K13</f>
        <v>10647.6</v>
      </c>
      <c r="C126" s="222"/>
      <c r="D126" s="222">
        <f>s3c!G76</f>
        <v>12440.61</v>
      </c>
      <c r="E126" s="271">
        <f t="shared" si="12"/>
        <v>23088.21</v>
      </c>
      <c r="F126" s="222"/>
      <c r="G126" s="222">
        <f>+s3c!H76</f>
        <v>5679.69</v>
      </c>
      <c r="H126" s="223">
        <f t="shared" si="11"/>
        <v>28767.9</v>
      </c>
    </row>
    <row r="127" spans="1:18" x14ac:dyDescent="0.2">
      <c r="A127" s="155" t="s">
        <v>377</v>
      </c>
      <c r="B127" s="222">
        <f>s3a!K14</f>
        <v>155383.06</v>
      </c>
      <c r="C127" s="222"/>
      <c r="D127" s="222">
        <f>s3c!G77</f>
        <v>81830.11</v>
      </c>
      <c r="E127" s="271">
        <f t="shared" si="12"/>
        <v>237213.17</v>
      </c>
      <c r="F127" s="222"/>
      <c r="G127" s="222">
        <f>+s3c!H77</f>
        <v>80162.09</v>
      </c>
      <c r="H127" s="223">
        <f t="shared" si="11"/>
        <v>317375.26</v>
      </c>
    </row>
    <row r="128" spans="1:18" x14ac:dyDescent="0.2">
      <c r="A128" s="155" t="s">
        <v>378</v>
      </c>
      <c r="B128" s="222">
        <f>s3a!K15</f>
        <v>262194.75</v>
      </c>
      <c r="C128" s="222"/>
      <c r="D128" s="222">
        <f>s3c!G78</f>
        <v>193455.09</v>
      </c>
      <c r="E128" s="271">
        <f t="shared" si="12"/>
        <v>455649.84</v>
      </c>
      <c r="F128" s="222"/>
      <c r="G128" s="222">
        <f>+s3c!H78</f>
        <v>196932.66</v>
      </c>
      <c r="H128" s="223">
        <f t="shared" si="11"/>
        <v>652582.5</v>
      </c>
    </row>
    <row r="129" spans="1:8" x14ac:dyDescent="0.2">
      <c r="A129" s="155" t="s">
        <v>379</v>
      </c>
      <c r="B129" s="222">
        <f>s3a!K16</f>
        <v>7616.8</v>
      </c>
      <c r="C129" s="222"/>
      <c r="D129" s="222">
        <f>s3c!G79</f>
        <v>5162.12</v>
      </c>
      <c r="E129" s="271">
        <f t="shared" si="12"/>
        <v>12778.92</v>
      </c>
      <c r="F129" s="222"/>
      <c r="G129" s="222">
        <f>+s3c!H79</f>
        <v>5057.05</v>
      </c>
      <c r="H129" s="223">
        <f t="shared" si="11"/>
        <v>17835.97</v>
      </c>
    </row>
    <row r="130" spans="1:8" x14ac:dyDescent="0.2">
      <c r="A130" s="155" t="s">
        <v>380</v>
      </c>
      <c r="B130" s="222">
        <f>s3a!K17</f>
        <v>62453.85</v>
      </c>
      <c r="C130" s="222"/>
      <c r="D130" s="222">
        <f>s3c!G80</f>
        <v>57215.74</v>
      </c>
      <c r="E130" s="271">
        <f t="shared" si="12"/>
        <v>119669.59</v>
      </c>
      <c r="F130" s="222"/>
      <c r="G130" s="222">
        <f>+s3c!H80</f>
        <v>52029.279999999999</v>
      </c>
      <c r="H130" s="223">
        <f t="shared" si="11"/>
        <v>171698.87</v>
      </c>
    </row>
    <row r="131" spans="1:8" x14ac:dyDescent="0.2">
      <c r="A131" s="218" t="s">
        <v>431</v>
      </c>
      <c r="B131" s="220">
        <f>SUM(B125:B130)</f>
        <v>1020471.12</v>
      </c>
      <c r="C131" s="224">
        <f>C125</f>
        <v>489449.62</v>
      </c>
      <c r="D131" s="220">
        <f>s3c!G81</f>
        <v>920163.11</v>
      </c>
      <c r="E131" s="270">
        <f>SUM(E125:E130)</f>
        <v>2430083.85</v>
      </c>
      <c r="F131" s="220">
        <f>P12</f>
        <v>5310227.29</v>
      </c>
      <c r="G131" s="220">
        <f>SUM(G125:G130)</f>
        <v>592993.82999999996</v>
      </c>
      <c r="H131" s="221">
        <f t="shared" si="11"/>
        <v>8333304.9699999997</v>
      </c>
    </row>
    <row r="132" spans="1:8" x14ac:dyDescent="0.2">
      <c r="A132" s="219" t="s">
        <v>24</v>
      </c>
      <c r="B132" s="220">
        <f>s3a!K19</f>
        <v>33865.39</v>
      </c>
      <c r="C132" s="220">
        <f>F40</f>
        <v>16637.37</v>
      </c>
      <c r="D132" s="220">
        <f>s3c!G82</f>
        <v>31278.22</v>
      </c>
      <c r="E132" s="272">
        <f t="shared" ref="E132:E137" si="13">SUM(B132:D132)</f>
        <v>81780.98</v>
      </c>
      <c r="F132" s="221">
        <f>P13</f>
        <v>78319.23</v>
      </c>
      <c r="G132" s="220">
        <f>+s3c!H82</f>
        <v>19678.32</v>
      </c>
      <c r="H132" s="221">
        <f t="shared" si="11"/>
        <v>179778.53</v>
      </c>
    </row>
    <row r="133" spans="1:8" x14ac:dyDescent="0.2">
      <c r="A133" s="155" t="s">
        <v>25</v>
      </c>
      <c r="B133" s="222">
        <f>s3a!K20</f>
        <v>19674.71</v>
      </c>
      <c r="C133" s="222">
        <f>F41</f>
        <v>68002.41</v>
      </c>
      <c r="D133" s="222">
        <f>s3c!G83</f>
        <v>99243.15</v>
      </c>
      <c r="E133" s="271">
        <f t="shared" si="13"/>
        <v>186920.27</v>
      </c>
      <c r="F133" s="222">
        <f>P14</f>
        <v>83093.17</v>
      </c>
      <c r="G133" s="222">
        <f>+s3c!H83</f>
        <v>9755.5400000000009</v>
      </c>
      <c r="H133" s="223">
        <f t="shared" si="11"/>
        <v>279768.98</v>
      </c>
    </row>
    <row r="134" spans="1:8" x14ac:dyDescent="0.2">
      <c r="A134" s="155" t="s">
        <v>381</v>
      </c>
      <c r="B134" s="222">
        <f>s3a!K21</f>
        <v>800.82</v>
      </c>
      <c r="C134" s="222"/>
      <c r="D134" s="222">
        <f>s3c!G84</f>
        <v>2292.25</v>
      </c>
      <c r="E134" s="271">
        <f t="shared" si="13"/>
        <v>3093.07</v>
      </c>
      <c r="F134" s="222"/>
      <c r="G134" s="222">
        <f>+s3c!H84</f>
        <v>929.69</v>
      </c>
      <c r="H134" s="223">
        <f t="shared" si="11"/>
        <v>4022.76</v>
      </c>
    </row>
    <row r="135" spans="1:8" x14ac:dyDescent="0.2">
      <c r="A135" s="155" t="s">
        <v>135</v>
      </c>
      <c r="B135" s="222">
        <f>s3a!K22</f>
        <v>11411.28</v>
      </c>
      <c r="C135" s="222"/>
      <c r="D135" s="222">
        <f>s3c!G85</f>
        <v>20423.16</v>
      </c>
      <c r="E135" s="271">
        <f t="shared" si="13"/>
        <v>31834.44</v>
      </c>
      <c r="F135" s="222"/>
      <c r="G135" s="222">
        <f>+s3c!H85</f>
        <v>7481.49</v>
      </c>
      <c r="H135" s="223">
        <f t="shared" si="11"/>
        <v>39315.93</v>
      </c>
    </row>
    <row r="136" spans="1:8" x14ac:dyDescent="0.2">
      <c r="A136" s="155" t="s">
        <v>382</v>
      </c>
      <c r="B136" s="222">
        <f>s3a!K23</f>
        <v>650.59</v>
      </c>
      <c r="C136" s="222"/>
      <c r="D136" s="222">
        <f>s3c!G86</f>
        <v>1924.06</v>
      </c>
      <c r="E136" s="271">
        <f t="shared" si="13"/>
        <v>2574.65</v>
      </c>
      <c r="F136" s="222"/>
      <c r="G136" s="222">
        <f>+s3c!H86</f>
        <v>622.65</v>
      </c>
      <c r="H136" s="223">
        <f t="shared" si="11"/>
        <v>3197.3</v>
      </c>
    </row>
    <row r="137" spans="1:8" x14ac:dyDescent="0.2">
      <c r="A137" s="155" t="s">
        <v>383</v>
      </c>
      <c r="B137" s="222">
        <f>s3a!K24</f>
        <v>3290.11</v>
      </c>
      <c r="C137" s="222"/>
      <c r="D137" s="222">
        <f>s3c!G87</f>
        <v>3961.9</v>
      </c>
      <c r="E137" s="271">
        <f t="shared" si="13"/>
        <v>7252.01</v>
      </c>
      <c r="F137" s="222"/>
      <c r="G137" s="222">
        <f>+s3c!H87</f>
        <v>2089.35</v>
      </c>
      <c r="H137" s="223">
        <f t="shared" si="11"/>
        <v>9341.36</v>
      </c>
    </row>
    <row r="138" spans="1:8" x14ac:dyDescent="0.2">
      <c r="A138" s="218" t="s">
        <v>431</v>
      </c>
      <c r="B138" s="220">
        <f>SUM(B133:B137)</f>
        <v>35827.51</v>
      </c>
      <c r="C138" s="224">
        <f>C133</f>
        <v>68002.41</v>
      </c>
      <c r="D138" s="220">
        <f>s3c!G88</f>
        <v>127844.52</v>
      </c>
      <c r="E138" s="270">
        <f>SUM(E133:E137)</f>
        <v>231674.44</v>
      </c>
      <c r="F138" s="220">
        <f>P14</f>
        <v>83093.17</v>
      </c>
      <c r="G138" s="220">
        <f>SUM(G133:G137)</f>
        <v>20878.72</v>
      </c>
      <c r="H138" s="221">
        <f t="shared" si="11"/>
        <v>335646.33</v>
      </c>
    </row>
    <row r="139" spans="1:8" x14ac:dyDescent="0.2">
      <c r="A139" s="219" t="s">
        <v>26</v>
      </c>
      <c r="B139" s="220">
        <f>s3a!K26</f>
        <v>547.24</v>
      </c>
      <c r="C139" s="220">
        <f>F42</f>
        <v>15829.05</v>
      </c>
      <c r="D139" s="220">
        <f>s3c!G89</f>
        <v>29758.6</v>
      </c>
      <c r="E139" s="272">
        <f>SUM(B139:D139)</f>
        <v>46134.89</v>
      </c>
      <c r="F139" s="221">
        <f>P15</f>
        <v>1265.56</v>
      </c>
      <c r="G139" s="220">
        <f>+s3c!H89</f>
        <v>317.98</v>
      </c>
      <c r="H139" s="221">
        <f t="shared" si="11"/>
        <v>47718.43</v>
      </c>
    </row>
    <row r="140" spans="1:8" x14ac:dyDescent="0.2">
      <c r="A140" s="243" t="s">
        <v>27</v>
      </c>
      <c r="B140" s="244">
        <f>s3a!K27</f>
        <v>1680.5</v>
      </c>
      <c r="C140" s="244">
        <f>F43</f>
        <v>20202.86</v>
      </c>
      <c r="D140" s="244">
        <f>s3c!G90</f>
        <v>37981.370000000003</v>
      </c>
      <c r="E140" s="273">
        <f>SUM(B140:D140)</f>
        <v>59864.73</v>
      </c>
      <c r="F140" s="245">
        <f>P16</f>
        <v>3887.15</v>
      </c>
      <c r="G140" s="244">
        <f>+s3c!H90</f>
        <v>976.77</v>
      </c>
      <c r="H140" s="245">
        <f t="shared" si="11"/>
        <v>64728.65</v>
      </c>
    </row>
    <row r="141" spans="1:8" x14ac:dyDescent="0.2">
      <c r="A141" s="155" t="s">
        <v>28</v>
      </c>
      <c r="B141" s="222">
        <f>s3a!K28</f>
        <v>17354.29</v>
      </c>
      <c r="C141" s="222">
        <f>F44</f>
        <v>40822.269999999997</v>
      </c>
      <c r="D141" s="222">
        <f>s3c!G91</f>
        <v>64706.75</v>
      </c>
      <c r="E141" s="274">
        <f>SUM(B141:D141)</f>
        <v>122883.31</v>
      </c>
      <c r="F141" s="223">
        <f>P17</f>
        <v>119062.96</v>
      </c>
      <c r="G141" s="222">
        <f>+s3c!H91</f>
        <v>7398.06</v>
      </c>
      <c r="H141" s="223">
        <f t="shared" si="11"/>
        <v>249344.33</v>
      </c>
    </row>
    <row r="142" spans="1:8" x14ac:dyDescent="0.2">
      <c r="A142" s="155" t="s">
        <v>384</v>
      </c>
      <c r="B142" s="222">
        <f>s3a!K29</f>
        <v>5451.01</v>
      </c>
      <c r="C142" s="223"/>
      <c r="D142" s="222">
        <f>s3c!G92</f>
        <v>12039.12</v>
      </c>
      <c r="E142" s="274">
        <f>SUM(B142:D142)</f>
        <v>17490.13</v>
      </c>
      <c r="F142" s="223"/>
      <c r="G142" s="222">
        <f>+s3c!H92</f>
        <v>5897.9</v>
      </c>
      <c r="H142" s="223">
        <f t="shared" si="11"/>
        <v>23388.03</v>
      </c>
    </row>
    <row r="143" spans="1:8" x14ac:dyDescent="0.2">
      <c r="A143" s="218" t="s">
        <v>431</v>
      </c>
      <c r="B143" s="220">
        <f>SUM(B141:B142)</f>
        <v>22805.3</v>
      </c>
      <c r="C143" s="224">
        <f>C141</f>
        <v>40822.269999999997</v>
      </c>
      <c r="D143" s="220">
        <f>s3c!G93</f>
        <v>76745.87</v>
      </c>
      <c r="E143" s="270">
        <f>SUM(E141:E142)</f>
        <v>140373.44</v>
      </c>
      <c r="F143" s="220">
        <f>P17</f>
        <v>119062.96</v>
      </c>
      <c r="G143" s="220">
        <f>SUM(G141:G142)</f>
        <v>13295.96</v>
      </c>
      <c r="H143" s="221">
        <f t="shared" si="11"/>
        <v>272732.36</v>
      </c>
    </row>
    <row r="144" spans="1:8" x14ac:dyDescent="0.2">
      <c r="A144" s="155" t="s">
        <v>29</v>
      </c>
      <c r="B144" s="222">
        <f>s3a!K31</f>
        <v>5543.85</v>
      </c>
      <c r="C144" s="222">
        <f>F45</f>
        <v>25826.34</v>
      </c>
      <c r="D144" s="222">
        <f>s3c!G94</f>
        <v>48553.51</v>
      </c>
      <c r="E144" s="274">
        <f>SUM(B144:D144)</f>
        <v>79923.7</v>
      </c>
      <c r="F144" s="223">
        <f>P18</f>
        <v>25592.57</v>
      </c>
      <c r="G144" s="222">
        <f>+s3c!H94</f>
        <v>3193.23</v>
      </c>
      <c r="H144" s="223">
        <f t="shared" si="11"/>
        <v>108709.5</v>
      </c>
    </row>
    <row r="145" spans="1:8" x14ac:dyDescent="0.2">
      <c r="A145" s="217" t="s">
        <v>385</v>
      </c>
      <c r="B145" s="222">
        <f>s3a!K32</f>
        <v>53.71</v>
      </c>
      <c r="C145" s="223"/>
      <c r="D145" s="223"/>
      <c r="E145" s="274">
        <f>SUM(B145:D145)</f>
        <v>53.71</v>
      </c>
      <c r="F145" s="223"/>
      <c r="G145" s="223"/>
      <c r="H145" s="223">
        <f t="shared" si="11"/>
        <v>53.71</v>
      </c>
    </row>
    <row r="146" spans="1:8" x14ac:dyDescent="0.2">
      <c r="A146" s="218" t="s">
        <v>431</v>
      </c>
      <c r="B146" s="220">
        <f>SUM(B144:B145)</f>
        <v>5597.56</v>
      </c>
      <c r="C146" s="224">
        <f>C144</f>
        <v>25826.34</v>
      </c>
      <c r="D146" s="220">
        <f>s3c!G94</f>
        <v>48553.51</v>
      </c>
      <c r="E146" s="270">
        <f>SUM(E144:E145)</f>
        <v>79977.41</v>
      </c>
      <c r="F146" s="220">
        <f>P18</f>
        <v>25592.57</v>
      </c>
      <c r="G146" s="220">
        <f>SUM(G144:G145)</f>
        <v>3193.23</v>
      </c>
      <c r="H146" s="221">
        <f t="shared" si="11"/>
        <v>108763.21</v>
      </c>
    </row>
    <row r="147" spans="1:8" x14ac:dyDescent="0.2">
      <c r="A147" s="155" t="s">
        <v>30</v>
      </c>
      <c r="B147" s="222">
        <f>s3a!K34</f>
        <v>2574.7199999999998</v>
      </c>
      <c r="C147" s="222">
        <f>F46</f>
        <v>44987.81</v>
      </c>
      <c r="D147" s="222">
        <f>s3c!G95</f>
        <v>78309.919999999998</v>
      </c>
      <c r="E147" s="274">
        <f>SUM(B147:D147)</f>
        <v>125872.45</v>
      </c>
      <c r="F147" s="223">
        <f>P19</f>
        <v>6447.14</v>
      </c>
      <c r="G147" s="222">
        <f>+s3c!H95</f>
        <v>1178.0899999999999</v>
      </c>
      <c r="H147" s="223">
        <f t="shared" si="11"/>
        <v>133497.68</v>
      </c>
    </row>
    <row r="148" spans="1:8" x14ac:dyDescent="0.2">
      <c r="A148" s="155" t="s">
        <v>386</v>
      </c>
      <c r="B148" s="222">
        <f>s3a!K35</f>
        <v>212.92</v>
      </c>
      <c r="C148" s="223"/>
      <c r="D148" s="222">
        <f>s3c!G96</f>
        <v>6267.16</v>
      </c>
      <c r="E148" s="274">
        <f>SUM(B148:D148)</f>
        <v>6480.08</v>
      </c>
      <c r="F148" s="223"/>
      <c r="G148" s="222">
        <f>+s3c!H96</f>
        <v>441.83</v>
      </c>
      <c r="H148" s="223">
        <f t="shared" si="11"/>
        <v>6921.91</v>
      </c>
    </row>
    <row r="149" spans="1:8" x14ac:dyDescent="0.2">
      <c r="A149" s="218" t="s">
        <v>431</v>
      </c>
      <c r="B149" s="220">
        <f>SUM(B147:B148)</f>
        <v>2787.64</v>
      </c>
      <c r="C149" s="224">
        <f>C147</f>
        <v>44987.81</v>
      </c>
      <c r="D149" s="220">
        <f>s3c!G97</f>
        <v>84577.08</v>
      </c>
      <c r="E149" s="270">
        <f>SUM(E147:E148)</f>
        <v>132352.53</v>
      </c>
      <c r="F149" s="220">
        <f>P19</f>
        <v>6447.14</v>
      </c>
      <c r="G149" s="220">
        <f>SUM(G147:G148)</f>
        <v>1619.92</v>
      </c>
      <c r="H149" s="221">
        <f t="shared" si="11"/>
        <v>140419.59</v>
      </c>
    </row>
    <row r="150" spans="1:8" x14ac:dyDescent="0.2">
      <c r="A150" s="155" t="s">
        <v>31</v>
      </c>
      <c r="B150" s="222">
        <f>s3a!K37</f>
        <v>14326.04</v>
      </c>
      <c r="C150" s="222">
        <f>F47</f>
        <v>20507.95</v>
      </c>
      <c r="D150" s="222">
        <f>s3c!G98</f>
        <v>32090.32</v>
      </c>
      <c r="E150" s="274">
        <f>SUM(B150:D150)</f>
        <v>66924.31</v>
      </c>
      <c r="F150" s="223">
        <f>P20</f>
        <v>123522.66</v>
      </c>
      <c r="G150" s="222">
        <f>+s3c!H98</f>
        <v>9064.9</v>
      </c>
      <c r="H150" s="223">
        <f t="shared" si="11"/>
        <v>199511.87</v>
      </c>
    </row>
    <row r="151" spans="1:8" x14ac:dyDescent="0.2">
      <c r="A151" s="155" t="s">
        <v>387</v>
      </c>
      <c r="B151" s="222">
        <f>s3a!K39</f>
        <v>1224.01</v>
      </c>
      <c r="C151" s="223"/>
      <c r="D151" s="222">
        <f>s3c!G100</f>
        <v>1296.21</v>
      </c>
      <c r="E151" s="274">
        <f>SUM(B151:D151)</f>
        <v>2520.2199999999998</v>
      </c>
      <c r="F151" s="223"/>
      <c r="G151" s="222">
        <f>+s3c!H100</f>
        <v>1017.21</v>
      </c>
      <c r="H151" s="223">
        <f>SUM(E151:G151)</f>
        <v>3537.43</v>
      </c>
    </row>
    <row r="152" spans="1:8" x14ac:dyDescent="0.2">
      <c r="A152" s="155" t="s">
        <v>388</v>
      </c>
      <c r="B152" s="222">
        <f>s3a!K38</f>
        <v>8177.08</v>
      </c>
      <c r="C152" s="223"/>
      <c r="D152" s="222">
        <f>s3c!G99</f>
        <v>5168.2700000000004</v>
      </c>
      <c r="E152" s="274">
        <f>SUM(B152:D152)</f>
        <v>13345.35</v>
      </c>
      <c r="F152" s="223"/>
      <c r="G152" s="222">
        <f>+s3c!H99</f>
        <v>3714.48</v>
      </c>
      <c r="H152" s="223">
        <f>SUM(E152:G152)</f>
        <v>17059.830000000002</v>
      </c>
    </row>
    <row r="153" spans="1:8" x14ac:dyDescent="0.2">
      <c r="A153" s="218" t="s">
        <v>431</v>
      </c>
      <c r="B153" s="220">
        <f>SUM(B150:B152)</f>
        <v>23727.13</v>
      </c>
      <c r="C153" s="224">
        <f>C150</f>
        <v>20507.95</v>
      </c>
      <c r="D153" s="220">
        <f>s3c!G101</f>
        <v>38554.800000000003</v>
      </c>
      <c r="E153" s="270">
        <f>SUM(E150:E152)</f>
        <v>82789.88</v>
      </c>
      <c r="F153" s="220">
        <f>P20</f>
        <v>123522.66</v>
      </c>
      <c r="G153" s="220">
        <f>SUM(G150:G152)</f>
        <v>13796.59</v>
      </c>
      <c r="H153" s="221">
        <f t="shared" si="11"/>
        <v>220109.13</v>
      </c>
    </row>
    <row r="154" spans="1:8" x14ac:dyDescent="0.2">
      <c r="A154" s="219" t="s">
        <v>32</v>
      </c>
      <c r="B154" s="220">
        <f>s3a!K41</f>
        <v>4230.51</v>
      </c>
      <c r="C154" s="220">
        <f>F48</f>
        <v>14579.38</v>
      </c>
      <c r="D154" s="220">
        <f>s3c!G102</f>
        <v>27409.24</v>
      </c>
      <c r="E154" s="272">
        <f>SUM(B154:D154)</f>
        <v>46219.13</v>
      </c>
      <c r="F154" s="221">
        <f>P21</f>
        <v>22049.62</v>
      </c>
      <c r="G154" s="220">
        <f>+s3c!H102</f>
        <v>2464.0100000000002</v>
      </c>
      <c r="H154" s="221">
        <f t="shared" si="11"/>
        <v>70732.759999999995</v>
      </c>
    </row>
    <row r="155" spans="1:8" x14ac:dyDescent="0.2">
      <c r="A155" s="155" t="s">
        <v>33</v>
      </c>
      <c r="B155" s="222">
        <f>s3a!K42</f>
        <v>5735.16</v>
      </c>
      <c r="C155" s="222">
        <f>F49</f>
        <v>70501.73</v>
      </c>
      <c r="D155" s="222">
        <f>s3c!G103</f>
        <v>132543.25</v>
      </c>
      <c r="E155" s="274">
        <f>SUM(B155:D155)</f>
        <v>208780.14</v>
      </c>
      <c r="F155" s="223">
        <f>P22</f>
        <v>84338.09</v>
      </c>
      <c r="G155" s="222">
        <f>+s3c!H103</f>
        <v>21190.78</v>
      </c>
      <c r="H155" s="223">
        <f t="shared" si="11"/>
        <v>314309.01</v>
      </c>
    </row>
    <row r="156" spans="1:8" x14ac:dyDescent="0.2">
      <c r="A156" s="217" t="s">
        <v>389</v>
      </c>
      <c r="B156" s="222">
        <f>s3a!K43</f>
        <v>25316.87</v>
      </c>
      <c r="C156" s="223"/>
      <c r="D156" s="223"/>
      <c r="E156" s="274">
        <f>SUM(B156:D156)</f>
        <v>25316.87</v>
      </c>
      <c r="F156" s="223"/>
      <c r="G156" s="223"/>
      <c r="H156" s="223">
        <f t="shared" si="11"/>
        <v>25316.87</v>
      </c>
    </row>
    <row r="157" spans="1:8" x14ac:dyDescent="0.2">
      <c r="A157" s="217" t="s">
        <v>390</v>
      </c>
      <c r="B157" s="222">
        <f>s3a!K44</f>
        <v>4355</v>
      </c>
      <c r="C157" s="223"/>
      <c r="D157" s="223"/>
      <c r="E157" s="274">
        <f>SUM(B157:D157)</f>
        <v>4355</v>
      </c>
      <c r="F157" s="223"/>
      <c r="G157" s="223"/>
      <c r="H157" s="223">
        <f t="shared" si="11"/>
        <v>4355</v>
      </c>
    </row>
    <row r="158" spans="1:8" x14ac:dyDescent="0.2">
      <c r="A158" s="217" t="s">
        <v>391</v>
      </c>
      <c r="B158" s="222">
        <f>s3a!K45</f>
        <v>1060.32</v>
      </c>
      <c r="C158" s="223"/>
      <c r="D158" s="223"/>
      <c r="E158" s="274">
        <f>SUM(B158:D158)</f>
        <v>1060.32</v>
      </c>
      <c r="F158" s="223"/>
      <c r="G158" s="223"/>
      <c r="H158" s="223">
        <f t="shared" si="11"/>
        <v>1060.32</v>
      </c>
    </row>
    <row r="159" spans="1:8" x14ac:dyDescent="0.2">
      <c r="A159" s="218" t="s">
        <v>431</v>
      </c>
      <c r="B159" s="220">
        <f>SUM(B155:B158)</f>
        <v>36467.35</v>
      </c>
      <c r="C159" s="224">
        <f>C155</f>
        <v>70501.73</v>
      </c>
      <c r="D159" s="220">
        <f>s3c!G103</f>
        <v>132543.25</v>
      </c>
      <c r="E159" s="270">
        <f>SUM(E155:E158)</f>
        <v>239512.33</v>
      </c>
      <c r="F159" s="220">
        <f>P22</f>
        <v>84338.09</v>
      </c>
      <c r="G159" s="220">
        <f>SUM(G155:G158)</f>
        <v>21190.78</v>
      </c>
      <c r="H159" s="221">
        <f t="shared" ref="H159:H167" si="14">SUM(E159:G159)</f>
        <v>345041.2</v>
      </c>
    </row>
    <row r="160" spans="1:8" x14ac:dyDescent="0.2">
      <c r="A160" s="155" t="s">
        <v>34</v>
      </c>
      <c r="B160" s="222">
        <f>s3a!K47</f>
        <v>3913.98</v>
      </c>
      <c r="C160" s="222">
        <f>F50</f>
        <v>31062.05</v>
      </c>
      <c r="D160" s="222">
        <f>s3c!G104</f>
        <v>52591.93</v>
      </c>
      <c r="E160" s="274">
        <f>SUM(B160:D160)</f>
        <v>87567.96</v>
      </c>
      <c r="F160" s="223">
        <f>P23</f>
        <v>22827.55</v>
      </c>
      <c r="G160" s="222">
        <f>+s3c!H104</f>
        <v>1716.11</v>
      </c>
      <c r="H160" s="223">
        <f t="shared" si="14"/>
        <v>112111.62</v>
      </c>
    </row>
    <row r="161" spans="1:8" x14ac:dyDescent="0.2">
      <c r="A161" s="155" t="s">
        <v>392</v>
      </c>
      <c r="B161" s="222">
        <f>s3a!K48</f>
        <v>472.91</v>
      </c>
      <c r="C161" s="223"/>
      <c r="D161" s="222">
        <f>s3c!G105</f>
        <v>5804.62</v>
      </c>
      <c r="E161" s="274">
        <f>SUM(B161:D161)</f>
        <v>6277.53</v>
      </c>
      <c r="F161" s="223"/>
      <c r="G161" s="222">
        <f>+s3c!H105</f>
        <v>833.06</v>
      </c>
      <c r="H161" s="223">
        <f t="shared" si="14"/>
        <v>7110.59</v>
      </c>
    </row>
    <row r="162" spans="1:8" x14ac:dyDescent="0.2">
      <c r="A162" s="218" t="s">
        <v>431</v>
      </c>
      <c r="B162" s="220">
        <f>SUM(B160:B161)</f>
        <v>4386.8900000000003</v>
      </c>
      <c r="C162" s="224">
        <f>C160</f>
        <v>31062.05</v>
      </c>
      <c r="D162" s="220">
        <f>s3c!G106</f>
        <v>58396.55</v>
      </c>
      <c r="E162" s="270">
        <f>SUM(E160:E161)</f>
        <v>93845.49</v>
      </c>
      <c r="F162" s="220">
        <f>P23</f>
        <v>22827.55</v>
      </c>
      <c r="G162" s="220">
        <f>SUM(G160:G161)</f>
        <v>2549.17</v>
      </c>
      <c r="H162" s="221">
        <f t="shared" si="14"/>
        <v>119222.21</v>
      </c>
    </row>
    <row r="163" spans="1:8" x14ac:dyDescent="0.2">
      <c r="A163" s="219" t="s">
        <v>35</v>
      </c>
      <c r="B163" s="220">
        <f>s3a!K50</f>
        <v>421.52</v>
      </c>
      <c r="C163" s="220">
        <f>F51</f>
        <v>2291.0500000000002</v>
      </c>
      <c r="D163" s="220">
        <f>s3c!G107</f>
        <v>4307.17</v>
      </c>
      <c r="E163" s="272">
        <f>SUM(B163:D163)</f>
        <v>7019.74</v>
      </c>
      <c r="F163" s="221">
        <f>P24</f>
        <v>974.83</v>
      </c>
      <c r="G163" s="220">
        <f>+s3c!H107</f>
        <v>244.93</v>
      </c>
      <c r="H163" s="221">
        <f t="shared" si="14"/>
        <v>8239.5</v>
      </c>
    </row>
    <row r="164" spans="1:8" x14ac:dyDescent="0.2">
      <c r="A164" s="155" t="s">
        <v>36</v>
      </c>
      <c r="B164" s="222">
        <f>s3a!K51</f>
        <v>100325.24</v>
      </c>
      <c r="C164" s="222">
        <f>F52</f>
        <v>133494.07999999999</v>
      </c>
      <c r="D164" s="222">
        <f>s3c!G108</f>
        <v>143571.54999999999</v>
      </c>
      <c r="E164" s="274">
        <f>SUM(B164:D164)</f>
        <v>377390.87</v>
      </c>
      <c r="F164" s="223">
        <f>P25</f>
        <v>1342533.67</v>
      </c>
      <c r="G164" s="222">
        <f>+s3c!H108</f>
        <v>40185.03</v>
      </c>
      <c r="H164" s="223">
        <f t="shared" si="14"/>
        <v>1760109.57</v>
      </c>
    </row>
    <row r="165" spans="1:8" x14ac:dyDescent="0.2">
      <c r="A165" s="155" t="s">
        <v>393</v>
      </c>
      <c r="B165" s="222">
        <f>s3a!K52</f>
        <v>117953.04</v>
      </c>
      <c r="C165" s="223"/>
      <c r="D165" s="222">
        <f>s3c!G109</f>
        <v>77378.61</v>
      </c>
      <c r="E165" s="274">
        <f>SUM(B165:D165)</f>
        <v>195331.65</v>
      </c>
      <c r="F165" s="223"/>
      <c r="G165" s="222">
        <f>+s3c!H109</f>
        <v>78353.64</v>
      </c>
      <c r="H165" s="223">
        <f t="shared" si="14"/>
        <v>273685.28999999998</v>
      </c>
    </row>
    <row r="166" spans="1:8" x14ac:dyDescent="0.2">
      <c r="A166" s="155" t="s">
        <v>394</v>
      </c>
      <c r="B166" s="222">
        <f>s3a!K53</f>
        <v>39789.08</v>
      </c>
      <c r="C166" s="223"/>
      <c r="D166" s="222">
        <f>s3c!G110</f>
        <v>30018.34</v>
      </c>
      <c r="E166" s="274">
        <f>SUM(B166:D166)</f>
        <v>69807.42</v>
      </c>
      <c r="F166" s="223"/>
      <c r="G166" s="222">
        <f>+s3c!H110</f>
        <v>31392.04</v>
      </c>
      <c r="H166" s="223">
        <f t="shared" si="14"/>
        <v>101199.46</v>
      </c>
    </row>
    <row r="167" spans="1:8" x14ac:dyDescent="0.2">
      <c r="A167" s="218" t="s">
        <v>431</v>
      </c>
      <c r="B167" s="220">
        <f>SUM(B164:B166)</f>
        <v>258067.36</v>
      </c>
      <c r="C167" s="224">
        <f>C164</f>
        <v>133494.07999999999</v>
      </c>
      <c r="D167" s="220">
        <f>s3c!G111</f>
        <v>250968.5</v>
      </c>
      <c r="E167" s="270">
        <f>SUM(E164:E166)</f>
        <v>642529.93999999994</v>
      </c>
      <c r="F167" s="220">
        <f>P25</f>
        <v>1342533.67</v>
      </c>
      <c r="G167" s="220">
        <f>SUM(G164:G166)</f>
        <v>149930.71</v>
      </c>
      <c r="H167" s="221">
        <f t="shared" si="14"/>
        <v>2134994.3199999998</v>
      </c>
    </row>
    <row r="168" spans="1:8" x14ac:dyDescent="0.2">
      <c r="A168" s="155" t="s">
        <v>37</v>
      </c>
      <c r="B168" s="222">
        <f>s3a!K55</f>
        <v>6354.25</v>
      </c>
      <c r="C168" s="222">
        <f>F53</f>
        <v>41967.8</v>
      </c>
      <c r="D168" s="222">
        <f>s3c!G112</f>
        <v>68945.5</v>
      </c>
      <c r="E168" s="274">
        <f>SUM(B168:D168)</f>
        <v>117267.55</v>
      </c>
      <c r="F168" s="223">
        <f>P26</f>
        <v>50221.36</v>
      </c>
      <c r="G168" s="222">
        <f>+s3c!H112</f>
        <v>3149.39</v>
      </c>
      <c r="H168" s="223">
        <f>SUM(E168:G168)</f>
        <v>170638.3</v>
      </c>
    </row>
    <row r="169" spans="1:8" x14ac:dyDescent="0.2">
      <c r="A169" s="155" t="s">
        <v>395</v>
      </c>
      <c r="B169" s="222">
        <f>s3a!K56</f>
        <v>3296.52</v>
      </c>
      <c r="C169" s="223"/>
      <c r="D169" s="222">
        <f>s3c!G113</f>
        <v>9953.9500000000007</v>
      </c>
      <c r="E169" s="274">
        <f>SUM(B169:D169)</f>
        <v>13250.47</v>
      </c>
      <c r="F169" s="223"/>
      <c r="G169" s="222">
        <f>+s3c!H113</f>
        <v>2459.02</v>
      </c>
      <c r="H169" s="223">
        <f>SUM(E169:G169)</f>
        <v>15709.49</v>
      </c>
    </row>
    <row r="170" spans="1:8" x14ac:dyDescent="0.2">
      <c r="A170" s="218" t="s">
        <v>431</v>
      </c>
      <c r="B170" s="220">
        <f>SUM(B168:B169)</f>
        <v>9650.77</v>
      </c>
      <c r="C170" s="224">
        <f>C168</f>
        <v>41967.8</v>
      </c>
      <c r="D170" s="220">
        <f>s3c!G115</f>
        <v>78899.45</v>
      </c>
      <c r="E170" s="270">
        <f>SUM(E168:E169)</f>
        <v>130518.02</v>
      </c>
      <c r="F170" s="220">
        <f>P26</f>
        <v>50221.36</v>
      </c>
      <c r="G170" s="220">
        <f>SUM(G168:G169)</f>
        <v>5608.41</v>
      </c>
      <c r="H170" s="221">
        <f>SUM(E170:G170)</f>
        <v>186347.79</v>
      </c>
    </row>
    <row r="171" spans="1:8" x14ac:dyDescent="0.2">
      <c r="E171" s="265"/>
    </row>
    <row r="172" spans="1:8" ht="13.5" thickBot="1" x14ac:dyDescent="0.25">
      <c r="A172" s="238" t="s">
        <v>244</v>
      </c>
      <c r="B172" s="239">
        <f t="shared" ref="B172:H172" si="15">SUM(B170,B167,B163,B162,B159,B154,B153,B149,B146,B143,B138,B140,B139,B131,B124,B121,B132)</f>
        <v>1517030.83</v>
      </c>
      <c r="C172" s="239">
        <f t="shared" si="15"/>
        <v>1083593.5</v>
      </c>
      <c r="D172" s="239">
        <f t="shared" si="15"/>
        <v>2037152.82</v>
      </c>
      <c r="E172" s="275">
        <f t="shared" si="15"/>
        <v>4637777.1500000004</v>
      </c>
      <c r="F172" s="239">
        <f t="shared" si="15"/>
        <v>7568372.1799999997</v>
      </c>
      <c r="G172" s="239">
        <f t="shared" si="15"/>
        <v>881572.72</v>
      </c>
      <c r="H172" s="239">
        <f t="shared" si="15"/>
        <v>13087722.050000001</v>
      </c>
    </row>
    <row r="173" spans="1:8" ht="13.5" thickTop="1" x14ac:dyDescent="0.2">
      <c r="E173" s="265"/>
      <c r="H173" s="223">
        <f>SUM(E172:G172)</f>
        <v>13087722.050000001</v>
      </c>
    </row>
    <row r="174" spans="1:8" x14ac:dyDescent="0.2">
      <c r="A174" s="155" t="s">
        <v>678</v>
      </c>
      <c r="B174" s="223">
        <f>+L100</f>
        <v>2833.22</v>
      </c>
      <c r="C174" s="223">
        <f>+M100</f>
        <v>5194.58</v>
      </c>
      <c r="D174" s="223">
        <f>+N100</f>
        <v>5597.38</v>
      </c>
      <c r="E174" s="274">
        <f>SUM(B174:D174)</f>
        <v>13625.18</v>
      </c>
      <c r="F174" s="223">
        <f>+P100</f>
        <v>37476.99</v>
      </c>
      <c r="G174" s="223">
        <f>+Q100</f>
        <v>1117.97</v>
      </c>
      <c r="H174" s="223">
        <f>+R100</f>
        <v>52220.14</v>
      </c>
    </row>
    <row r="175" spans="1:8" x14ac:dyDescent="0.2">
      <c r="A175" s="155" t="s">
        <v>679</v>
      </c>
      <c r="B175" s="223">
        <f>+L101</f>
        <v>3331.04</v>
      </c>
      <c r="C175" s="223"/>
      <c r="D175" s="223">
        <f>+N101+S110</f>
        <v>3016.74</v>
      </c>
      <c r="E175" s="274">
        <f>SUM(B175:D175)</f>
        <v>6347.78</v>
      </c>
      <c r="F175" s="223"/>
      <c r="G175" s="223">
        <f>+Q101</f>
        <v>2179.85</v>
      </c>
      <c r="H175" s="223">
        <f>+R101</f>
        <v>8527.6299999999992</v>
      </c>
    </row>
    <row r="176" spans="1:8" x14ac:dyDescent="0.2">
      <c r="A176" s="155" t="s">
        <v>680</v>
      </c>
      <c r="B176" s="223">
        <f>+L102</f>
        <v>1123.6600000000001</v>
      </c>
      <c r="C176" s="223"/>
      <c r="D176" s="223">
        <f>+N102</f>
        <v>1170.32</v>
      </c>
      <c r="E176" s="274">
        <f>SUM(B176:D176)</f>
        <v>2293.98</v>
      </c>
      <c r="F176" s="223"/>
      <c r="G176" s="223">
        <f>+Q102</f>
        <v>873.35</v>
      </c>
      <c r="H176" s="223">
        <f>+R102</f>
        <v>3167.33</v>
      </c>
    </row>
    <row r="177" spans="1:8" x14ac:dyDescent="0.2">
      <c r="A177" s="358" t="s">
        <v>681</v>
      </c>
      <c r="B177" s="220">
        <f t="shared" ref="B177:H177" si="16">SUM(B174:B176)</f>
        <v>7287.92</v>
      </c>
      <c r="C177" s="220">
        <f t="shared" si="16"/>
        <v>5194.58</v>
      </c>
      <c r="D177" s="220">
        <f t="shared" si="16"/>
        <v>9784.44</v>
      </c>
      <c r="E177" s="270">
        <f t="shared" si="16"/>
        <v>22266.94</v>
      </c>
      <c r="F177" s="220">
        <f t="shared" si="16"/>
        <v>37476.99</v>
      </c>
      <c r="G177" s="220">
        <f t="shared" si="16"/>
        <v>4171.17</v>
      </c>
      <c r="H177" s="220">
        <f t="shared" si="16"/>
        <v>63915.1</v>
      </c>
    </row>
    <row r="178" spans="1:8" ht="13.5" thickBot="1" x14ac:dyDescent="0.25">
      <c r="A178" s="207" t="s">
        <v>690</v>
      </c>
      <c r="B178" s="368">
        <f>+B172+B177</f>
        <v>1524318.75</v>
      </c>
      <c r="C178" s="368">
        <f t="shared" ref="C178:H178" si="17">+C172+C177</f>
        <v>1088788.08</v>
      </c>
      <c r="D178" s="368">
        <f t="shared" si="17"/>
        <v>2046937.26</v>
      </c>
      <c r="E178" s="369">
        <f t="shared" si="17"/>
        <v>4660044.09</v>
      </c>
      <c r="F178" s="368">
        <f t="shared" si="17"/>
        <v>7605849.1699999999</v>
      </c>
      <c r="G178" s="368">
        <f t="shared" si="17"/>
        <v>885743.89</v>
      </c>
      <c r="H178" s="368">
        <f t="shared" si="17"/>
        <v>13151637.15</v>
      </c>
    </row>
    <row r="179" spans="1:8" ht="13.5" thickTop="1" x14ac:dyDescent="0.2"/>
  </sheetData>
  <mergeCells count="1">
    <mergeCell ref="K97:R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3" sqref="A3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3" customWidth="1"/>
    <col min="9" max="9" width="18.42578125" style="144" bestFit="1" customWidth="1"/>
    <col min="10" max="10" width="18.42578125" style="144" customWidth="1"/>
    <col min="11" max="11" width="15.5703125" style="151" bestFit="1" customWidth="1"/>
    <col min="13" max="13" width="11.28515625" hidden="1" customWidth="1"/>
    <col min="14" max="14" width="10.140625" hidden="1" customWidth="1"/>
    <col min="15" max="15" width="9.28515625" hidden="1" customWidth="1"/>
  </cols>
  <sheetData>
    <row r="1" spans="1:15" ht="15.75" x14ac:dyDescent="0.25">
      <c r="A1" s="63" t="s">
        <v>428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2" t="str">
        <f>ReportMonth</f>
        <v>APRIL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02" t="s">
        <v>426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</row>
    <row r="7" spans="1:15" s="89" customFormat="1" ht="30.75" customHeight="1" thickBot="1" x14ac:dyDescent="0.25">
      <c r="A7" s="197" t="s">
        <v>370</v>
      </c>
      <c r="B7" s="197" t="s">
        <v>371</v>
      </c>
      <c r="C7" s="197" t="s">
        <v>372</v>
      </c>
      <c r="D7" s="211" t="s">
        <v>5</v>
      </c>
      <c r="E7" s="209" t="s">
        <v>417</v>
      </c>
      <c r="F7" s="210" t="s">
        <v>418</v>
      </c>
      <c r="G7" s="211" t="s">
        <v>419</v>
      </c>
      <c r="H7" s="190" t="s">
        <v>421</v>
      </c>
      <c r="I7" s="191" t="s">
        <v>374</v>
      </c>
      <c r="J7" s="191" t="s">
        <v>689</v>
      </c>
      <c r="K7" s="225" t="s">
        <v>420</v>
      </c>
      <c r="L7" s="198"/>
      <c r="M7" s="198"/>
      <c r="N7" s="198"/>
      <c r="O7" s="198"/>
    </row>
    <row r="8" spans="1:15" x14ac:dyDescent="0.2">
      <c r="A8" s="155" t="s">
        <v>21</v>
      </c>
      <c r="B8" s="155"/>
      <c r="C8" s="155"/>
      <c r="D8" s="206">
        <f>'s3, s3b, s3d'!B10</f>
        <v>3040069</v>
      </c>
      <c r="E8" s="240">
        <f>D8/$D$58</f>
        <v>3.3621681E-2</v>
      </c>
      <c r="F8" s="226">
        <f>'s3, s3b, s3d'!D10</f>
        <v>51272.76</v>
      </c>
      <c r="G8" s="226">
        <f>'s3, s3b, s3d'!E10</f>
        <v>26.22</v>
      </c>
      <c r="H8" s="227">
        <f>'s3, s3b, s3d'!F10</f>
        <v>51246.54</v>
      </c>
      <c r="I8" s="199">
        <v>1</v>
      </c>
      <c r="J8" s="199"/>
      <c r="K8" s="228">
        <f>$H$8*I8</f>
        <v>51246.54</v>
      </c>
      <c r="L8" s="155"/>
      <c r="M8" s="202"/>
      <c r="N8" s="155"/>
      <c r="O8" s="155"/>
    </row>
    <row r="9" spans="1:15" ht="26.25" customHeight="1" x14ac:dyDescent="0.2">
      <c r="A9" s="155" t="s">
        <v>22</v>
      </c>
      <c r="B9" s="155"/>
      <c r="C9" s="155"/>
      <c r="D9" s="206">
        <f>'s3, s3b, s3d'!B11</f>
        <v>341111</v>
      </c>
      <c r="E9" s="240">
        <f>D9/$D$58</f>
        <v>3.772521E-3</v>
      </c>
      <c r="F9" s="226">
        <f>'s3, s3b, s3d'!D11</f>
        <v>5753.06</v>
      </c>
      <c r="G9" s="226">
        <f>'s3, s3b, s3d'!E11</f>
        <v>502.56</v>
      </c>
      <c r="H9" s="227">
        <f>'s3, s3b, s3d'!$F11</f>
        <v>5250.5</v>
      </c>
      <c r="I9" s="200">
        <v>0.73923899999999998</v>
      </c>
      <c r="J9" s="200"/>
      <c r="K9" s="228">
        <f>$H$9*I9+O11</f>
        <v>3881.37</v>
      </c>
      <c r="L9" s="155"/>
      <c r="M9" s="202">
        <f>$H$9*I9</f>
        <v>3881.37</v>
      </c>
      <c r="N9" s="155"/>
      <c r="O9" s="155"/>
    </row>
    <row r="10" spans="1:15" s="89" customFormat="1" x14ac:dyDescent="0.2">
      <c r="A10" s="198"/>
      <c r="B10" s="198" t="s">
        <v>375</v>
      </c>
      <c r="C10" s="198"/>
      <c r="D10" s="198"/>
      <c r="E10" s="241"/>
      <c r="F10" s="229"/>
      <c r="G10" s="229"/>
      <c r="H10" s="227"/>
      <c r="I10" s="201">
        <v>0.26076100000000002</v>
      </c>
      <c r="J10" s="365"/>
      <c r="K10" s="228">
        <f>$H$9*I10</f>
        <v>1369.13</v>
      </c>
      <c r="L10" s="198"/>
      <c r="M10" s="202">
        <f>$H$9*I10</f>
        <v>1369.13</v>
      </c>
      <c r="N10" s="198"/>
      <c r="O10" s="198"/>
    </row>
    <row r="11" spans="1:15" x14ac:dyDescent="0.2">
      <c r="A11" s="155"/>
      <c r="B11" s="155"/>
      <c r="C11" s="155"/>
      <c r="D11" s="155"/>
      <c r="E11" s="240"/>
      <c r="F11" s="226"/>
      <c r="G11" s="226"/>
      <c r="H11" s="227"/>
      <c r="I11" s="199">
        <f>SUM(I9:I10)</f>
        <v>1</v>
      </c>
      <c r="J11" s="199"/>
      <c r="K11" s="228"/>
      <c r="L11" s="155"/>
      <c r="M11" s="202">
        <f>SUM(M9:M10)</f>
        <v>5250.5</v>
      </c>
      <c r="N11" s="230">
        <f>H9</f>
        <v>5250.5</v>
      </c>
      <c r="O11" s="205">
        <f>N11-M11</f>
        <v>0</v>
      </c>
    </row>
    <row r="12" spans="1:15" ht="26.25" customHeight="1" x14ac:dyDescent="0.2">
      <c r="A12" s="155" t="s">
        <v>23</v>
      </c>
      <c r="B12" s="155"/>
      <c r="C12" s="155"/>
      <c r="D12" s="206">
        <f>'s3, s3b, s3d'!B12</f>
        <v>60579924</v>
      </c>
      <c r="E12" s="240">
        <f>D12/$D$58</f>
        <v>0.669984417</v>
      </c>
      <c r="F12" s="226">
        <f>'s3, s3b, s3d'!D12</f>
        <v>1021720.24</v>
      </c>
      <c r="G12" s="226">
        <f>'s3, s3b, s3d'!E12</f>
        <v>1249.1199999999999</v>
      </c>
      <c r="H12" s="227">
        <f>'s3, s3b, s3d'!$F12</f>
        <v>1020471.12</v>
      </c>
      <c r="I12" s="199">
        <v>0.51170000000000004</v>
      </c>
      <c r="J12" s="199"/>
      <c r="K12" s="228">
        <f>$H$12*I12+O18</f>
        <v>522175.06</v>
      </c>
      <c r="L12" s="155"/>
      <c r="M12" s="202">
        <f t="shared" ref="M12:M17" si="0">$H$12*I12</f>
        <v>522175.07</v>
      </c>
      <c r="N12" s="155"/>
      <c r="O12" s="155"/>
    </row>
    <row r="13" spans="1:15" x14ac:dyDescent="0.2">
      <c r="A13" s="155"/>
      <c r="B13" s="155" t="s">
        <v>376</v>
      </c>
      <c r="C13" s="155"/>
      <c r="D13" s="155"/>
      <c r="E13" s="240"/>
      <c r="F13" s="226"/>
      <c r="G13" s="226"/>
      <c r="H13" s="226"/>
      <c r="I13" s="199">
        <v>1.0434000000000001E-2</v>
      </c>
      <c r="J13" s="199"/>
      <c r="K13" s="228">
        <f>$H$12*I13</f>
        <v>10647.6</v>
      </c>
      <c r="L13" s="155"/>
      <c r="M13" s="202">
        <f t="shared" si="0"/>
        <v>10647.6</v>
      </c>
      <c r="N13" s="155"/>
      <c r="O13" s="155"/>
    </row>
    <row r="14" spans="1:15" x14ac:dyDescent="0.2">
      <c r="A14" s="155"/>
      <c r="B14" s="155" t="s">
        <v>377</v>
      </c>
      <c r="C14" s="155"/>
      <c r="D14" s="155"/>
      <c r="E14" s="240"/>
      <c r="F14" s="226"/>
      <c r="G14" s="226"/>
      <c r="H14" s="226"/>
      <c r="I14" s="199">
        <v>0.15226600000000001</v>
      </c>
      <c r="J14" s="199"/>
      <c r="K14" s="228">
        <f>$H$12*I14</f>
        <v>155383.06</v>
      </c>
      <c r="L14" s="155"/>
      <c r="M14" s="202">
        <f t="shared" si="0"/>
        <v>155383.06</v>
      </c>
      <c r="N14" s="155"/>
      <c r="O14" s="155"/>
    </row>
    <row r="15" spans="1:15" x14ac:dyDescent="0.2">
      <c r="A15" s="155"/>
      <c r="B15" s="155" t="s">
        <v>378</v>
      </c>
      <c r="C15" s="155"/>
      <c r="D15" s="155"/>
      <c r="E15" s="240"/>
      <c r="F15" s="226"/>
      <c r="G15" s="226"/>
      <c r="H15" s="226"/>
      <c r="I15" s="199">
        <v>0.25693500000000002</v>
      </c>
      <c r="J15" s="199"/>
      <c r="K15" s="228">
        <f>$H$12*I15</f>
        <v>262194.75</v>
      </c>
      <c r="L15" s="155"/>
      <c r="M15" s="202">
        <f t="shared" si="0"/>
        <v>262194.75</v>
      </c>
      <c r="N15" s="155"/>
      <c r="O15" s="155"/>
    </row>
    <row r="16" spans="1:15" x14ac:dyDescent="0.2">
      <c r="A16" s="155"/>
      <c r="B16" s="155" t="s">
        <v>379</v>
      </c>
      <c r="C16" s="155"/>
      <c r="D16" s="155"/>
      <c r="E16" s="240"/>
      <c r="F16" s="226"/>
      <c r="G16" s="226"/>
      <c r="H16" s="226"/>
      <c r="I16" s="199">
        <v>7.4640000000000001E-3</v>
      </c>
      <c r="J16" s="199"/>
      <c r="K16" s="228">
        <f>$H$12*I16</f>
        <v>7616.8</v>
      </c>
      <c r="L16" s="155"/>
      <c r="M16" s="202">
        <f t="shared" si="0"/>
        <v>7616.8</v>
      </c>
      <c r="N16" s="155"/>
      <c r="O16" s="155"/>
    </row>
    <row r="17" spans="1:15" ht="12" customHeight="1" x14ac:dyDescent="0.2">
      <c r="A17" s="155"/>
      <c r="B17" s="155" t="s">
        <v>380</v>
      </c>
      <c r="C17" s="155"/>
      <c r="D17" s="155"/>
      <c r="E17" s="240"/>
      <c r="F17" s="226"/>
      <c r="G17" s="226"/>
      <c r="H17" s="226"/>
      <c r="I17" s="201">
        <v>6.1200999999999998E-2</v>
      </c>
      <c r="J17" s="365"/>
      <c r="K17" s="228">
        <f>$H$12*I17</f>
        <v>62453.85</v>
      </c>
      <c r="L17" s="155"/>
      <c r="M17" s="202">
        <f t="shared" si="0"/>
        <v>62453.85</v>
      </c>
      <c r="N17" s="155"/>
      <c r="O17" s="155"/>
    </row>
    <row r="18" spans="1:15" x14ac:dyDescent="0.2">
      <c r="A18" s="155"/>
      <c r="B18" s="155"/>
      <c r="C18" s="155"/>
      <c r="D18" s="155"/>
      <c r="E18" s="240"/>
      <c r="F18" s="226"/>
      <c r="G18" s="226"/>
      <c r="H18" s="226"/>
      <c r="I18" s="199">
        <f>SUM(I12:I17)</f>
        <v>1</v>
      </c>
      <c r="J18" s="199"/>
      <c r="K18" s="228"/>
      <c r="L18" s="155"/>
      <c r="M18" s="202">
        <f>SUM(M12:M17)</f>
        <v>1020471.13</v>
      </c>
      <c r="N18" s="230">
        <f>H12</f>
        <v>1020471.12</v>
      </c>
      <c r="O18" s="202">
        <f>N18-M18</f>
        <v>-0.01</v>
      </c>
    </row>
    <row r="19" spans="1:15" ht="26.25" customHeight="1" x14ac:dyDescent="0.2">
      <c r="A19" s="155" t="s">
        <v>24</v>
      </c>
      <c r="B19" s="155"/>
      <c r="C19" s="155"/>
      <c r="D19" s="206">
        <f>'s3, s3b, s3d'!B13</f>
        <v>2010500</v>
      </c>
      <c r="E19" s="240">
        <f>D19/$D$58</f>
        <v>2.2235149999999999E-2</v>
      </c>
      <c r="F19" s="226">
        <f>'s3, s3b, s3d'!D13</f>
        <v>33908.400000000001</v>
      </c>
      <c r="G19" s="226">
        <f>'s3, s3b, s3d'!E13</f>
        <v>43.01</v>
      </c>
      <c r="H19" s="227">
        <f>'s3, s3b, s3d'!$F13</f>
        <v>33865.39</v>
      </c>
      <c r="I19" s="199">
        <v>1</v>
      </c>
      <c r="J19" s="199"/>
      <c r="K19" s="228">
        <f>$H$19*I19</f>
        <v>33865.39</v>
      </c>
      <c r="L19" s="155"/>
      <c r="M19" s="202"/>
      <c r="N19" s="230"/>
      <c r="O19" s="155"/>
    </row>
    <row r="20" spans="1:15" ht="24.75" customHeight="1" x14ac:dyDescent="0.2">
      <c r="A20" s="155" t="s">
        <v>25</v>
      </c>
      <c r="B20" s="155"/>
      <c r="C20" s="155"/>
      <c r="D20" s="206">
        <f>'s3, s3b, s3d'!B14</f>
        <v>2145650</v>
      </c>
      <c r="E20" s="240">
        <f>D20/$D$58</f>
        <v>2.3729843E-2</v>
      </c>
      <c r="F20" s="226">
        <f>'s3, s3b, s3d'!D14</f>
        <v>36187.800000000003</v>
      </c>
      <c r="G20" s="226">
        <f>'s3, s3b, s3d'!E14</f>
        <v>360.29</v>
      </c>
      <c r="H20" s="227">
        <f>'s3, s3b, s3d'!$F$14</f>
        <v>35827.51</v>
      </c>
      <c r="I20" s="199">
        <v>0.54915099999999994</v>
      </c>
      <c r="J20" s="199"/>
      <c r="K20" s="228">
        <f>$H$20*I20+O25</f>
        <v>19674.71</v>
      </c>
      <c r="L20" s="155"/>
      <c r="M20" s="202">
        <f>$H$20*I20</f>
        <v>19674.71</v>
      </c>
      <c r="N20" s="230"/>
      <c r="O20" s="155"/>
    </row>
    <row r="21" spans="1:15" x14ac:dyDescent="0.2">
      <c r="A21" s="155"/>
      <c r="B21" s="155" t="s">
        <v>381</v>
      </c>
      <c r="C21" s="155"/>
      <c r="D21" s="155"/>
      <c r="E21" s="240"/>
      <c r="F21" s="226"/>
      <c r="G21" s="226"/>
      <c r="H21" s="226"/>
      <c r="I21" s="199">
        <v>2.2352E-2</v>
      </c>
      <c r="J21" s="199"/>
      <c r="K21" s="228">
        <f>$H$20*I21</f>
        <v>800.82</v>
      </c>
      <c r="L21" s="155"/>
      <c r="M21" s="202">
        <f>$H$20*I21</f>
        <v>800.82</v>
      </c>
      <c r="N21" s="230"/>
      <c r="O21" s="155"/>
    </row>
    <row r="22" spans="1:15" x14ac:dyDescent="0.2">
      <c r="A22" s="155"/>
      <c r="B22" s="155" t="s">
        <v>135</v>
      </c>
      <c r="C22" s="155"/>
      <c r="D22" s="155"/>
      <c r="E22" s="240"/>
      <c r="F22" s="226"/>
      <c r="G22" s="226"/>
      <c r="H22" s="226"/>
      <c r="I22" s="199">
        <v>0.31850600000000001</v>
      </c>
      <c r="J22" s="199"/>
      <c r="K22" s="228">
        <f>$H$20*I22</f>
        <v>11411.28</v>
      </c>
      <c r="L22" s="155"/>
      <c r="M22" s="202">
        <f>$H$20*I22</f>
        <v>11411.28</v>
      </c>
      <c r="N22" s="230"/>
      <c r="O22" s="155"/>
    </row>
    <row r="23" spans="1:15" x14ac:dyDescent="0.2">
      <c r="A23" s="155"/>
      <c r="B23" s="155" t="s">
        <v>382</v>
      </c>
      <c r="C23" s="155"/>
      <c r="D23" s="155"/>
      <c r="E23" s="240"/>
      <c r="F23" s="226"/>
      <c r="G23" s="226"/>
      <c r="H23" s="226"/>
      <c r="I23" s="199">
        <v>1.8159000000000002E-2</v>
      </c>
      <c r="J23" s="199"/>
      <c r="K23" s="228">
        <f>$H$20*I23</f>
        <v>650.59</v>
      </c>
      <c r="L23" s="155"/>
      <c r="M23" s="202">
        <f>$H$20*I23</f>
        <v>650.59</v>
      </c>
      <c r="N23" s="230"/>
      <c r="O23" s="155"/>
    </row>
    <row r="24" spans="1:15" x14ac:dyDescent="0.2">
      <c r="A24" s="155"/>
      <c r="B24" s="155" t="s">
        <v>383</v>
      </c>
      <c r="C24" s="155"/>
      <c r="D24" s="155"/>
      <c r="E24" s="240"/>
      <c r="F24" s="226"/>
      <c r="G24" s="226"/>
      <c r="H24" s="226"/>
      <c r="I24" s="201">
        <v>9.1831999999999997E-2</v>
      </c>
      <c r="J24" s="365"/>
      <c r="K24" s="228">
        <f>$H$20*I24</f>
        <v>3290.11</v>
      </c>
      <c r="L24" s="155"/>
      <c r="M24" s="202">
        <f>$H$20*I24</f>
        <v>3290.11</v>
      </c>
      <c r="N24" s="230"/>
      <c r="O24" s="155"/>
    </row>
    <row r="25" spans="1:15" x14ac:dyDescent="0.2">
      <c r="A25" s="155"/>
      <c r="B25" s="155"/>
      <c r="C25" s="155"/>
      <c r="D25" s="155"/>
      <c r="E25" s="240"/>
      <c r="F25" s="226"/>
      <c r="G25" s="226"/>
      <c r="H25" s="226"/>
      <c r="I25" s="199">
        <f>SUM(I20:I24)</f>
        <v>1</v>
      </c>
      <c r="J25" s="199"/>
      <c r="K25" s="228"/>
      <c r="L25" s="155"/>
      <c r="M25" s="202">
        <f>SUM(M20:M24)</f>
        <v>35827.51</v>
      </c>
      <c r="N25" s="230">
        <f>H20</f>
        <v>35827.51</v>
      </c>
      <c r="O25" s="202">
        <f>N25-M25</f>
        <v>0</v>
      </c>
    </row>
    <row r="26" spans="1:15" ht="25.5" customHeight="1" x14ac:dyDescent="0.2">
      <c r="A26" s="155" t="s">
        <v>26</v>
      </c>
      <c r="B26" s="155"/>
      <c r="C26" s="155"/>
      <c r="D26" s="206">
        <f>'s3, s3b, s3d'!B15</f>
        <v>32447</v>
      </c>
      <c r="E26" s="240">
        <f>D26/$D$58</f>
        <v>3.5884799999999999E-4</v>
      </c>
      <c r="F26" s="226">
        <f>'s3, s3b, s3d'!D15</f>
        <v>547.24</v>
      </c>
      <c r="G26" s="226">
        <f>'s3, s3b, s3d'!E15</f>
        <v>0</v>
      </c>
      <c r="H26" s="227">
        <f>'s3, s3b, s3d'!$F$15</f>
        <v>547.24</v>
      </c>
      <c r="I26" s="199">
        <v>1</v>
      </c>
      <c r="J26" s="199"/>
      <c r="K26" s="228">
        <f>$H$26*I26</f>
        <v>547.24</v>
      </c>
      <c r="L26" s="155"/>
      <c r="M26" s="202"/>
      <c r="N26" s="230"/>
      <c r="O26" s="155"/>
    </row>
    <row r="27" spans="1:15" ht="25.5" customHeight="1" x14ac:dyDescent="0.2">
      <c r="A27" s="155" t="s">
        <v>27</v>
      </c>
      <c r="B27" s="155"/>
      <c r="C27" s="155"/>
      <c r="D27" s="206">
        <f>'s3, s3b, s3d'!B16</f>
        <v>101387</v>
      </c>
      <c r="E27" s="240">
        <f>D27/$D$58</f>
        <v>1.121291E-3</v>
      </c>
      <c r="F27" s="226">
        <f>'s3, s3b, s3d'!D16</f>
        <v>1709.96</v>
      </c>
      <c r="G27" s="226">
        <f>'s3, s3b, s3d'!E16</f>
        <v>29.46</v>
      </c>
      <c r="H27" s="227">
        <f>'s3, s3b, s3d'!$F$16</f>
        <v>1680.5</v>
      </c>
      <c r="I27" s="199">
        <v>1</v>
      </c>
      <c r="J27" s="199"/>
      <c r="K27" s="228">
        <f>$H$27*I27</f>
        <v>1680.5</v>
      </c>
      <c r="L27" s="155"/>
      <c r="M27" s="202"/>
      <c r="N27" s="230"/>
      <c r="O27" s="155"/>
    </row>
    <row r="28" spans="1:15" ht="25.5" customHeight="1" x14ac:dyDescent="0.2">
      <c r="A28" s="155" t="s">
        <v>28</v>
      </c>
      <c r="B28" s="155"/>
      <c r="C28" s="155"/>
      <c r="D28" s="206">
        <f>'s3, s3b, s3d'!B17</f>
        <v>1357619</v>
      </c>
      <c r="E28" s="240">
        <f>D28/$D$58</f>
        <v>1.5014604000000001E-2</v>
      </c>
      <c r="F28" s="226">
        <f>'s3, s3b, s3d'!D17</f>
        <v>22897.14</v>
      </c>
      <c r="G28" s="226">
        <f>'s3, s3b, s3d'!E17</f>
        <v>91.84</v>
      </c>
      <c r="H28" s="227">
        <f>'s3, s3b, s3d'!$F$17</f>
        <v>22805.3</v>
      </c>
      <c r="I28" s="200">
        <v>0.76097599999999999</v>
      </c>
      <c r="J28" s="200"/>
      <c r="K28" s="228">
        <f>$H$28*I28+O30</f>
        <v>17354.29</v>
      </c>
      <c r="L28" s="155"/>
      <c r="M28" s="202">
        <f>$H$28*I28</f>
        <v>17354.29</v>
      </c>
      <c r="N28" s="230"/>
      <c r="O28" s="155"/>
    </row>
    <row r="29" spans="1:15" x14ac:dyDescent="0.2">
      <c r="A29" s="155"/>
      <c r="B29" s="155" t="s">
        <v>384</v>
      </c>
      <c r="C29" s="155"/>
      <c r="D29" s="155"/>
      <c r="E29" s="240"/>
      <c r="F29" s="226"/>
      <c r="G29" s="226"/>
      <c r="H29" s="226"/>
      <c r="I29" s="204">
        <v>0.23902399999999999</v>
      </c>
      <c r="J29" s="366"/>
      <c r="K29" s="228">
        <f>$H$28*I29</f>
        <v>5451.01</v>
      </c>
      <c r="L29" s="155"/>
      <c r="M29" s="202">
        <f>$H$28*I29</f>
        <v>5451.01</v>
      </c>
      <c r="N29" s="230"/>
      <c r="O29" s="155"/>
    </row>
    <row r="30" spans="1:15" x14ac:dyDescent="0.2">
      <c r="A30" s="155"/>
      <c r="B30" s="155"/>
      <c r="C30" s="155"/>
      <c r="D30" s="155"/>
      <c r="E30" s="240"/>
      <c r="F30" s="226"/>
      <c r="G30" s="226"/>
      <c r="H30" s="226"/>
      <c r="I30" s="199">
        <f>SUM(I28:I29)</f>
        <v>1</v>
      </c>
      <c r="J30" s="199"/>
      <c r="K30" s="228"/>
      <c r="L30" s="155"/>
      <c r="M30" s="202">
        <f>SUM(M28:M29)</f>
        <v>22805.3</v>
      </c>
      <c r="N30" s="230">
        <f>H28</f>
        <v>22805.3</v>
      </c>
      <c r="O30" s="202">
        <f>N30-M30</f>
        <v>0</v>
      </c>
    </row>
    <row r="31" spans="1:15" ht="25.5" customHeight="1" x14ac:dyDescent="0.2">
      <c r="A31" s="155" t="s">
        <v>29</v>
      </c>
      <c r="B31" s="155"/>
      <c r="C31" s="155"/>
      <c r="D31" s="206">
        <f>'s3, s3b, s3d'!B18</f>
        <v>340057</v>
      </c>
      <c r="E31" s="240">
        <f>D31/$D$58</f>
        <v>3.760865E-3</v>
      </c>
      <c r="F31" s="226">
        <f>'s3, s3b, s3d'!D18</f>
        <v>5735.29</v>
      </c>
      <c r="G31" s="226">
        <f>'s3, s3b, s3d'!E18</f>
        <v>137.72999999999999</v>
      </c>
      <c r="H31" s="227">
        <f>'s3, s3b, s3d'!$F$18</f>
        <v>5597.56</v>
      </c>
      <c r="I31" s="199">
        <v>0.99040499999999998</v>
      </c>
      <c r="J31" s="199"/>
      <c r="K31" s="228">
        <f>$H$31*I31+O33</f>
        <v>5543.85</v>
      </c>
      <c r="L31" s="155"/>
      <c r="M31" s="202">
        <f>$H$31*I31</f>
        <v>5543.85</v>
      </c>
      <c r="N31" s="230"/>
      <c r="O31" s="155"/>
    </row>
    <row r="32" spans="1:15" x14ac:dyDescent="0.2">
      <c r="A32" s="155"/>
      <c r="B32" s="155"/>
      <c r="C32" s="155" t="s">
        <v>385</v>
      </c>
      <c r="D32" s="155"/>
      <c r="E32" s="240"/>
      <c r="F32" s="226"/>
      <c r="G32" s="226"/>
      <c r="H32" s="226"/>
      <c r="I32" s="201">
        <v>9.5949999999999994E-3</v>
      </c>
      <c r="J32" s="365"/>
      <c r="K32" s="228">
        <f>$H$31*I32</f>
        <v>53.71</v>
      </c>
      <c r="L32" s="155"/>
      <c r="M32" s="202">
        <f>$H$31*I32</f>
        <v>53.71</v>
      </c>
      <c r="N32" s="230"/>
      <c r="O32" s="155"/>
    </row>
    <row r="33" spans="1:15" x14ac:dyDescent="0.2">
      <c r="A33" s="155"/>
      <c r="B33" s="155"/>
      <c r="C33" s="155"/>
      <c r="D33" s="155"/>
      <c r="E33" s="240"/>
      <c r="F33" s="226"/>
      <c r="G33" s="226"/>
      <c r="H33" s="226"/>
      <c r="I33" s="199">
        <f>SUM(I31:I32)</f>
        <v>1</v>
      </c>
      <c r="J33" s="199"/>
      <c r="K33" s="228"/>
      <c r="L33" s="155"/>
      <c r="M33" s="202">
        <f>SUM(M31:M32)</f>
        <v>5597.56</v>
      </c>
      <c r="N33" s="230">
        <f>H31</f>
        <v>5597.56</v>
      </c>
      <c r="O33" s="202">
        <f>N33-M33</f>
        <v>0</v>
      </c>
    </row>
    <row r="34" spans="1:15" ht="25.5" customHeight="1" x14ac:dyDescent="0.2">
      <c r="A34" s="155" t="s">
        <v>30</v>
      </c>
      <c r="B34" s="155"/>
      <c r="C34" s="155"/>
      <c r="D34" s="206">
        <f>'s3, s3b, s3d'!B19</f>
        <v>166110</v>
      </c>
      <c r="E34" s="240">
        <f>D34/$D$58</f>
        <v>1.8370960000000001E-3</v>
      </c>
      <c r="F34" s="226">
        <f>'s3, s3b, s3d'!D19</f>
        <v>2801.55</v>
      </c>
      <c r="G34" s="226">
        <f>'s3, s3b, s3d'!E19</f>
        <v>13.91</v>
      </c>
      <c r="H34" s="227">
        <f>'s3, s3b, s3d'!$F$19</f>
        <v>2787.64</v>
      </c>
      <c r="I34" s="199">
        <v>0.92362100000000003</v>
      </c>
      <c r="J34" s="199"/>
      <c r="K34" s="228">
        <f>$H$34*I34+O36</f>
        <v>2574.7199999999998</v>
      </c>
      <c r="L34" s="155"/>
      <c r="M34" s="202">
        <f>$H$34*I34</f>
        <v>2574.7199999999998</v>
      </c>
      <c r="N34" s="230"/>
      <c r="O34" s="155"/>
    </row>
    <row r="35" spans="1:15" x14ac:dyDescent="0.2">
      <c r="A35" s="155"/>
      <c r="B35" s="155" t="s">
        <v>386</v>
      </c>
      <c r="C35" s="155"/>
      <c r="D35" s="155"/>
      <c r="E35" s="240"/>
      <c r="F35" s="226"/>
      <c r="G35" s="226"/>
      <c r="H35" s="226"/>
      <c r="I35" s="201">
        <v>7.6379000000000002E-2</v>
      </c>
      <c r="J35" s="365"/>
      <c r="K35" s="228">
        <f>$H$34*I35</f>
        <v>212.92</v>
      </c>
      <c r="L35" s="155"/>
      <c r="M35" s="202">
        <f>$H$34*I35</f>
        <v>212.92</v>
      </c>
      <c r="N35" s="230"/>
      <c r="O35" s="155"/>
    </row>
    <row r="36" spans="1:15" x14ac:dyDescent="0.2">
      <c r="A36" s="155"/>
      <c r="B36" s="155"/>
      <c r="C36" s="155"/>
      <c r="D36" s="155"/>
      <c r="E36" s="240"/>
      <c r="F36" s="226"/>
      <c r="G36" s="226"/>
      <c r="H36" s="226"/>
      <c r="I36" s="199">
        <f>SUM(I34:I35)</f>
        <v>1</v>
      </c>
      <c r="J36" s="199"/>
      <c r="K36" s="228"/>
      <c r="L36" s="155"/>
      <c r="M36" s="202">
        <f>SUM(M34:M35)</f>
        <v>2787.64</v>
      </c>
      <c r="N36" s="230">
        <f>H34</f>
        <v>2787.64</v>
      </c>
      <c r="O36" s="202">
        <f>N36-M36</f>
        <v>0</v>
      </c>
    </row>
    <row r="37" spans="1:15" ht="24.75" customHeight="1" x14ac:dyDescent="0.2">
      <c r="A37" s="155" t="s">
        <v>31</v>
      </c>
      <c r="B37" s="155"/>
      <c r="C37" s="155"/>
      <c r="D37" s="206">
        <f>'s3, s3b, s3d'!B20</f>
        <v>1466059</v>
      </c>
      <c r="E37" s="240">
        <f>D37/$D$58</f>
        <v>1.6213898000000001E-2</v>
      </c>
      <c r="F37" s="226">
        <f>'s3, s3b, s3d'!D20</f>
        <v>24726.05</v>
      </c>
      <c r="G37" s="226">
        <f>'s3, s3b, s3d'!E20</f>
        <v>998.92</v>
      </c>
      <c r="H37" s="227">
        <f>'s3, s3b, s3d'!$F$20</f>
        <v>23727.13</v>
      </c>
      <c r="I37" s="199">
        <v>0.60378299999999996</v>
      </c>
      <c r="J37" s="199"/>
      <c r="K37" s="228">
        <f>$H$37*I37+O40</f>
        <v>14326.04</v>
      </c>
      <c r="L37" s="155"/>
      <c r="M37" s="202">
        <f>$H$37*I37</f>
        <v>14326.04</v>
      </c>
      <c r="N37" s="230"/>
      <c r="O37" s="155"/>
    </row>
    <row r="38" spans="1:15" x14ac:dyDescent="0.2">
      <c r="A38" s="155"/>
      <c r="B38" s="155" t="s">
        <v>388</v>
      </c>
      <c r="C38" s="155"/>
      <c r="D38" s="155"/>
      <c r="E38" s="240"/>
      <c r="F38" s="226"/>
      <c r="G38" s="226"/>
      <c r="H38" s="226"/>
      <c r="I38" s="199">
        <v>0.34462999999999999</v>
      </c>
      <c r="J38" s="199"/>
      <c r="K38" s="228">
        <f>$H$37*I38</f>
        <v>8177.08</v>
      </c>
      <c r="L38" s="155"/>
      <c r="M38" s="202">
        <f>$H$37*I38</f>
        <v>8177.08</v>
      </c>
      <c r="N38" s="230"/>
      <c r="O38" s="155"/>
    </row>
    <row r="39" spans="1:15" x14ac:dyDescent="0.2">
      <c r="A39" s="155"/>
      <c r="B39" s="155" t="s">
        <v>387</v>
      </c>
      <c r="C39" s="155"/>
      <c r="D39" s="155"/>
      <c r="E39" s="240"/>
      <c r="F39" s="226"/>
      <c r="G39" s="226"/>
      <c r="H39" s="226"/>
      <c r="I39" s="201">
        <v>5.1587000000000001E-2</v>
      </c>
      <c r="J39" s="365"/>
      <c r="K39" s="228">
        <f>$H$37*I39</f>
        <v>1224.01</v>
      </c>
      <c r="L39" s="155"/>
      <c r="M39" s="202">
        <f>$H$37*I39</f>
        <v>1224.01</v>
      </c>
      <c r="N39" s="230"/>
      <c r="O39" s="155"/>
    </row>
    <row r="40" spans="1:15" x14ac:dyDescent="0.2">
      <c r="A40" s="155"/>
      <c r="B40" s="155"/>
      <c r="C40" s="155"/>
      <c r="D40" s="155"/>
      <c r="E40" s="240"/>
      <c r="F40" s="226"/>
      <c r="G40" s="226"/>
      <c r="H40" s="226"/>
      <c r="I40" s="199">
        <f>SUM(I37:I39)</f>
        <v>1</v>
      </c>
      <c r="J40" s="199"/>
      <c r="K40" s="228"/>
      <c r="L40" s="155"/>
      <c r="M40" s="202">
        <f>SUM(M37:M39)</f>
        <v>23727.13</v>
      </c>
      <c r="N40" s="230">
        <f>H37</f>
        <v>23727.13</v>
      </c>
      <c r="O40" s="202">
        <f>N40-M40</f>
        <v>0</v>
      </c>
    </row>
    <row r="41" spans="1:15" ht="25.5" customHeight="1" x14ac:dyDescent="0.2">
      <c r="A41" s="155" t="s">
        <v>32</v>
      </c>
      <c r="B41" s="155"/>
      <c r="C41" s="155"/>
      <c r="D41" s="206">
        <f>'s3, s3b, s3d'!B21</f>
        <v>286648</v>
      </c>
      <c r="E41" s="240">
        <f>D41/$D$58</f>
        <v>3.1701870000000001E-3</v>
      </c>
      <c r="F41" s="226">
        <f>'s3, s3b, s3d'!D21</f>
        <v>4834.51</v>
      </c>
      <c r="G41" s="226">
        <f>'s3, s3b, s3d'!E21</f>
        <v>604</v>
      </c>
      <c r="H41" s="227">
        <f>'s3, s3b, s3d'!$F$21</f>
        <v>4230.51</v>
      </c>
      <c r="I41" s="199">
        <v>1</v>
      </c>
      <c r="J41" s="199"/>
      <c r="K41" s="228">
        <f>$H$41*I41</f>
        <v>4230.51</v>
      </c>
      <c r="L41" s="155"/>
      <c r="M41" s="202"/>
      <c r="N41" s="230"/>
      <c r="O41" s="155"/>
    </row>
    <row r="42" spans="1:15" ht="26.25" customHeight="1" x14ac:dyDescent="0.2">
      <c r="A42" s="155" t="s">
        <v>33</v>
      </c>
      <c r="B42" s="155"/>
      <c r="C42" s="155"/>
      <c r="D42" s="206">
        <f>'s3, s3b, s3d'!B22</f>
        <v>2168120</v>
      </c>
      <c r="E42" s="240">
        <f>D42/$D$58</f>
        <v>2.3978349999999999E-2</v>
      </c>
      <c r="F42" s="226">
        <f>'s3, s3b, s3d'!D22</f>
        <v>36566.769999999997</v>
      </c>
      <c r="G42" s="226">
        <f>'s3, s3b, s3d'!E22</f>
        <v>99.42</v>
      </c>
      <c r="H42" s="227">
        <f>'s3, s3b, s3d'!$F$22</f>
        <v>36467.35</v>
      </c>
      <c r="I42" s="199">
        <v>0.15726799999999999</v>
      </c>
      <c r="J42" s="199"/>
      <c r="K42" s="228">
        <f>$H$42*I42+O46</f>
        <v>5735.16</v>
      </c>
      <c r="L42" s="155"/>
      <c r="M42" s="202">
        <f>$H$42*I42</f>
        <v>5735.15</v>
      </c>
      <c r="N42" s="230"/>
      <c r="O42" s="155"/>
    </row>
    <row r="43" spans="1:15" x14ac:dyDescent="0.2">
      <c r="A43" s="155"/>
      <c r="B43" s="155"/>
      <c r="C43" s="155" t="s">
        <v>389</v>
      </c>
      <c r="D43" s="155"/>
      <c r="E43" s="240"/>
      <c r="F43" s="226"/>
      <c r="G43" s="226"/>
      <c r="H43" s="226"/>
      <c r="I43" s="199">
        <v>0.69423400000000002</v>
      </c>
      <c r="J43" s="199"/>
      <c r="K43" s="228">
        <f>$H$42*I43</f>
        <v>25316.87</v>
      </c>
      <c r="L43" s="155"/>
      <c r="M43" s="202">
        <f>$H$42*I43</f>
        <v>25316.87</v>
      </c>
      <c r="N43" s="230"/>
      <c r="O43" s="155"/>
    </row>
    <row r="44" spans="1:15" ht="12.75" customHeight="1" x14ac:dyDescent="0.2">
      <c r="A44" s="155"/>
      <c r="B44" s="155"/>
      <c r="C44" s="155" t="s">
        <v>390</v>
      </c>
      <c r="D44" s="155"/>
      <c r="E44" s="240"/>
      <c r="F44" s="226"/>
      <c r="G44" s="226"/>
      <c r="H44" s="226"/>
      <c r="I44" s="199">
        <v>0.119422</v>
      </c>
      <c r="J44" s="199"/>
      <c r="K44" s="228">
        <f>$H$42*I44</f>
        <v>4355</v>
      </c>
      <c r="L44" s="155"/>
      <c r="M44" s="202">
        <f>$H$42*I44</f>
        <v>4355</v>
      </c>
      <c r="N44" s="230"/>
      <c r="O44" s="155"/>
    </row>
    <row r="45" spans="1:15" x14ac:dyDescent="0.2">
      <c r="A45" s="155"/>
      <c r="B45" s="155"/>
      <c r="C45" s="155" t="s">
        <v>391</v>
      </c>
      <c r="D45" s="155"/>
      <c r="E45" s="240"/>
      <c r="F45" s="226"/>
      <c r="G45" s="226"/>
      <c r="H45" s="226"/>
      <c r="I45" s="201">
        <v>2.9076000000000001E-2</v>
      </c>
      <c r="J45" s="365"/>
      <c r="K45" s="228">
        <f>$H$42*I45</f>
        <v>1060.32</v>
      </c>
      <c r="L45" s="155"/>
      <c r="M45" s="202">
        <f>$H$42*I45</f>
        <v>1060.32</v>
      </c>
      <c r="N45" s="230"/>
      <c r="O45" s="155"/>
    </row>
    <row r="46" spans="1:15" x14ac:dyDescent="0.2">
      <c r="A46" s="155"/>
      <c r="B46" s="155"/>
      <c r="C46" s="155"/>
      <c r="D46" s="155"/>
      <c r="E46" s="240"/>
      <c r="F46" s="226"/>
      <c r="G46" s="226"/>
      <c r="H46" s="226"/>
      <c r="I46" s="199">
        <f>SUM(I42:I45)</f>
        <v>1</v>
      </c>
      <c r="J46" s="199"/>
      <c r="K46" s="228"/>
      <c r="L46" s="155"/>
      <c r="M46" s="202">
        <f>SUM(M42:M45)</f>
        <v>36467.339999999997</v>
      </c>
      <c r="N46" s="230">
        <f>H42</f>
        <v>36467.35</v>
      </c>
      <c r="O46" s="202">
        <f>N46-M46</f>
        <v>0.01</v>
      </c>
    </row>
    <row r="47" spans="1:15" ht="26.25" customHeight="1" x14ac:dyDescent="0.2">
      <c r="A47" s="155" t="s">
        <v>34</v>
      </c>
      <c r="B47" s="155"/>
      <c r="C47" s="155"/>
      <c r="D47" s="206">
        <f>'s3, s3b, s3d'!B23</f>
        <v>260843</v>
      </c>
      <c r="E47" s="240">
        <f>D47/$D$58</f>
        <v>2.8847959999999998E-3</v>
      </c>
      <c r="F47" s="226">
        <f>'s3, s3b, s3d'!D23</f>
        <v>4399.29</v>
      </c>
      <c r="G47" s="226">
        <f>'s3, s3b, s3d'!E23</f>
        <v>12.4</v>
      </c>
      <c r="H47" s="227">
        <f>'s3, s3b, s3d'!$F$23</f>
        <v>4386.8900000000003</v>
      </c>
      <c r="I47" s="199">
        <v>0.89219999999999999</v>
      </c>
      <c r="J47" s="199"/>
      <c r="K47" s="228">
        <f>$H$47*I47+O49</f>
        <v>3913.98</v>
      </c>
      <c r="L47" s="155"/>
      <c r="M47" s="202">
        <f>$H$47*I47</f>
        <v>3913.98</v>
      </c>
      <c r="N47" s="230"/>
      <c r="O47" s="155"/>
    </row>
    <row r="48" spans="1:15" x14ac:dyDescent="0.2">
      <c r="A48" s="155"/>
      <c r="B48" s="155" t="s">
        <v>392</v>
      </c>
      <c r="C48" s="155"/>
      <c r="D48" s="155"/>
      <c r="E48" s="240"/>
      <c r="F48" s="226"/>
      <c r="G48" s="226"/>
      <c r="H48" s="226"/>
      <c r="I48" s="201">
        <v>0.10780000000000001</v>
      </c>
      <c r="J48" s="365"/>
      <c r="K48" s="228">
        <f>$H$47*I48</f>
        <v>472.91</v>
      </c>
      <c r="L48" s="155"/>
      <c r="M48" s="202">
        <f>$H$47*I48</f>
        <v>472.91</v>
      </c>
      <c r="N48" s="230"/>
      <c r="O48" s="155"/>
    </row>
    <row r="49" spans="1:15" x14ac:dyDescent="0.2">
      <c r="A49" s="155"/>
      <c r="B49" s="155"/>
      <c r="C49" s="155"/>
      <c r="D49" s="155"/>
      <c r="E49" s="240"/>
      <c r="F49" s="226"/>
      <c r="G49" s="226"/>
      <c r="H49" s="226"/>
      <c r="I49" s="199">
        <f>SUM(I47:I48)</f>
        <v>1</v>
      </c>
      <c r="J49" s="199"/>
      <c r="K49" s="228"/>
      <c r="L49" s="155"/>
      <c r="M49" s="202">
        <f>SUM(M47:M48)</f>
        <v>4386.8900000000003</v>
      </c>
      <c r="N49" s="230">
        <f>H47</f>
        <v>4386.8900000000003</v>
      </c>
      <c r="O49" s="202">
        <f>N49-M49</f>
        <v>0</v>
      </c>
    </row>
    <row r="50" spans="1:15" ht="25.5" customHeight="1" x14ac:dyDescent="0.2">
      <c r="A50" s="155" t="s">
        <v>35</v>
      </c>
      <c r="B50" s="155"/>
      <c r="C50" s="155"/>
      <c r="D50" s="206">
        <f>'s3, s3b, s3d'!B24</f>
        <v>24993</v>
      </c>
      <c r="E50" s="240">
        <f>D50/$D$58</f>
        <v>2.7640999999999999E-4</v>
      </c>
      <c r="F50" s="226">
        <f>'s3, s3b, s3d'!D24</f>
        <v>421.52</v>
      </c>
      <c r="G50" s="226">
        <f>'s3, s3b, s3d'!E24</f>
        <v>0</v>
      </c>
      <c r="H50" s="227">
        <f>'s3, s3b, s3d'!$F$24</f>
        <v>421.52</v>
      </c>
      <c r="I50" s="199">
        <v>1</v>
      </c>
      <c r="J50" s="199"/>
      <c r="K50" s="228">
        <f>$H$50*I50</f>
        <v>421.52</v>
      </c>
      <c r="L50" s="155"/>
      <c r="M50" s="202"/>
      <c r="N50" s="230"/>
      <c r="O50" s="155"/>
    </row>
    <row r="51" spans="1:15" ht="25.5" customHeight="1" x14ac:dyDescent="0.2">
      <c r="A51" s="155" t="s">
        <v>36</v>
      </c>
      <c r="B51" s="155"/>
      <c r="C51" s="155"/>
      <c r="D51" s="206">
        <f>'s3, s3b, s3d'!B25</f>
        <v>15521823</v>
      </c>
      <c r="E51" s="240">
        <f>D51/$D$58</f>
        <v>0.17166379300000001</v>
      </c>
      <c r="F51" s="226">
        <f>'s3, s3b, s3d'!D25</f>
        <v>261785.75</v>
      </c>
      <c r="G51" s="226">
        <f>'s3, s3b, s3d'!E25</f>
        <v>3718.39</v>
      </c>
      <c r="H51" s="227">
        <f>'s3, s3b, s3d'!$F$25</f>
        <v>258067.36</v>
      </c>
      <c r="I51" s="199">
        <v>0.38875599999999999</v>
      </c>
      <c r="J51" s="367">
        <f>ROUND(+'s3, s3b, s3d'!$Q$107*s3a!I51,2)</f>
        <v>2833.22</v>
      </c>
      <c r="K51" s="370">
        <f>$H$51*I51+O54</f>
        <v>100325.24460416001</v>
      </c>
      <c r="L51" s="155"/>
      <c r="M51" s="202">
        <f>$H$51*I51</f>
        <v>100325.23</v>
      </c>
      <c r="N51" s="230"/>
      <c r="O51" s="155"/>
    </row>
    <row r="52" spans="1:15" x14ac:dyDescent="0.2">
      <c r="A52" s="155"/>
      <c r="B52" s="155" t="s">
        <v>393</v>
      </c>
      <c r="C52" s="155"/>
      <c r="D52" s="155"/>
      <c r="E52" s="240"/>
      <c r="F52" s="226"/>
      <c r="G52" s="226"/>
      <c r="H52" s="226"/>
      <c r="I52" s="199">
        <v>0.457063</v>
      </c>
      <c r="J52" s="367">
        <f>ROUND(+'s3, s3b, s3d'!$Q$107*s3a!I52,2)</f>
        <v>3331.04</v>
      </c>
      <c r="K52" s="370">
        <f>$H$51*I52+O55</f>
        <v>117953.04176368</v>
      </c>
      <c r="L52" s="155"/>
      <c r="M52" s="202">
        <f>$H$51*I52</f>
        <v>117953.04</v>
      </c>
      <c r="N52" s="230"/>
      <c r="O52" s="155"/>
    </row>
    <row r="53" spans="1:15" x14ac:dyDescent="0.2">
      <c r="A53" s="155"/>
      <c r="B53" s="155" t="s">
        <v>394</v>
      </c>
      <c r="C53" s="155"/>
      <c r="D53" s="155"/>
      <c r="E53" s="240"/>
      <c r="F53" s="226"/>
      <c r="G53" s="226"/>
      <c r="H53" s="226"/>
      <c r="I53" s="201">
        <v>0.15418100000000001</v>
      </c>
      <c r="J53" s="367">
        <f>ROUND(+'s3, s3b, s3d'!$Q$107*s3a!I53,2)</f>
        <v>1123.6600000000001</v>
      </c>
      <c r="K53" s="370">
        <f>$H$51*I53+O56</f>
        <v>39789.08363216</v>
      </c>
      <c r="L53" s="155"/>
      <c r="M53" s="202">
        <f>$H$51*I53</f>
        <v>39789.08</v>
      </c>
      <c r="N53" s="230"/>
      <c r="O53" s="155"/>
    </row>
    <row r="54" spans="1:15" x14ac:dyDescent="0.2">
      <c r="A54" s="155"/>
      <c r="B54" s="155"/>
      <c r="C54" s="155"/>
      <c r="D54" s="155"/>
      <c r="E54" s="240"/>
      <c r="F54" s="226"/>
      <c r="G54" s="226"/>
      <c r="H54" s="226"/>
      <c r="I54" s="199">
        <f>SUM(I51:I53)</f>
        <v>1</v>
      </c>
      <c r="J54" s="367">
        <f>+J51+J52+J53</f>
        <v>7287.92</v>
      </c>
      <c r="K54" s="371" t="s">
        <v>82</v>
      </c>
      <c r="L54" s="155"/>
      <c r="M54" s="202">
        <f>SUM(M51:M53)</f>
        <v>258067.35</v>
      </c>
      <c r="N54" s="230">
        <f>H51</f>
        <v>258067.36</v>
      </c>
      <c r="O54" s="202">
        <f>N54-M54</f>
        <v>0.01</v>
      </c>
    </row>
    <row r="55" spans="1:15" ht="24.75" customHeight="1" x14ac:dyDescent="0.2">
      <c r="A55" s="155" t="s">
        <v>37</v>
      </c>
      <c r="B55" s="155"/>
      <c r="C55" s="155"/>
      <c r="D55" s="206">
        <f>'s3, s3b, s3d'!B26</f>
        <v>576540</v>
      </c>
      <c r="E55" s="240">
        <f>D55/$D$58</f>
        <v>6.3762510000000003E-3</v>
      </c>
      <c r="F55" s="226">
        <f>'s3, s3b, s3d'!D26</f>
        <v>9723.73</v>
      </c>
      <c r="G55" s="226">
        <f>'s3, s3b, s3d'!E26</f>
        <v>72.959999999999994</v>
      </c>
      <c r="H55" s="227">
        <f>'s3, s3b, s3d'!$F$26</f>
        <v>9650.77</v>
      </c>
      <c r="I55" s="199">
        <v>0.65841899999999998</v>
      </c>
      <c r="J55" s="199"/>
      <c r="K55" s="228">
        <f>$H$55*I55+O57</f>
        <v>6354.25</v>
      </c>
      <c r="L55" s="155"/>
      <c r="M55" s="202">
        <f>$H$55*I55</f>
        <v>6354.25</v>
      </c>
      <c r="N55" s="230"/>
      <c r="O55" s="155"/>
    </row>
    <row r="56" spans="1:15" x14ac:dyDescent="0.2">
      <c r="A56" s="155"/>
      <c r="B56" s="155" t="s">
        <v>395</v>
      </c>
      <c r="C56" s="155"/>
      <c r="D56" s="155"/>
      <c r="E56" s="240"/>
      <c r="F56" s="226"/>
      <c r="G56" s="226"/>
      <c r="H56" s="226"/>
      <c r="I56" s="201">
        <v>0.34158100000000002</v>
      </c>
      <c r="J56" s="365"/>
      <c r="K56" s="228">
        <f>$H$55*I56</f>
        <v>3296.52</v>
      </c>
      <c r="L56" s="155"/>
      <c r="M56" s="202">
        <f>$H$55*I56</f>
        <v>3296.52</v>
      </c>
      <c r="N56" s="230"/>
      <c r="O56" s="155"/>
    </row>
    <row r="57" spans="1:15" x14ac:dyDescent="0.2">
      <c r="A57" s="155"/>
      <c r="B57" s="155"/>
      <c r="C57" s="155"/>
      <c r="D57" s="155"/>
      <c r="E57" s="240"/>
      <c r="F57" s="226"/>
      <c r="G57" s="226"/>
      <c r="H57" s="226"/>
      <c r="I57" s="199">
        <f>SUM(I55:I56)</f>
        <v>1</v>
      </c>
      <c r="J57" s="199"/>
      <c r="K57" s="228"/>
      <c r="L57" s="155"/>
      <c r="M57" s="202">
        <f>SUM(M55:M56)</f>
        <v>9650.77</v>
      </c>
      <c r="N57" s="230">
        <f>H55</f>
        <v>9650.77</v>
      </c>
      <c r="O57" s="202">
        <f>N57-M57</f>
        <v>0</v>
      </c>
    </row>
    <row r="58" spans="1:15" s="142" customFormat="1" ht="13.5" thickBot="1" x14ac:dyDescent="0.25">
      <c r="A58" s="207" t="s">
        <v>244</v>
      </c>
      <c r="B58" s="207"/>
      <c r="C58" s="207"/>
      <c r="D58" s="208">
        <f>SUM(D8:D57)</f>
        <v>90419900</v>
      </c>
      <c r="E58" s="242">
        <f>SUM(E8:E57)</f>
        <v>1.0000000010000001</v>
      </c>
      <c r="F58" s="231">
        <f>SUM(F8:F57)</f>
        <v>1524991.06</v>
      </c>
      <c r="G58" s="231">
        <f>SUM(G8:G57)</f>
        <v>7960.23</v>
      </c>
      <c r="H58" s="231">
        <f>SUM(H8:H57)</f>
        <v>1517030.83</v>
      </c>
      <c r="I58" s="231"/>
      <c r="J58" s="231"/>
      <c r="K58" s="231">
        <f>SUM(K8:K56)</f>
        <v>1517030.84</v>
      </c>
      <c r="L58" s="150"/>
      <c r="M58" s="150"/>
      <c r="N58" s="150"/>
      <c r="O58" s="150"/>
    </row>
    <row r="59" spans="1:15" ht="13.5" thickTop="1" x14ac:dyDescent="0.2">
      <c r="A59" s="155"/>
      <c r="B59" s="155"/>
      <c r="C59" s="155"/>
      <c r="D59" s="155"/>
      <c r="E59" s="155"/>
      <c r="F59" s="155"/>
      <c r="G59" s="155"/>
      <c r="H59" s="203"/>
      <c r="I59" s="199"/>
      <c r="J59" s="199"/>
      <c r="K59" s="228"/>
      <c r="L59" s="155"/>
      <c r="M59" s="155"/>
      <c r="N59" s="155"/>
      <c r="O59" s="155"/>
    </row>
    <row r="61" spans="1:15" x14ac:dyDescent="0.2">
      <c r="B61" s="155"/>
      <c r="C61" s="155"/>
    </row>
    <row r="62" spans="1:15" x14ac:dyDescent="0.2">
      <c r="B62" s="155"/>
      <c r="C62" s="155"/>
    </row>
    <row r="63" spans="1:15" x14ac:dyDescent="0.2">
      <c r="C63" s="198"/>
    </row>
    <row r="64" spans="1:15" x14ac:dyDescent="0.2">
      <c r="B64" s="155"/>
      <c r="C64" s="155"/>
    </row>
    <row r="65" spans="2:3" x14ac:dyDescent="0.2">
      <c r="B65" s="155"/>
      <c r="C65" s="155"/>
    </row>
    <row r="66" spans="2:3" x14ac:dyDescent="0.2">
      <c r="C66" s="155"/>
    </row>
    <row r="67" spans="2:3" x14ac:dyDescent="0.2">
      <c r="C67" s="155"/>
    </row>
    <row r="68" spans="2:3" x14ac:dyDescent="0.2">
      <c r="C68" s="155"/>
    </row>
    <row r="69" spans="2:3" x14ac:dyDescent="0.2">
      <c r="C69" s="155"/>
    </row>
    <row r="70" spans="2:3" x14ac:dyDescent="0.2">
      <c r="C70" s="155"/>
    </row>
    <row r="71" spans="2:3" x14ac:dyDescent="0.2">
      <c r="B71" s="155"/>
    </row>
    <row r="72" spans="2:3" x14ac:dyDescent="0.2">
      <c r="B72" s="155"/>
    </row>
    <row r="73" spans="2:3" x14ac:dyDescent="0.2">
      <c r="B73" s="155"/>
    </row>
    <row r="74" spans="2:3" x14ac:dyDescent="0.2">
      <c r="B74" s="155"/>
    </row>
    <row r="75" spans="2:3" x14ac:dyDescent="0.2">
      <c r="B75" s="155"/>
    </row>
    <row r="76" spans="2:3" x14ac:dyDescent="0.2">
      <c r="B76" s="155"/>
    </row>
    <row r="77" spans="2:3" x14ac:dyDescent="0.2">
      <c r="B77" s="155"/>
    </row>
    <row r="78" spans="2:3" x14ac:dyDescent="0.2">
      <c r="B78" s="155"/>
    </row>
    <row r="79" spans="2:3" x14ac:dyDescent="0.2">
      <c r="B79" s="155"/>
    </row>
    <row r="80" spans="2:3" x14ac:dyDescent="0.2">
      <c r="B80" s="155"/>
    </row>
    <row r="81" spans="2:3" x14ac:dyDescent="0.2">
      <c r="B81" s="155"/>
    </row>
    <row r="82" spans="2:3" x14ac:dyDescent="0.2">
      <c r="B82" s="155"/>
    </row>
    <row r="83" spans="2:3" x14ac:dyDescent="0.2">
      <c r="B83" s="155"/>
    </row>
    <row r="84" spans="2:3" x14ac:dyDescent="0.2">
      <c r="B84" s="155"/>
    </row>
    <row r="85" spans="2:3" x14ac:dyDescent="0.2">
      <c r="B85" s="155"/>
    </row>
    <row r="86" spans="2:3" x14ac:dyDescent="0.2">
      <c r="B86" s="155"/>
      <c r="C86" s="155"/>
    </row>
    <row r="87" spans="2:3" x14ac:dyDescent="0.2">
      <c r="B87" s="155"/>
      <c r="C87" s="155"/>
    </row>
    <row r="88" spans="2:3" x14ac:dyDescent="0.2">
      <c r="B88" s="155"/>
    </row>
    <row r="89" spans="2:3" x14ac:dyDescent="0.2">
      <c r="B89" s="155"/>
    </row>
    <row r="90" spans="2:3" x14ac:dyDescent="0.2">
      <c r="B90" s="155"/>
    </row>
    <row r="91" spans="2:3" x14ac:dyDescent="0.2">
      <c r="B91" s="155"/>
      <c r="C91" s="155"/>
    </row>
    <row r="92" spans="2:3" x14ac:dyDescent="0.2">
      <c r="B92" s="155"/>
      <c r="C92" s="155"/>
    </row>
    <row r="93" spans="2:3" x14ac:dyDescent="0.2">
      <c r="C93" s="155"/>
    </row>
    <row r="94" spans="2:3" x14ac:dyDescent="0.2">
      <c r="C94" s="155"/>
    </row>
    <row r="95" spans="2:3" x14ac:dyDescent="0.2">
      <c r="C95" s="155"/>
    </row>
    <row r="96" spans="2:3" x14ac:dyDescent="0.2">
      <c r="C96" s="155"/>
    </row>
    <row r="97" spans="2:3" x14ac:dyDescent="0.2">
      <c r="B97" s="155"/>
    </row>
    <row r="98" spans="2:3" x14ac:dyDescent="0.2">
      <c r="B98" s="155"/>
    </row>
    <row r="99" spans="2:3" x14ac:dyDescent="0.2">
      <c r="B99" s="155"/>
    </row>
    <row r="100" spans="2:3" x14ac:dyDescent="0.2">
      <c r="B100" s="155"/>
    </row>
    <row r="101" spans="2:3" x14ac:dyDescent="0.2">
      <c r="B101" s="155"/>
      <c r="C101" s="155"/>
    </row>
    <row r="102" spans="2:3" x14ac:dyDescent="0.2">
      <c r="B102" s="155"/>
      <c r="C102" s="155"/>
    </row>
    <row r="103" spans="2:3" x14ac:dyDescent="0.2">
      <c r="B103" s="155"/>
    </row>
    <row r="104" spans="2:3" x14ac:dyDescent="0.2">
      <c r="B104" s="155"/>
    </row>
    <row r="105" spans="2:3" x14ac:dyDescent="0.2">
      <c r="B105" s="155"/>
      <c r="C105" s="155"/>
    </row>
    <row r="106" spans="2:3" x14ac:dyDescent="0.2">
      <c r="B106" s="155"/>
      <c r="C106" s="155"/>
    </row>
    <row r="107" spans="2:3" x14ac:dyDescent="0.2">
      <c r="B107" s="155"/>
    </row>
    <row r="108" spans="2:3" x14ac:dyDescent="0.2">
      <c r="B108" s="155"/>
    </row>
    <row r="109" spans="2:3" x14ac:dyDescent="0.2">
      <c r="B109" s="155"/>
      <c r="C109" s="155"/>
    </row>
    <row r="110" spans="2:3" x14ac:dyDescent="0.2">
      <c r="B110" s="155"/>
      <c r="C110" s="155"/>
    </row>
    <row r="111" spans="2:3" x14ac:dyDescent="0.2">
      <c r="C111" s="155"/>
    </row>
    <row r="112" spans="2:3" x14ac:dyDescent="0.2">
      <c r="B112" s="155"/>
      <c r="C112" s="155"/>
    </row>
    <row r="113" spans="2:3" x14ac:dyDescent="0.2">
      <c r="B113" s="155"/>
      <c r="C113" s="155"/>
    </row>
    <row r="114" spans="2:3" x14ac:dyDescent="0.2">
      <c r="B114" s="155"/>
    </row>
    <row r="115" spans="2:3" x14ac:dyDescent="0.2">
      <c r="B115" s="155"/>
    </row>
    <row r="116" spans="2:3" x14ac:dyDescent="0.2">
      <c r="B116" s="155"/>
    </row>
    <row r="117" spans="2:3" x14ac:dyDescent="0.2">
      <c r="B117" s="155"/>
      <c r="C117" s="155"/>
    </row>
    <row r="118" spans="2:3" x14ac:dyDescent="0.2">
      <c r="B118" s="155"/>
      <c r="C118" s="155"/>
    </row>
    <row r="119" spans="2:3" x14ac:dyDescent="0.2">
      <c r="C119" s="155"/>
    </row>
    <row r="120" spans="2:3" x14ac:dyDescent="0.2">
      <c r="B120" s="155"/>
    </row>
    <row r="121" spans="2:3" x14ac:dyDescent="0.2">
      <c r="B121" s="155"/>
    </row>
    <row r="122" spans="2:3" x14ac:dyDescent="0.2">
      <c r="B122" s="155"/>
    </row>
    <row r="123" spans="2:3" x14ac:dyDescent="0.2">
      <c r="B123" s="155"/>
      <c r="C123" s="155"/>
    </row>
    <row r="124" spans="2:3" x14ac:dyDescent="0.2">
      <c r="B124" s="155"/>
      <c r="C124" s="155"/>
    </row>
    <row r="125" spans="2:3" x14ac:dyDescent="0.2">
      <c r="C125" s="155"/>
    </row>
    <row r="126" spans="2:3" x14ac:dyDescent="0.2">
      <c r="C126" s="155"/>
    </row>
    <row r="127" spans="2:3" x14ac:dyDescent="0.2">
      <c r="B127" s="155"/>
      <c r="C127" s="155"/>
    </row>
    <row r="128" spans="2:3" x14ac:dyDescent="0.2">
      <c r="B128" s="155"/>
      <c r="C128" s="155"/>
    </row>
    <row r="129" spans="2:3" x14ac:dyDescent="0.2">
      <c r="B129" s="155"/>
    </row>
    <row r="130" spans="2:3" x14ac:dyDescent="0.2">
      <c r="B130" s="155"/>
    </row>
    <row r="131" spans="2:3" x14ac:dyDescent="0.2">
      <c r="B131" s="155"/>
    </row>
    <row r="132" spans="2:3" x14ac:dyDescent="0.2">
      <c r="B132" s="155"/>
    </row>
    <row r="133" spans="2:3" x14ac:dyDescent="0.2">
      <c r="B133" s="155"/>
      <c r="C133" s="155"/>
    </row>
    <row r="134" spans="2:3" x14ac:dyDescent="0.2">
      <c r="B134" s="155"/>
      <c r="C134" s="155"/>
    </row>
    <row r="135" spans="2:3" x14ac:dyDescent="0.2">
      <c r="B135" s="155"/>
    </row>
    <row r="136" spans="2:3" x14ac:dyDescent="0.2">
      <c r="B136" s="155"/>
    </row>
    <row r="137" spans="2:3" x14ac:dyDescent="0.2">
      <c r="B137" s="155"/>
    </row>
    <row r="138" spans="2:3" x14ac:dyDescent="0.2">
      <c r="B138" s="155"/>
    </row>
    <row r="139" spans="2:3" x14ac:dyDescent="0.2">
      <c r="B139" s="155"/>
    </row>
    <row r="140" spans="2:3" x14ac:dyDescent="0.2">
      <c r="B140" s="155"/>
    </row>
    <row r="141" spans="2:3" x14ac:dyDescent="0.2">
      <c r="B141" s="155"/>
    </row>
    <row r="142" spans="2:3" x14ac:dyDescent="0.2">
      <c r="B142" s="155"/>
      <c r="C142" s="155"/>
    </row>
    <row r="143" spans="2:3" x14ac:dyDescent="0.2">
      <c r="B143" s="155"/>
      <c r="C143" s="155"/>
    </row>
    <row r="144" spans="2:3" x14ac:dyDescent="0.2">
      <c r="C144" s="155"/>
    </row>
    <row r="145" spans="2:3" x14ac:dyDescent="0.2">
      <c r="B145" s="155"/>
    </row>
    <row r="146" spans="2:3" x14ac:dyDescent="0.2">
      <c r="B146" s="155"/>
      <c r="C146" s="155"/>
    </row>
    <row r="147" spans="2:3" x14ac:dyDescent="0.2">
      <c r="B147" s="155"/>
      <c r="C147" s="155"/>
    </row>
    <row r="148" spans="2:3" x14ac:dyDescent="0.2">
      <c r="B148" s="155"/>
    </row>
    <row r="149" spans="2:3" x14ac:dyDescent="0.2">
      <c r="B149" s="155"/>
    </row>
    <row r="150" spans="2:3" x14ac:dyDescent="0.2">
      <c r="B150" s="155"/>
      <c r="C150" s="155"/>
    </row>
    <row r="151" spans="2:3" x14ac:dyDescent="0.2">
      <c r="B151" s="155"/>
      <c r="C151" s="155"/>
    </row>
    <row r="152" spans="2:3" x14ac:dyDescent="0.2">
      <c r="C152" s="155"/>
    </row>
    <row r="153" spans="2:3" x14ac:dyDescent="0.2">
      <c r="C153" s="155"/>
    </row>
    <row r="154" spans="2:3" x14ac:dyDescent="0.2">
      <c r="B154" s="155"/>
      <c r="C154" s="155"/>
    </row>
    <row r="155" spans="2:3" x14ac:dyDescent="0.2">
      <c r="B155" s="155"/>
      <c r="C155" s="155"/>
    </row>
    <row r="156" spans="2:3" x14ac:dyDescent="0.2">
      <c r="C156" s="155"/>
    </row>
    <row r="157" spans="2:3" x14ac:dyDescent="0.2">
      <c r="B157" s="155"/>
    </row>
    <row r="158" spans="2:3" x14ac:dyDescent="0.2">
      <c r="B158" s="155"/>
    </row>
    <row r="159" spans="2:3" x14ac:dyDescent="0.2">
      <c r="B159" s="155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55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topLeftCell="K16" zoomScaleNormal="100" workbookViewId="0">
      <selection activeCell="M19" sqref="M19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5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4" t="s">
        <v>396</v>
      </c>
      <c r="B1" s="148"/>
      <c r="C1" s="148"/>
      <c r="D1" s="149"/>
      <c r="E1" s="407" t="s">
        <v>635</v>
      </c>
      <c r="F1" s="407"/>
      <c r="G1" s="142"/>
      <c r="H1" s="142"/>
      <c r="I1" s="142"/>
      <c r="J1" s="150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0" ht="38.25" x14ac:dyDescent="0.2">
      <c r="A2" s="150" t="s">
        <v>397</v>
      </c>
      <c r="C2" s="156">
        <v>1041384.54</v>
      </c>
      <c r="E2" s="406" t="s">
        <v>414</v>
      </c>
      <c r="F2" s="406"/>
      <c r="G2" s="159">
        <f>IF(C4&lt;0,0,IF(C4&lt;C2,B3,0))</f>
        <v>0</v>
      </c>
      <c r="J2"/>
    </row>
    <row r="3" spans="1:20" ht="25.5" x14ac:dyDescent="0.2">
      <c r="A3" s="150" t="s">
        <v>398</v>
      </c>
      <c r="B3" s="156">
        <f>'s3, s3b, s3d'!$I$8</f>
        <v>1089279.32</v>
      </c>
      <c r="E3" s="160" t="s">
        <v>400</v>
      </c>
      <c r="F3" s="161" t="s">
        <v>636</v>
      </c>
      <c r="G3" s="161" t="s">
        <v>637</v>
      </c>
      <c r="H3" s="161" t="s">
        <v>402</v>
      </c>
      <c r="I3" s="161" t="s">
        <v>403</v>
      </c>
      <c r="J3"/>
    </row>
    <row r="4" spans="1:20" ht="25.5" x14ac:dyDescent="0.2">
      <c r="A4" s="193" t="s">
        <v>399</v>
      </c>
      <c r="B4" s="151">
        <f>'s3, s3b, s3d'!E54</f>
        <v>5685.82</v>
      </c>
      <c r="C4" s="158">
        <f>B3-B4</f>
        <v>1083593.5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s3d'!E37</f>
        <v>119.4</v>
      </c>
      <c r="I4" s="162">
        <f t="shared" ref="I4:I20" si="1">G4-H4</f>
        <v>-119.4</v>
      </c>
      <c r="J4"/>
    </row>
    <row r="5" spans="1:20" ht="49.5" customHeight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s3d'!E38</f>
        <v>96.66</v>
      </c>
      <c r="I5" s="162">
        <f t="shared" si="1"/>
        <v>-96.66</v>
      </c>
      <c r="J5"/>
    </row>
    <row r="6" spans="1:20" ht="35.25" customHeight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s3d'!E39</f>
        <v>3121.56</v>
      </c>
      <c r="I6" s="162">
        <f>(G6-H6)+J21</f>
        <v>-3121.56</v>
      </c>
      <c r="J6"/>
    </row>
    <row r="7" spans="1:20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s3d'!E40</f>
        <v>96.66</v>
      </c>
      <c r="I7" s="162">
        <f t="shared" si="1"/>
        <v>-96.66</v>
      </c>
      <c r="J7"/>
    </row>
    <row r="8" spans="1:20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s3d'!E41</f>
        <v>187.63</v>
      </c>
      <c r="I8" s="162">
        <f t="shared" si="1"/>
        <v>-187.63</v>
      </c>
      <c r="J8"/>
    </row>
    <row r="9" spans="1:20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s3d'!E42</f>
        <v>45.49</v>
      </c>
      <c r="I9" s="162">
        <f t="shared" si="1"/>
        <v>-45.49</v>
      </c>
      <c r="J9"/>
    </row>
    <row r="10" spans="1:20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s3d'!E43</f>
        <v>90.97</v>
      </c>
      <c r="I10" s="162">
        <f t="shared" si="1"/>
        <v>-90.97</v>
      </c>
      <c r="J10"/>
    </row>
    <row r="11" spans="1:20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s3d'!E44</f>
        <v>119.4</v>
      </c>
      <c r="I11" s="162">
        <f t="shared" si="1"/>
        <v>-119.4</v>
      </c>
      <c r="J11"/>
    </row>
    <row r="12" spans="1:20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s3d'!E45</f>
        <v>113.72</v>
      </c>
      <c r="I12" s="162">
        <f t="shared" si="1"/>
        <v>-113.72</v>
      </c>
      <c r="J12"/>
    </row>
    <row r="13" spans="1:20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s3d'!E46</f>
        <v>181.95</v>
      </c>
      <c r="I13" s="162">
        <f t="shared" si="1"/>
        <v>-181.95</v>
      </c>
      <c r="J13"/>
    </row>
    <row r="14" spans="1:20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s3d'!E47</f>
        <v>119.35</v>
      </c>
      <c r="I14" s="162">
        <f t="shared" si="1"/>
        <v>-119.35</v>
      </c>
      <c r="J14"/>
    </row>
    <row r="15" spans="1:20" x14ac:dyDescent="0.2">
      <c r="E15" s="155" t="s">
        <v>404</v>
      </c>
      <c r="F15" s="153">
        <v>1.4E-2</v>
      </c>
      <c r="G15" s="162">
        <f t="shared" si="0"/>
        <v>0</v>
      </c>
      <c r="H15" s="151">
        <f>'s3, s3b, s3d'!E48</f>
        <v>39.799999999999997</v>
      </c>
      <c r="I15" s="162">
        <f t="shared" si="1"/>
        <v>-39.799999999999997</v>
      </c>
      <c r="J15"/>
    </row>
    <row r="16" spans="1:20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s3d'!E49</f>
        <v>250.18</v>
      </c>
      <c r="I16" s="162">
        <f t="shared" si="1"/>
        <v>-250.18</v>
      </c>
      <c r="J16"/>
    </row>
    <row r="17" spans="1:22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s3d'!E50</f>
        <v>187.63</v>
      </c>
      <c r="I17" s="162">
        <f t="shared" si="1"/>
        <v>-187.63</v>
      </c>
      <c r="J17"/>
    </row>
    <row r="18" spans="1:22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s3d'!E51</f>
        <v>11.37</v>
      </c>
      <c r="I18" s="162">
        <f t="shared" si="1"/>
        <v>-11.37</v>
      </c>
      <c r="J18"/>
    </row>
    <row r="19" spans="1:22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s3d'!E52</f>
        <v>784.65</v>
      </c>
      <c r="I19" s="162">
        <f t="shared" si="1"/>
        <v>-784.65</v>
      </c>
      <c r="J19"/>
    </row>
    <row r="20" spans="1:22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s3d'!E53</f>
        <v>119.4</v>
      </c>
      <c r="I20" s="162">
        <f t="shared" si="1"/>
        <v>-119.4</v>
      </c>
      <c r="J20"/>
    </row>
    <row r="21" spans="1:22" ht="13.5" thickBot="1" x14ac:dyDescent="0.25">
      <c r="E21" s="150" t="s">
        <v>244</v>
      </c>
      <c r="F21" s="163">
        <f>SUM(F4:F20)</f>
        <v>1</v>
      </c>
      <c r="G21" s="164">
        <f>SUM(G4:G20)</f>
        <v>0</v>
      </c>
      <c r="H21" s="165">
        <f>SUM(H4:H20)</f>
        <v>5685.82</v>
      </c>
      <c r="I21" s="164">
        <f>SUM(I4:I20)</f>
        <v>-5685.82</v>
      </c>
      <c r="J21" s="162">
        <f>G2-G21</f>
        <v>0</v>
      </c>
    </row>
    <row r="22" spans="1:22" ht="26.25" customHeight="1" thickTop="1" thickBot="1" x14ac:dyDescent="0.25">
      <c r="A22" s="408" t="s">
        <v>638</v>
      </c>
      <c r="B22" s="408"/>
      <c r="C22" s="408"/>
      <c r="J22"/>
    </row>
    <row r="23" spans="1:22" ht="37.5" customHeight="1" thickBot="1" x14ac:dyDescent="0.25">
      <c r="A23" s="406" t="s">
        <v>415</v>
      </c>
      <c r="B23" s="406"/>
      <c r="C23" s="151">
        <f>IF(C4&gt;C2,B3,0)</f>
        <v>1089279.32</v>
      </c>
      <c r="D23" s="151"/>
      <c r="E23" s="151"/>
      <c r="F23" s="151"/>
      <c r="J23"/>
      <c r="L23" s="403" t="s">
        <v>669</v>
      </c>
      <c r="M23" s="404"/>
      <c r="N23" s="404"/>
      <c r="O23" s="405"/>
      <c r="R23" s="150" t="s">
        <v>644</v>
      </c>
    </row>
    <row r="24" spans="1:22" ht="89.25" x14ac:dyDescent="0.2">
      <c r="A24" s="167" t="s">
        <v>405</v>
      </c>
      <c r="B24" s="167" t="s">
        <v>406</v>
      </c>
      <c r="C24" s="167" t="s">
        <v>407</v>
      </c>
      <c r="D24" s="167" t="s">
        <v>408</v>
      </c>
      <c r="E24" s="167" t="s">
        <v>409</v>
      </c>
      <c r="F24" s="167" t="s">
        <v>639</v>
      </c>
      <c r="G24" s="168" t="s">
        <v>640</v>
      </c>
      <c r="H24" s="167" t="s">
        <v>410</v>
      </c>
      <c r="I24" s="167" t="s">
        <v>411</v>
      </c>
      <c r="J24" s="167" t="s">
        <v>641</v>
      </c>
      <c r="K24" s="323" t="s">
        <v>642</v>
      </c>
      <c r="L24" s="322" t="s">
        <v>670</v>
      </c>
      <c r="M24" s="322" t="s">
        <v>671</v>
      </c>
      <c r="N24" s="322" t="s">
        <v>672</v>
      </c>
      <c r="O24" s="322" t="s">
        <v>673</v>
      </c>
      <c r="P24" s="167" t="s">
        <v>643</v>
      </c>
      <c r="Q24" s="168" t="s">
        <v>412</v>
      </c>
      <c r="R24" s="169">
        <f>IF(C4-C2&gt;0,C4-C2,0)</f>
        <v>42208.959999999999</v>
      </c>
      <c r="S24" s="167" t="s">
        <v>112</v>
      </c>
      <c r="T24" s="332" t="s">
        <v>674</v>
      </c>
      <c r="U24" s="333" t="s">
        <v>675</v>
      </c>
    </row>
    <row r="25" spans="1:22" x14ac:dyDescent="0.2">
      <c r="A25" s="155" t="s">
        <v>21</v>
      </c>
      <c r="B25" s="170">
        <v>54844</v>
      </c>
      <c r="C25" s="144">
        <f t="shared" ref="C25:C41" si="2">B25/$B$42</f>
        <v>2.4861000000000001E-2</v>
      </c>
      <c r="D25" s="170">
        <v>248</v>
      </c>
      <c r="E25" s="144">
        <f t="shared" ref="E25:E41" si="3">D25/$D$42</f>
        <v>1.2185E-2</v>
      </c>
      <c r="F25" s="144">
        <f t="shared" ref="F25:F41" si="4">(C25*2/3)+(E25/3)</f>
        <v>2.0636000000000002E-2</v>
      </c>
      <c r="G25" s="162">
        <f t="shared" ref="G25:G41" si="5">$C$23*F25</f>
        <v>22478.37</v>
      </c>
      <c r="H25" s="162">
        <f t="shared" ref="H25:H41" si="6">H4</f>
        <v>119.4</v>
      </c>
      <c r="I25" s="162">
        <f t="shared" ref="I25:I41" si="7">G25-H25</f>
        <v>22358.97</v>
      </c>
      <c r="J25" s="153">
        <f t="shared" ref="J25:J41" si="8">F4</f>
        <v>1.67E-2</v>
      </c>
      <c r="K25" s="162">
        <f t="shared" ref="K25:K41" si="9">$C$2*J25</f>
        <v>17391.12</v>
      </c>
      <c r="L25" s="340">
        <f>IF((I25&gt;K25), I25-K25, 0)</f>
        <v>4967.8500000000004</v>
      </c>
      <c r="M25" s="341">
        <f>L25/$L$42</f>
        <v>2.8294E-2</v>
      </c>
      <c r="N25" s="342">
        <f>IF((K25&gt;I25), K25-I25, 0)</f>
        <v>0</v>
      </c>
      <c r="O25" s="343">
        <f>$O$42*M25</f>
        <v>1194.26</v>
      </c>
      <c r="P25" s="144">
        <f t="shared" ref="P25:P41" si="10">IF(I25-K25&lt;=0,0,F25)</f>
        <v>2.0636000000000002E-2</v>
      </c>
      <c r="Q25" s="144">
        <f t="shared" ref="Q25:Q41" si="11">IF(P25=0,0,P25/$P$42)</f>
        <v>2.6522E-2</v>
      </c>
      <c r="R25" s="162">
        <f t="shared" ref="R25:R41" si="12">Q25*$R$24</f>
        <v>1119.47</v>
      </c>
      <c r="S25" s="162">
        <f>K25+R25</f>
        <v>18510.59</v>
      </c>
      <c r="T25" s="334">
        <f>K25+O25</f>
        <v>18585.38</v>
      </c>
      <c r="U25" s="338">
        <f>+S25-T25</f>
        <v>-74.790000000000006</v>
      </c>
      <c r="V25" s="162">
        <f t="shared" ref="V25:V42" si="13">K25+R25</f>
        <v>18510.59</v>
      </c>
    </row>
    <row r="26" spans="1:22" x14ac:dyDescent="0.2">
      <c r="A26" s="155" t="s">
        <v>22</v>
      </c>
      <c r="B26" s="170">
        <v>25116</v>
      </c>
      <c r="C26" s="144">
        <f t="shared" si="2"/>
        <v>1.1384999999999999E-2</v>
      </c>
      <c r="D26" s="170">
        <v>595</v>
      </c>
      <c r="E26" s="144">
        <f t="shared" si="3"/>
        <v>2.9234E-2</v>
      </c>
      <c r="F26" s="144">
        <f t="shared" si="4"/>
        <v>1.7335E-2</v>
      </c>
      <c r="G26" s="162">
        <f t="shared" si="5"/>
        <v>18882.66</v>
      </c>
      <c r="H26" s="162">
        <f t="shared" si="6"/>
        <v>96.66</v>
      </c>
      <c r="I26" s="162">
        <f t="shared" si="7"/>
        <v>18786</v>
      </c>
      <c r="J26" s="153">
        <f t="shared" si="8"/>
        <v>2.7699999999999999E-2</v>
      </c>
      <c r="K26" s="162">
        <f t="shared" si="9"/>
        <v>28846.35</v>
      </c>
      <c r="L26" s="346">
        <f>IF((I26&gt;K26), I26-K26, 0)</f>
        <v>0</v>
      </c>
      <c r="M26" s="341"/>
      <c r="N26" s="347">
        <f>IF((K26&gt;I26), K26-I26, 0)</f>
        <v>10060.35</v>
      </c>
      <c r="O26" s="348"/>
      <c r="P26" s="144">
        <f t="shared" si="10"/>
        <v>0</v>
      </c>
      <c r="Q26" s="144">
        <f t="shared" si="11"/>
        <v>0</v>
      </c>
      <c r="R26" s="162">
        <f t="shared" si="12"/>
        <v>0</v>
      </c>
      <c r="S26" s="162">
        <f>K26+R26</f>
        <v>28846.35</v>
      </c>
      <c r="T26" s="334">
        <f t="shared" ref="T26:T41" si="14">K26+O26</f>
        <v>28846.35</v>
      </c>
      <c r="U26" s="338">
        <f t="shared" ref="U26:U41" si="15">+S26-T26</f>
        <v>0</v>
      </c>
      <c r="V26" s="162">
        <f t="shared" si="13"/>
        <v>28846.35</v>
      </c>
    </row>
    <row r="27" spans="1:22" x14ac:dyDescent="0.2">
      <c r="A27" s="155" t="s">
        <v>23</v>
      </c>
      <c r="B27" s="170">
        <v>1549657</v>
      </c>
      <c r="C27" s="144">
        <f t="shared" si="2"/>
        <v>0.70246699999999995</v>
      </c>
      <c r="D27" s="170">
        <v>4863</v>
      </c>
      <c r="E27" s="144">
        <f t="shared" si="3"/>
        <v>0.23893300000000001</v>
      </c>
      <c r="F27" s="144">
        <f t="shared" si="4"/>
        <v>0.547956</v>
      </c>
      <c r="G27" s="162">
        <f t="shared" si="5"/>
        <v>596877.14</v>
      </c>
      <c r="H27" s="162">
        <f t="shared" si="6"/>
        <v>3121.56</v>
      </c>
      <c r="I27" s="162">
        <f t="shared" si="7"/>
        <v>593755.57999999996</v>
      </c>
      <c r="J27" s="153">
        <f t="shared" si="8"/>
        <v>0.43830000000000002</v>
      </c>
      <c r="K27" s="162">
        <f t="shared" si="9"/>
        <v>456438.84</v>
      </c>
      <c r="L27" s="346">
        <f t="shared" ref="L27:L41" si="16">IF((I27&gt;K27), I27-K27, 0)</f>
        <v>137316.74</v>
      </c>
      <c r="M27" s="341">
        <f>L27/$L$42</f>
        <v>0.78208</v>
      </c>
      <c r="N27" s="347">
        <f t="shared" ref="N27:N41" si="17">IF((K27&gt;I27), K27-I27, 0)</f>
        <v>0</v>
      </c>
      <c r="O27" s="348">
        <f>$O$42*M27</f>
        <v>33010.78</v>
      </c>
      <c r="P27" s="144">
        <f t="shared" si="10"/>
        <v>0.547956</v>
      </c>
      <c r="Q27" s="144">
        <f t="shared" si="11"/>
        <v>0.70425000000000004</v>
      </c>
      <c r="R27" s="162">
        <f t="shared" si="12"/>
        <v>29725.66</v>
      </c>
      <c r="S27" s="162">
        <f>K27+R27-X42</f>
        <v>486164.5</v>
      </c>
      <c r="T27" s="334">
        <f t="shared" si="14"/>
        <v>489449.62</v>
      </c>
      <c r="U27" s="338">
        <f t="shared" si="15"/>
        <v>-3285.12</v>
      </c>
      <c r="V27" s="162">
        <f t="shared" si="13"/>
        <v>486164.5</v>
      </c>
    </row>
    <row r="28" spans="1:22" x14ac:dyDescent="0.2">
      <c r="A28" s="155" t="s">
        <v>24</v>
      </c>
      <c r="B28" s="170">
        <v>44212</v>
      </c>
      <c r="C28" s="144">
        <f t="shared" si="2"/>
        <v>2.0042000000000001E-2</v>
      </c>
      <c r="D28" s="170">
        <v>210</v>
      </c>
      <c r="E28" s="144">
        <f t="shared" si="3"/>
        <v>1.0318000000000001E-2</v>
      </c>
      <c r="F28" s="144">
        <f t="shared" si="4"/>
        <v>1.6801E-2</v>
      </c>
      <c r="G28" s="162">
        <f t="shared" si="5"/>
        <v>18300.98</v>
      </c>
      <c r="H28" s="162">
        <f t="shared" si="6"/>
        <v>96.66</v>
      </c>
      <c r="I28" s="162">
        <f t="shared" si="7"/>
        <v>18204.32</v>
      </c>
      <c r="J28" s="153">
        <f t="shared" si="8"/>
        <v>1.55E-2</v>
      </c>
      <c r="K28" s="162">
        <f t="shared" si="9"/>
        <v>16141.46</v>
      </c>
      <c r="L28" s="346">
        <f t="shared" si="16"/>
        <v>2062.86</v>
      </c>
      <c r="M28" s="341">
        <f>L28/$L$42</f>
        <v>1.1749000000000001E-2</v>
      </c>
      <c r="N28" s="347">
        <f t="shared" si="17"/>
        <v>0</v>
      </c>
      <c r="O28" s="348">
        <f>$O$42*M28</f>
        <v>495.91</v>
      </c>
      <c r="P28" s="144">
        <f t="shared" si="10"/>
        <v>1.6801E-2</v>
      </c>
      <c r="Q28" s="144">
        <f t="shared" si="11"/>
        <v>2.1593000000000001E-2</v>
      </c>
      <c r="R28" s="162">
        <f t="shared" si="12"/>
        <v>911.42</v>
      </c>
      <c r="S28" s="162">
        <f t="shared" ref="S28:S41" si="18">K28+R28</f>
        <v>17052.88</v>
      </c>
      <c r="T28" s="334">
        <f t="shared" si="14"/>
        <v>16637.37</v>
      </c>
      <c r="U28" s="338">
        <f t="shared" si="15"/>
        <v>415.51</v>
      </c>
      <c r="V28" s="162">
        <f t="shared" si="13"/>
        <v>17052.88</v>
      </c>
    </row>
    <row r="29" spans="1:22" x14ac:dyDescent="0.2">
      <c r="A29" s="155" t="s">
        <v>25</v>
      </c>
      <c r="B29" s="170">
        <v>46577</v>
      </c>
      <c r="C29" s="144">
        <f t="shared" si="2"/>
        <v>2.1114000000000001E-2</v>
      </c>
      <c r="D29" s="170">
        <v>1174</v>
      </c>
      <c r="E29" s="144">
        <f t="shared" si="3"/>
        <v>5.7681999999999997E-2</v>
      </c>
      <c r="F29" s="144">
        <f t="shared" si="4"/>
        <v>3.3302999999999999E-2</v>
      </c>
      <c r="G29" s="162">
        <f t="shared" si="5"/>
        <v>36276.269999999997</v>
      </c>
      <c r="H29" s="162">
        <f t="shared" si="6"/>
        <v>187.63</v>
      </c>
      <c r="I29" s="162">
        <f t="shared" si="7"/>
        <v>36088.639999999999</v>
      </c>
      <c r="J29" s="153">
        <f t="shared" si="8"/>
        <v>6.5299999999999997E-2</v>
      </c>
      <c r="K29" s="162">
        <f t="shared" si="9"/>
        <v>68002.41</v>
      </c>
      <c r="L29" s="346">
        <f t="shared" si="16"/>
        <v>0</v>
      </c>
      <c r="M29" s="341"/>
      <c r="N29" s="347">
        <f t="shared" si="17"/>
        <v>31913.77</v>
      </c>
      <c r="O29" s="348"/>
      <c r="P29" s="144">
        <f t="shared" si="10"/>
        <v>0</v>
      </c>
      <c r="Q29" s="144">
        <f t="shared" si="11"/>
        <v>0</v>
      </c>
      <c r="R29" s="162">
        <f t="shared" si="12"/>
        <v>0</v>
      </c>
      <c r="S29" s="162">
        <f t="shared" si="18"/>
        <v>68002.41</v>
      </c>
      <c r="T29" s="334">
        <f t="shared" si="14"/>
        <v>68002.41</v>
      </c>
      <c r="U29" s="338">
        <f t="shared" si="15"/>
        <v>0</v>
      </c>
      <c r="V29" s="162">
        <f t="shared" si="13"/>
        <v>68002.41</v>
      </c>
    </row>
    <row r="30" spans="1:22" x14ac:dyDescent="0.2">
      <c r="A30" s="155" t="s">
        <v>26</v>
      </c>
      <c r="B30" s="170">
        <v>1125</v>
      </c>
      <c r="C30" s="144">
        <f t="shared" si="2"/>
        <v>5.1000000000000004E-4</v>
      </c>
      <c r="D30" s="170">
        <v>469</v>
      </c>
      <c r="E30" s="144">
        <f t="shared" si="3"/>
        <v>2.3043000000000001E-2</v>
      </c>
      <c r="F30" s="144">
        <f t="shared" si="4"/>
        <v>8.0210000000000004E-3</v>
      </c>
      <c r="G30" s="162">
        <f t="shared" si="5"/>
        <v>8737.11</v>
      </c>
      <c r="H30" s="162">
        <f t="shared" si="6"/>
        <v>45.49</v>
      </c>
      <c r="I30" s="162">
        <f t="shared" si="7"/>
        <v>8691.6200000000008</v>
      </c>
      <c r="J30" s="153">
        <f t="shared" si="8"/>
        <v>1.52E-2</v>
      </c>
      <c r="K30" s="162">
        <f t="shared" si="9"/>
        <v>15829.05</v>
      </c>
      <c r="L30" s="346">
        <f t="shared" si="16"/>
        <v>0</v>
      </c>
      <c r="M30" s="341"/>
      <c r="N30" s="347">
        <f t="shared" si="17"/>
        <v>7137.43</v>
      </c>
      <c r="O30" s="348"/>
      <c r="P30" s="144">
        <f t="shared" si="10"/>
        <v>0</v>
      </c>
      <c r="Q30" s="144">
        <f t="shared" si="11"/>
        <v>0</v>
      </c>
      <c r="R30" s="162">
        <f t="shared" si="12"/>
        <v>0</v>
      </c>
      <c r="S30" s="162">
        <f t="shared" si="18"/>
        <v>15829.05</v>
      </c>
      <c r="T30" s="334">
        <f t="shared" si="14"/>
        <v>15829.05</v>
      </c>
      <c r="U30" s="338">
        <f t="shared" si="15"/>
        <v>0</v>
      </c>
      <c r="V30" s="162">
        <f t="shared" si="13"/>
        <v>15829.05</v>
      </c>
    </row>
    <row r="31" spans="1:22" x14ac:dyDescent="0.2">
      <c r="A31" s="155" t="s">
        <v>27</v>
      </c>
      <c r="B31" s="170">
        <v>1384</v>
      </c>
      <c r="C31" s="144">
        <f t="shared" si="2"/>
        <v>6.2699999999999995E-4</v>
      </c>
      <c r="D31" s="170">
        <v>960</v>
      </c>
      <c r="E31" s="144">
        <f t="shared" si="3"/>
        <v>4.7167000000000001E-2</v>
      </c>
      <c r="F31" s="144">
        <f t="shared" si="4"/>
        <v>1.6140000000000002E-2</v>
      </c>
      <c r="G31" s="162">
        <f t="shared" si="5"/>
        <v>17580.97</v>
      </c>
      <c r="H31" s="162">
        <f t="shared" si="6"/>
        <v>90.97</v>
      </c>
      <c r="I31" s="162">
        <f t="shared" si="7"/>
        <v>17490</v>
      </c>
      <c r="J31" s="153">
        <f t="shared" si="8"/>
        <v>1.9400000000000001E-2</v>
      </c>
      <c r="K31" s="162">
        <f t="shared" si="9"/>
        <v>20202.86</v>
      </c>
      <c r="L31" s="346">
        <f t="shared" si="16"/>
        <v>0</v>
      </c>
      <c r="M31" s="341"/>
      <c r="N31" s="347">
        <f t="shared" si="17"/>
        <v>2712.86</v>
      </c>
      <c r="O31" s="348"/>
      <c r="P31" s="144">
        <f t="shared" si="10"/>
        <v>0</v>
      </c>
      <c r="Q31" s="144">
        <f t="shared" si="11"/>
        <v>0</v>
      </c>
      <c r="R31" s="162">
        <f t="shared" si="12"/>
        <v>0</v>
      </c>
      <c r="S31" s="162">
        <f t="shared" si="18"/>
        <v>20202.86</v>
      </c>
      <c r="T31" s="334">
        <f t="shared" si="14"/>
        <v>20202.86</v>
      </c>
      <c r="U31" s="338">
        <f t="shared" si="15"/>
        <v>0</v>
      </c>
      <c r="V31" s="162">
        <f t="shared" si="13"/>
        <v>20202.86</v>
      </c>
    </row>
    <row r="32" spans="1:22" x14ac:dyDescent="0.2">
      <c r="A32" s="155" t="s">
        <v>28</v>
      </c>
      <c r="B32" s="170">
        <v>16308</v>
      </c>
      <c r="C32" s="144">
        <f t="shared" si="2"/>
        <v>7.3920000000000001E-3</v>
      </c>
      <c r="D32" s="170">
        <v>996</v>
      </c>
      <c r="E32" s="144">
        <f t="shared" si="3"/>
        <v>4.8936E-2</v>
      </c>
      <c r="F32" s="144">
        <f t="shared" si="4"/>
        <v>2.1239999999999998E-2</v>
      </c>
      <c r="G32" s="162">
        <f t="shared" si="5"/>
        <v>23136.29</v>
      </c>
      <c r="H32" s="162">
        <f t="shared" si="6"/>
        <v>119.4</v>
      </c>
      <c r="I32" s="162">
        <f t="shared" si="7"/>
        <v>23016.89</v>
      </c>
      <c r="J32" s="153">
        <f t="shared" si="8"/>
        <v>3.9199999999999999E-2</v>
      </c>
      <c r="K32" s="162">
        <f t="shared" si="9"/>
        <v>40822.269999999997</v>
      </c>
      <c r="L32" s="346">
        <f t="shared" si="16"/>
        <v>0</v>
      </c>
      <c r="M32" s="341"/>
      <c r="N32" s="347">
        <f t="shared" si="17"/>
        <v>17805.38</v>
      </c>
      <c r="O32" s="348"/>
      <c r="P32" s="144">
        <f t="shared" si="10"/>
        <v>0</v>
      </c>
      <c r="Q32" s="144">
        <f t="shared" si="11"/>
        <v>0</v>
      </c>
      <c r="R32" s="162">
        <f t="shared" si="12"/>
        <v>0</v>
      </c>
      <c r="S32" s="162">
        <f t="shared" si="18"/>
        <v>40822.269999999997</v>
      </c>
      <c r="T32" s="334">
        <f t="shared" si="14"/>
        <v>40822.269999999997</v>
      </c>
      <c r="U32" s="338">
        <f t="shared" si="15"/>
        <v>0</v>
      </c>
      <c r="V32" s="162">
        <f t="shared" si="13"/>
        <v>40822.269999999997</v>
      </c>
    </row>
    <row r="33" spans="1:24" x14ac:dyDescent="0.2">
      <c r="A33" s="155" t="s">
        <v>29</v>
      </c>
      <c r="B33" s="170">
        <v>5547</v>
      </c>
      <c r="C33" s="144">
        <f t="shared" si="2"/>
        <v>2.5140000000000002E-3</v>
      </c>
      <c r="D33" s="170">
        <v>1149</v>
      </c>
      <c r="E33" s="144">
        <f t="shared" si="3"/>
        <v>5.6453999999999997E-2</v>
      </c>
      <c r="F33" s="144">
        <f t="shared" si="4"/>
        <v>2.0493999999999998E-2</v>
      </c>
      <c r="G33" s="162">
        <f t="shared" si="5"/>
        <v>22323.69</v>
      </c>
      <c r="H33" s="162">
        <f t="shared" si="6"/>
        <v>113.72</v>
      </c>
      <c r="I33" s="162">
        <f t="shared" si="7"/>
        <v>22209.97</v>
      </c>
      <c r="J33" s="153">
        <f t="shared" si="8"/>
        <v>2.4799999999999999E-2</v>
      </c>
      <c r="K33" s="162">
        <f t="shared" si="9"/>
        <v>25826.34</v>
      </c>
      <c r="L33" s="346">
        <f t="shared" si="16"/>
        <v>0</v>
      </c>
      <c r="M33" s="341"/>
      <c r="N33" s="347">
        <f t="shared" si="17"/>
        <v>3616.37</v>
      </c>
      <c r="O33" s="348"/>
      <c r="P33" s="144">
        <f t="shared" si="10"/>
        <v>0</v>
      </c>
      <c r="Q33" s="144">
        <f t="shared" si="11"/>
        <v>0</v>
      </c>
      <c r="R33" s="162">
        <f t="shared" si="12"/>
        <v>0</v>
      </c>
      <c r="S33" s="162">
        <f t="shared" si="18"/>
        <v>25826.34</v>
      </c>
      <c r="T33" s="334">
        <f t="shared" si="14"/>
        <v>25826.34</v>
      </c>
      <c r="U33" s="338">
        <f t="shared" si="15"/>
        <v>0</v>
      </c>
      <c r="V33" s="162">
        <f t="shared" si="13"/>
        <v>25826.34</v>
      </c>
    </row>
    <row r="34" spans="1:24" x14ac:dyDescent="0.2">
      <c r="A34" s="155" t="s">
        <v>30</v>
      </c>
      <c r="B34" s="170">
        <v>3879</v>
      </c>
      <c r="C34" s="144">
        <f t="shared" si="2"/>
        <v>1.758E-3</v>
      </c>
      <c r="D34" s="170">
        <v>1876</v>
      </c>
      <c r="E34" s="144">
        <f t="shared" si="3"/>
        <v>9.2173000000000005E-2</v>
      </c>
      <c r="F34" s="144">
        <f t="shared" si="4"/>
        <v>3.1896000000000001E-2</v>
      </c>
      <c r="G34" s="162">
        <f t="shared" si="5"/>
        <v>34743.65</v>
      </c>
      <c r="H34" s="162">
        <f t="shared" si="6"/>
        <v>181.95</v>
      </c>
      <c r="I34" s="162">
        <f t="shared" si="7"/>
        <v>34561.699999999997</v>
      </c>
      <c r="J34" s="153">
        <f t="shared" si="8"/>
        <v>4.3200000000000002E-2</v>
      </c>
      <c r="K34" s="162">
        <f t="shared" si="9"/>
        <v>44987.81</v>
      </c>
      <c r="L34" s="346">
        <f t="shared" si="16"/>
        <v>0</v>
      </c>
      <c r="M34" s="341"/>
      <c r="N34" s="347">
        <f t="shared" si="17"/>
        <v>10426.11</v>
      </c>
      <c r="O34" s="348"/>
      <c r="P34" s="144">
        <f t="shared" si="10"/>
        <v>0</v>
      </c>
      <c r="Q34" s="144">
        <f t="shared" si="11"/>
        <v>0</v>
      </c>
      <c r="R34" s="162">
        <f t="shared" si="12"/>
        <v>0</v>
      </c>
      <c r="S34" s="162">
        <f t="shared" si="18"/>
        <v>44987.81</v>
      </c>
      <c r="T34" s="334">
        <f t="shared" si="14"/>
        <v>44987.81</v>
      </c>
      <c r="U34" s="338">
        <f t="shared" si="15"/>
        <v>0</v>
      </c>
      <c r="V34" s="162">
        <f t="shared" si="13"/>
        <v>44987.81</v>
      </c>
    </row>
    <row r="35" spans="1:24" x14ac:dyDescent="0.2">
      <c r="A35" s="155" t="s">
        <v>31</v>
      </c>
      <c r="B35" s="170">
        <v>38777</v>
      </c>
      <c r="C35" s="144">
        <f t="shared" si="2"/>
        <v>1.7578E-2</v>
      </c>
      <c r="D35" s="170">
        <v>587</v>
      </c>
      <c r="E35" s="144">
        <f t="shared" si="3"/>
        <v>2.8840999999999999E-2</v>
      </c>
      <c r="F35" s="144">
        <f t="shared" si="4"/>
        <v>2.1332E-2</v>
      </c>
      <c r="G35" s="162">
        <f t="shared" si="5"/>
        <v>23236.51</v>
      </c>
      <c r="H35" s="162">
        <f t="shared" si="6"/>
        <v>119.35</v>
      </c>
      <c r="I35" s="162">
        <f t="shared" si="7"/>
        <v>23117.16</v>
      </c>
      <c r="J35" s="153">
        <f t="shared" si="8"/>
        <v>1.89E-2</v>
      </c>
      <c r="K35" s="162">
        <f t="shared" si="9"/>
        <v>19682.169999999998</v>
      </c>
      <c r="L35" s="346">
        <f t="shared" si="16"/>
        <v>3434.99</v>
      </c>
      <c r="M35" s="341">
        <f>L35/$L$42</f>
        <v>1.9564000000000002E-2</v>
      </c>
      <c r="N35" s="347">
        <f t="shared" si="17"/>
        <v>0</v>
      </c>
      <c r="O35" s="348">
        <f>$O$42*M35</f>
        <v>825.78</v>
      </c>
      <c r="P35" s="144">
        <f t="shared" si="10"/>
        <v>2.1332E-2</v>
      </c>
      <c r="Q35" s="144">
        <f t="shared" si="11"/>
        <v>2.7417E-2</v>
      </c>
      <c r="R35" s="162">
        <f t="shared" si="12"/>
        <v>1157.24</v>
      </c>
      <c r="S35" s="162">
        <f t="shared" si="18"/>
        <v>20839.41</v>
      </c>
      <c r="T35" s="334">
        <f t="shared" si="14"/>
        <v>20507.95</v>
      </c>
      <c r="U35" s="338">
        <f t="shared" si="15"/>
        <v>331.46</v>
      </c>
      <c r="V35" s="162">
        <f t="shared" si="13"/>
        <v>20839.41</v>
      </c>
    </row>
    <row r="36" spans="1:24" x14ac:dyDescent="0.2">
      <c r="A36" s="155" t="s">
        <v>404</v>
      </c>
      <c r="B36" s="170">
        <v>4695</v>
      </c>
      <c r="C36" s="144">
        <f t="shared" si="2"/>
        <v>2.1280000000000001E-3</v>
      </c>
      <c r="D36" s="170">
        <v>324</v>
      </c>
      <c r="E36" s="144">
        <f t="shared" si="3"/>
        <v>1.5918999999999999E-2</v>
      </c>
      <c r="F36" s="144">
        <f t="shared" si="4"/>
        <v>6.7250000000000001E-3</v>
      </c>
      <c r="G36" s="162">
        <f t="shared" si="5"/>
        <v>7325.4</v>
      </c>
      <c r="H36" s="162">
        <f t="shared" si="6"/>
        <v>39.799999999999997</v>
      </c>
      <c r="I36" s="162">
        <f t="shared" si="7"/>
        <v>7285.6</v>
      </c>
      <c r="J36" s="153">
        <f t="shared" si="8"/>
        <v>1.4E-2</v>
      </c>
      <c r="K36" s="162">
        <f t="shared" si="9"/>
        <v>14579.38</v>
      </c>
      <c r="L36" s="346">
        <f t="shared" si="16"/>
        <v>0</v>
      </c>
      <c r="M36" s="341"/>
      <c r="N36" s="347">
        <f t="shared" si="17"/>
        <v>7293.78</v>
      </c>
      <c r="O36" s="348"/>
      <c r="P36" s="144">
        <f t="shared" si="10"/>
        <v>0</v>
      </c>
      <c r="Q36" s="144">
        <f t="shared" si="11"/>
        <v>0</v>
      </c>
      <c r="R36" s="162">
        <f t="shared" si="12"/>
        <v>0</v>
      </c>
      <c r="S36" s="162">
        <f t="shared" si="18"/>
        <v>14579.38</v>
      </c>
      <c r="T36" s="334">
        <f t="shared" si="14"/>
        <v>14579.38</v>
      </c>
      <c r="U36" s="338">
        <f t="shared" si="15"/>
        <v>0</v>
      </c>
      <c r="V36" s="162">
        <f t="shared" si="13"/>
        <v>14579.38</v>
      </c>
    </row>
    <row r="37" spans="1:24" x14ac:dyDescent="0.2">
      <c r="A37" s="155" t="s">
        <v>33</v>
      </c>
      <c r="B37" s="170">
        <v>35039</v>
      </c>
      <c r="C37" s="144">
        <f t="shared" si="2"/>
        <v>1.5883000000000001E-2</v>
      </c>
      <c r="D37" s="170">
        <v>2027</v>
      </c>
      <c r="E37" s="144">
        <f t="shared" si="3"/>
        <v>9.9592E-2</v>
      </c>
      <c r="F37" s="144">
        <f t="shared" si="4"/>
        <v>4.3785999999999999E-2</v>
      </c>
      <c r="G37" s="162">
        <f t="shared" si="5"/>
        <v>47695.18</v>
      </c>
      <c r="H37" s="162">
        <f t="shared" si="6"/>
        <v>250.18</v>
      </c>
      <c r="I37" s="162">
        <f t="shared" si="7"/>
        <v>47445</v>
      </c>
      <c r="J37" s="153">
        <f t="shared" si="8"/>
        <v>6.7699999999999996E-2</v>
      </c>
      <c r="K37" s="162">
        <f t="shared" si="9"/>
        <v>70501.73</v>
      </c>
      <c r="L37" s="346">
        <f t="shared" si="16"/>
        <v>0</v>
      </c>
      <c r="M37" s="341"/>
      <c r="N37" s="347">
        <f t="shared" si="17"/>
        <v>23056.73</v>
      </c>
      <c r="O37" s="348"/>
      <c r="P37" s="144">
        <f t="shared" si="10"/>
        <v>0</v>
      </c>
      <c r="Q37" s="144">
        <f t="shared" si="11"/>
        <v>0</v>
      </c>
      <c r="R37" s="162">
        <f t="shared" si="12"/>
        <v>0</v>
      </c>
      <c r="S37" s="162">
        <f t="shared" si="18"/>
        <v>70501.73</v>
      </c>
      <c r="T37" s="334">
        <f t="shared" si="14"/>
        <v>70501.73</v>
      </c>
      <c r="U37" s="338">
        <f t="shared" si="15"/>
        <v>0</v>
      </c>
      <c r="V37" s="162">
        <f t="shared" si="13"/>
        <v>70501.73</v>
      </c>
    </row>
    <row r="38" spans="1:24" x14ac:dyDescent="0.2">
      <c r="A38" s="155" t="s">
        <v>34</v>
      </c>
      <c r="B38" s="170">
        <v>6937</v>
      </c>
      <c r="C38" s="144">
        <f t="shared" si="2"/>
        <v>3.1449999999999998E-3</v>
      </c>
      <c r="D38" s="170">
        <v>1887</v>
      </c>
      <c r="E38" s="144">
        <f t="shared" si="3"/>
        <v>9.2714000000000005E-2</v>
      </c>
      <c r="F38" s="144">
        <f t="shared" si="4"/>
        <v>3.3001000000000003E-2</v>
      </c>
      <c r="G38" s="162">
        <f t="shared" si="5"/>
        <v>35947.31</v>
      </c>
      <c r="H38" s="162">
        <f t="shared" si="6"/>
        <v>187.63</v>
      </c>
      <c r="I38" s="162">
        <f t="shared" si="7"/>
        <v>35759.68</v>
      </c>
      <c r="J38" s="153">
        <f t="shared" si="8"/>
        <v>2.8400000000000002E-2</v>
      </c>
      <c r="K38" s="162">
        <f t="shared" si="9"/>
        <v>29575.32</v>
      </c>
      <c r="L38" s="346">
        <f t="shared" si="16"/>
        <v>6184.36</v>
      </c>
      <c r="M38" s="341">
        <f>L38/$L$42</f>
        <v>3.5222999999999997E-2</v>
      </c>
      <c r="N38" s="347">
        <f t="shared" si="17"/>
        <v>0</v>
      </c>
      <c r="O38" s="348">
        <f>$O$42*M38</f>
        <v>1486.73</v>
      </c>
      <c r="P38" s="144">
        <f t="shared" si="10"/>
        <v>3.3001000000000003E-2</v>
      </c>
      <c r="Q38" s="144">
        <f t="shared" si="11"/>
        <v>4.2414E-2</v>
      </c>
      <c r="R38" s="162">
        <f t="shared" si="12"/>
        <v>1790.25</v>
      </c>
      <c r="S38" s="162">
        <f t="shared" si="18"/>
        <v>31365.57</v>
      </c>
      <c r="T38" s="334">
        <f t="shared" si="14"/>
        <v>31062.05</v>
      </c>
      <c r="U38" s="338">
        <f t="shared" si="15"/>
        <v>303.52</v>
      </c>
      <c r="V38" s="162">
        <f t="shared" si="13"/>
        <v>31365.57</v>
      </c>
    </row>
    <row r="39" spans="1:24" x14ac:dyDescent="0.2">
      <c r="A39" s="155" t="s">
        <v>35</v>
      </c>
      <c r="B39" s="170">
        <v>3639</v>
      </c>
      <c r="C39" s="144">
        <f t="shared" si="2"/>
        <v>1.65E-3</v>
      </c>
      <c r="D39" s="170">
        <v>49</v>
      </c>
      <c r="E39" s="144">
        <f t="shared" si="3"/>
        <v>2.408E-3</v>
      </c>
      <c r="F39" s="144">
        <f t="shared" si="4"/>
        <v>1.903E-3</v>
      </c>
      <c r="G39" s="162">
        <f t="shared" si="5"/>
        <v>2072.9</v>
      </c>
      <c r="H39" s="162">
        <f t="shared" si="6"/>
        <v>11.37</v>
      </c>
      <c r="I39" s="162">
        <f t="shared" si="7"/>
        <v>2061.5300000000002</v>
      </c>
      <c r="J39" s="153">
        <f t="shared" si="8"/>
        <v>2.2000000000000001E-3</v>
      </c>
      <c r="K39" s="162">
        <f t="shared" si="9"/>
        <v>2291.0500000000002</v>
      </c>
      <c r="L39" s="346">
        <f t="shared" si="16"/>
        <v>0</v>
      </c>
      <c r="M39" s="341"/>
      <c r="N39" s="347">
        <f t="shared" si="17"/>
        <v>229.52</v>
      </c>
      <c r="O39" s="348"/>
      <c r="P39" s="144">
        <f t="shared" si="10"/>
        <v>0</v>
      </c>
      <c r="Q39" s="144">
        <f t="shared" si="11"/>
        <v>0</v>
      </c>
      <c r="R39" s="162">
        <f t="shared" si="12"/>
        <v>0</v>
      </c>
      <c r="S39" s="162">
        <f t="shared" si="18"/>
        <v>2291.0500000000002</v>
      </c>
      <c r="T39" s="334">
        <f t="shared" si="14"/>
        <v>2291.0500000000002</v>
      </c>
      <c r="U39" s="338">
        <f t="shared" si="15"/>
        <v>0</v>
      </c>
      <c r="V39" s="162">
        <f t="shared" si="13"/>
        <v>2291.0500000000002</v>
      </c>
    </row>
    <row r="40" spans="1:24" x14ac:dyDescent="0.2">
      <c r="A40" s="155" t="s">
        <v>36</v>
      </c>
      <c r="B40" s="170">
        <v>359423</v>
      </c>
      <c r="C40" s="144">
        <f t="shared" si="2"/>
        <v>0.16292799999999999</v>
      </c>
      <c r="D40" s="170">
        <v>1815</v>
      </c>
      <c r="E40" s="144">
        <f t="shared" si="3"/>
        <v>8.9176000000000005E-2</v>
      </c>
      <c r="F40" s="144">
        <f t="shared" si="4"/>
        <v>0.13834399999999999</v>
      </c>
      <c r="G40" s="162">
        <f t="shared" si="5"/>
        <v>150695.26</v>
      </c>
      <c r="H40" s="162">
        <f t="shared" si="6"/>
        <v>784.65</v>
      </c>
      <c r="I40" s="162">
        <f t="shared" si="7"/>
        <v>149910.60999999999</v>
      </c>
      <c r="J40" s="153">
        <f t="shared" si="8"/>
        <v>0.1232</v>
      </c>
      <c r="K40" s="162">
        <f t="shared" si="9"/>
        <v>128298.58</v>
      </c>
      <c r="L40" s="346">
        <f t="shared" si="16"/>
        <v>21612.03</v>
      </c>
      <c r="M40" s="341">
        <f>L40/$L$42</f>
        <v>0.12309</v>
      </c>
      <c r="N40" s="347">
        <f t="shared" si="17"/>
        <v>0</v>
      </c>
      <c r="O40" s="348">
        <f>$O$42*M40</f>
        <v>5195.5</v>
      </c>
      <c r="P40" s="144">
        <f t="shared" si="10"/>
        <v>0.13834399999999999</v>
      </c>
      <c r="Q40" s="144">
        <f t="shared" si="11"/>
        <v>0.17780399999999999</v>
      </c>
      <c r="R40" s="162">
        <f t="shared" si="12"/>
        <v>7504.92</v>
      </c>
      <c r="S40" s="162">
        <f t="shared" si="18"/>
        <v>135803.5</v>
      </c>
      <c r="T40" s="334">
        <f t="shared" si="14"/>
        <v>133494.07999999999</v>
      </c>
      <c r="U40" s="338">
        <f t="shared" si="15"/>
        <v>2309.42</v>
      </c>
      <c r="V40" s="162">
        <f t="shared" si="13"/>
        <v>135803.5</v>
      </c>
    </row>
    <row r="41" spans="1:24" x14ac:dyDescent="0.2">
      <c r="A41" s="155" t="s">
        <v>37</v>
      </c>
      <c r="B41" s="170">
        <v>8863</v>
      </c>
      <c r="C41" s="144">
        <f t="shared" si="2"/>
        <v>4.0179999999999999E-3</v>
      </c>
      <c r="D41" s="170">
        <v>1124</v>
      </c>
      <c r="E41" s="144">
        <f t="shared" si="3"/>
        <v>5.5225000000000003E-2</v>
      </c>
      <c r="F41" s="144">
        <f t="shared" si="4"/>
        <v>2.1087000000000002E-2</v>
      </c>
      <c r="G41" s="151">
        <f t="shared" si="5"/>
        <v>22969.63</v>
      </c>
      <c r="H41" s="162">
        <f t="shared" si="6"/>
        <v>119.4</v>
      </c>
      <c r="I41" s="162">
        <f t="shared" si="7"/>
        <v>22850.23</v>
      </c>
      <c r="J41" s="171">
        <f t="shared" si="8"/>
        <v>4.0300000000000002E-2</v>
      </c>
      <c r="K41" s="151">
        <f t="shared" si="9"/>
        <v>41967.8</v>
      </c>
      <c r="L41" s="346">
        <f t="shared" si="16"/>
        <v>0</v>
      </c>
      <c r="M41" s="349"/>
      <c r="N41" s="347">
        <f t="shared" si="17"/>
        <v>19117.57</v>
      </c>
      <c r="O41" s="350"/>
      <c r="P41" s="144">
        <f t="shared" si="10"/>
        <v>0</v>
      </c>
      <c r="Q41" s="144">
        <f t="shared" si="11"/>
        <v>0</v>
      </c>
      <c r="R41" s="151">
        <f t="shared" si="12"/>
        <v>0</v>
      </c>
      <c r="S41" s="151">
        <f t="shared" si="18"/>
        <v>41967.8</v>
      </c>
      <c r="T41" s="334">
        <f t="shared" si="14"/>
        <v>41967.8</v>
      </c>
      <c r="U41" s="338">
        <f t="shared" si="15"/>
        <v>0</v>
      </c>
      <c r="V41" s="162">
        <f t="shared" si="13"/>
        <v>41967.8</v>
      </c>
      <c r="W41" s="154"/>
      <c r="X41" s="151"/>
    </row>
    <row r="42" spans="1:24" ht="13.5" thickBot="1" x14ac:dyDescent="0.25">
      <c r="A42" s="150" t="s">
        <v>403</v>
      </c>
      <c r="B42" s="173">
        <f t="shared" ref="B42:K42" si="19">SUM(B25:B41)</f>
        <v>2206022</v>
      </c>
      <c r="C42" s="174">
        <f t="shared" si="19"/>
        <v>1</v>
      </c>
      <c r="D42" s="173">
        <f t="shared" si="19"/>
        <v>20353</v>
      </c>
      <c r="E42" s="175">
        <f t="shared" si="19"/>
        <v>1</v>
      </c>
      <c r="F42" s="175">
        <f t="shared" si="19"/>
        <v>1</v>
      </c>
      <c r="G42" s="164">
        <f t="shared" si="19"/>
        <v>1089279.32</v>
      </c>
      <c r="H42" s="176">
        <f t="shared" si="19"/>
        <v>5685.82</v>
      </c>
      <c r="I42" s="177">
        <f t="shared" si="19"/>
        <v>1083593.5</v>
      </c>
      <c r="J42" s="178">
        <f t="shared" si="19"/>
        <v>1</v>
      </c>
      <c r="K42" s="164">
        <f t="shared" si="19"/>
        <v>1041384.54</v>
      </c>
      <c r="L42" s="351">
        <f>SUM(L25:L41)</f>
        <v>175578.83</v>
      </c>
      <c r="M42" s="352">
        <f>SUM(M25:M41)</f>
        <v>1</v>
      </c>
      <c r="N42" s="353">
        <f>SUM(N25:N41)</f>
        <v>133369.87</v>
      </c>
      <c r="O42" s="354">
        <f>L42-N42</f>
        <v>42208.959999999999</v>
      </c>
      <c r="P42" s="179">
        <f t="shared" ref="P42:U42" si="20">SUM(P25:P41)</f>
        <v>0.77807000000000004</v>
      </c>
      <c r="Q42" s="179">
        <f t="shared" si="20"/>
        <v>1</v>
      </c>
      <c r="R42" s="164">
        <f t="shared" si="20"/>
        <v>42208.959999999999</v>
      </c>
      <c r="S42" s="164">
        <f t="shared" si="20"/>
        <v>1083593.5</v>
      </c>
      <c r="T42" s="337">
        <f t="shared" si="20"/>
        <v>1083593.5</v>
      </c>
      <c r="U42" s="337">
        <f t="shared" si="20"/>
        <v>0</v>
      </c>
      <c r="V42" s="162">
        <f t="shared" si="13"/>
        <v>1083593.5</v>
      </c>
      <c r="W42" s="182">
        <f>C4</f>
        <v>1083593.5</v>
      </c>
      <c r="X42" s="183">
        <f>V42-W42</f>
        <v>0</v>
      </c>
    </row>
    <row r="43" spans="1:24" ht="13.5" thickTop="1" x14ac:dyDescent="0.2">
      <c r="E43" s="154"/>
      <c r="F43" s="180"/>
      <c r="G43" s="154"/>
      <c r="H43" s="152"/>
      <c r="I43" s="152"/>
      <c r="J43" s="181"/>
      <c r="K43" s="151"/>
      <c r="L43" s="151"/>
      <c r="M43" s="151"/>
      <c r="N43" s="151"/>
      <c r="O43" s="151"/>
      <c r="P43" s="154"/>
      <c r="R43" s="154"/>
      <c r="S43" s="151"/>
      <c r="T43" s="172"/>
    </row>
    <row r="44" spans="1:24" x14ac:dyDescent="0.2">
      <c r="J44"/>
    </row>
    <row r="45" spans="1:24" x14ac:dyDescent="0.2">
      <c r="J45"/>
    </row>
    <row r="46" spans="1:24" x14ac:dyDescent="0.2">
      <c r="J46"/>
    </row>
    <row r="47" spans="1:24" x14ac:dyDescent="0.2">
      <c r="J47"/>
    </row>
    <row r="48" spans="1:24" x14ac:dyDescent="0.2">
      <c r="J48"/>
    </row>
    <row r="49" spans="10:10" x14ac:dyDescent="0.2">
      <c r="J49"/>
    </row>
    <row r="50" spans="10:10" x14ac:dyDescent="0.2">
      <c r="J50"/>
    </row>
    <row r="51" spans="10:10" x14ac:dyDescent="0.2">
      <c r="J51"/>
    </row>
    <row r="52" spans="10:10" x14ac:dyDescent="0.2">
      <c r="J52"/>
    </row>
    <row r="53" spans="10:10" x14ac:dyDescent="0.2">
      <c r="J53"/>
    </row>
    <row r="54" spans="10:10" x14ac:dyDescent="0.2">
      <c r="J54"/>
    </row>
    <row r="55" spans="10:10" x14ac:dyDescent="0.2">
      <c r="J55"/>
    </row>
    <row r="56" spans="10:10" x14ac:dyDescent="0.2">
      <c r="J56"/>
    </row>
    <row r="57" spans="10:10" x14ac:dyDescent="0.2">
      <c r="J57"/>
    </row>
    <row r="58" spans="10:10" x14ac:dyDescent="0.2">
      <c r="J58"/>
    </row>
    <row r="59" spans="10:10" x14ac:dyDescent="0.2">
      <c r="J59"/>
    </row>
    <row r="60" spans="10:10" x14ac:dyDescent="0.2">
      <c r="J60"/>
    </row>
    <row r="61" spans="10:10" x14ac:dyDescent="0.2">
      <c r="J61"/>
    </row>
    <row r="62" spans="10:10" x14ac:dyDescent="0.2">
      <c r="J62"/>
    </row>
    <row r="63" spans="10:10" x14ac:dyDescent="0.2">
      <c r="J63"/>
    </row>
    <row r="64" spans="10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1"/>
  <sheetViews>
    <sheetView topLeftCell="A63" zoomScaleNormal="100" workbookViewId="0">
      <selection activeCell="A69" sqref="A69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5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2.85546875" customWidth="1"/>
    <col min="26" max="26" width="12.85546875" bestFit="1" customWidth="1"/>
  </cols>
  <sheetData>
    <row r="1" spans="1:22" ht="37.5" hidden="1" customHeight="1" x14ac:dyDescent="0.2">
      <c r="A1" s="194" t="s">
        <v>413</v>
      </c>
      <c r="B1" s="148"/>
      <c r="C1" s="148"/>
      <c r="D1" s="149"/>
      <c r="E1" s="214" t="s">
        <v>635</v>
      </c>
      <c r="F1" s="214"/>
      <c r="G1" s="142"/>
      <c r="H1" s="142"/>
      <c r="I1" s="142"/>
      <c r="L1" s="150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25.5" hidden="1" customHeight="1" x14ac:dyDescent="0.2">
      <c r="A2" s="155" t="s">
        <v>645</v>
      </c>
      <c r="C2" s="156">
        <v>1957802.76</v>
      </c>
      <c r="E2" s="213" t="s">
        <v>414</v>
      </c>
      <c r="F2" s="213"/>
      <c r="G2" s="159">
        <f>IF(C4&lt;0,0,IF(C4&lt;C2,B3,0))</f>
        <v>0</v>
      </c>
      <c r="L2"/>
    </row>
    <row r="3" spans="1:22" ht="25.5" hidden="1" x14ac:dyDescent="0.2">
      <c r="A3" s="155" t="s">
        <v>646</v>
      </c>
      <c r="B3" s="156">
        <f>'s3, s3b, s3d'!$I$9</f>
        <v>2047842.32</v>
      </c>
      <c r="E3" s="160" t="s">
        <v>400</v>
      </c>
      <c r="F3" s="161" t="s">
        <v>401</v>
      </c>
      <c r="G3" s="161" t="s">
        <v>637</v>
      </c>
      <c r="H3" s="161" t="s">
        <v>402</v>
      </c>
      <c r="I3" s="161" t="s">
        <v>403</v>
      </c>
      <c r="L3"/>
    </row>
    <row r="4" spans="1:22" ht="25.5" hidden="1" x14ac:dyDescent="0.2">
      <c r="A4" s="157" t="s">
        <v>399</v>
      </c>
      <c r="B4" s="151">
        <f>'s3, s3b, s3d'!E85</f>
        <v>10689.49</v>
      </c>
      <c r="C4" s="158">
        <f>B3-B4</f>
        <v>2037152.83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s3d'!E68</f>
        <v>224.48</v>
      </c>
      <c r="I4" s="162">
        <f t="shared" ref="I4:I20" si="1">G4-H4</f>
        <v>-224.48</v>
      </c>
      <c r="L4"/>
    </row>
    <row r="5" spans="1:22" hidden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s3d'!E69</f>
        <v>181.72</v>
      </c>
      <c r="I5" s="162">
        <f t="shared" si="1"/>
        <v>-181.72</v>
      </c>
      <c r="L5"/>
    </row>
    <row r="6" spans="1:22" hidden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s3d'!E70</f>
        <v>5868.53</v>
      </c>
      <c r="I6" s="162">
        <f>(G6-H6)+J21</f>
        <v>-5868.53</v>
      </c>
      <c r="L6"/>
    </row>
    <row r="7" spans="1:22" hidden="1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s3d'!E71</f>
        <v>181.72</v>
      </c>
      <c r="I7" s="162">
        <f t="shared" si="1"/>
        <v>-181.72</v>
      </c>
      <c r="L7"/>
    </row>
    <row r="8" spans="1:22" hidden="1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s3d'!E72</f>
        <v>352.75</v>
      </c>
      <c r="I8" s="162">
        <f t="shared" si="1"/>
        <v>-352.75</v>
      </c>
      <c r="L8"/>
    </row>
    <row r="9" spans="1:22" hidden="1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s3d'!E73</f>
        <v>85.52</v>
      </c>
      <c r="I9" s="162">
        <f t="shared" si="1"/>
        <v>-85.52</v>
      </c>
      <c r="L9"/>
    </row>
    <row r="10" spans="1:22" hidden="1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s3d'!E74</f>
        <v>171.03</v>
      </c>
      <c r="I10" s="162">
        <f t="shared" si="1"/>
        <v>-171.03</v>
      </c>
      <c r="L10"/>
    </row>
    <row r="11" spans="1:22" hidden="1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s3d'!E75</f>
        <v>224.48</v>
      </c>
      <c r="I11" s="162">
        <f t="shared" si="1"/>
        <v>-224.48</v>
      </c>
      <c r="L11"/>
    </row>
    <row r="12" spans="1:22" hidden="1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s3d'!E76</f>
        <v>213.79</v>
      </c>
      <c r="I12" s="162">
        <f t="shared" si="1"/>
        <v>-213.79</v>
      </c>
      <c r="L12"/>
    </row>
    <row r="13" spans="1:22" hidden="1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s3d'!E77</f>
        <v>342.06</v>
      </c>
      <c r="I13" s="162">
        <f t="shared" si="1"/>
        <v>-342.06</v>
      </c>
      <c r="L13"/>
    </row>
    <row r="14" spans="1:22" hidden="1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s3d'!E78</f>
        <v>224.48</v>
      </c>
      <c r="I14" s="162">
        <f t="shared" si="1"/>
        <v>-224.48</v>
      </c>
      <c r="L14"/>
    </row>
    <row r="15" spans="1:22" hidden="1" x14ac:dyDescent="0.2">
      <c r="E15" s="155" t="s">
        <v>404</v>
      </c>
      <c r="F15" s="153">
        <v>1.4E-2</v>
      </c>
      <c r="G15" s="162">
        <f t="shared" si="0"/>
        <v>0</v>
      </c>
      <c r="H15" s="151">
        <f>'s3, s3b, s3d'!E79</f>
        <v>74.83</v>
      </c>
      <c r="I15" s="162">
        <f t="shared" si="1"/>
        <v>-74.83</v>
      </c>
      <c r="L15"/>
    </row>
    <row r="16" spans="1:22" hidden="1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s3d'!E80</f>
        <v>470.34</v>
      </c>
      <c r="I16" s="162">
        <f t="shared" si="1"/>
        <v>-470.34</v>
      </c>
      <c r="L16"/>
    </row>
    <row r="17" spans="1:24" hidden="1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s3d'!E81</f>
        <v>352.75</v>
      </c>
      <c r="I17" s="162">
        <f t="shared" si="1"/>
        <v>-352.75</v>
      </c>
      <c r="L17"/>
    </row>
    <row r="18" spans="1:24" hidden="1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s3d'!E82</f>
        <v>21.38</v>
      </c>
      <c r="I18" s="162">
        <f t="shared" si="1"/>
        <v>-21.38</v>
      </c>
      <c r="L18"/>
    </row>
    <row r="19" spans="1:24" hidden="1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s3d'!E83</f>
        <v>1475.15</v>
      </c>
      <c r="I19" s="162">
        <f t="shared" si="1"/>
        <v>-1475.15</v>
      </c>
      <c r="L19"/>
    </row>
    <row r="20" spans="1:24" hidden="1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s3d'!E84</f>
        <v>224.48</v>
      </c>
      <c r="I20" s="162">
        <f t="shared" si="1"/>
        <v>-224.48</v>
      </c>
      <c r="L20"/>
    </row>
    <row r="21" spans="1:24" ht="13.5" hidden="1" thickBot="1" x14ac:dyDescent="0.25">
      <c r="E21" s="150" t="s">
        <v>244</v>
      </c>
      <c r="F21" s="163">
        <f>SUM(F4:F20)</f>
        <v>1</v>
      </c>
      <c r="G21" s="164">
        <f>SUM(G4:G20)</f>
        <v>0</v>
      </c>
      <c r="H21" s="165">
        <f>SUM(H4:H20)</f>
        <v>10689.49</v>
      </c>
      <c r="I21" s="164">
        <f>SUM(I4:I20)</f>
        <v>-10689.49</v>
      </c>
      <c r="J21" s="162">
        <f>G2-G21</f>
        <v>0</v>
      </c>
      <c r="L21"/>
    </row>
    <row r="22" spans="1:24" ht="28.5" hidden="1" customHeight="1" thickTop="1" thickBot="1" x14ac:dyDescent="0.25">
      <c r="A22" s="408" t="s">
        <v>647</v>
      </c>
      <c r="B22" s="408"/>
      <c r="C22" s="408"/>
      <c r="D22" s="408"/>
      <c r="E22" s="408"/>
      <c r="G22" s="150"/>
      <c r="H22" s="166"/>
      <c r="I22" s="195"/>
      <c r="J22" s="196"/>
      <c r="K22" s="195"/>
      <c r="L22"/>
    </row>
    <row r="23" spans="1:24" ht="40.5" hidden="1" customHeight="1" thickBot="1" x14ac:dyDescent="0.25">
      <c r="A23" s="406" t="s">
        <v>415</v>
      </c>
      <c r="B23" s="406"/>
      <c r="C23" s="151">
        <f>IF(C4&gt;C2,B3,0)</f>
        <v>2047842.32</v>
      </c>
      <c r="D23" s="151"/>
      <c r="E23" s="151"/>
      <c r="F23" s="151"/>
      <c r="L23"/>
      <c r="N23" s="403" t="s">
        <v>669</v>
      </c>
      <c r="O23" s="404"/>
      <c r="P23" s="404"/>
      <c r="Q23" s="405"/>
      <c r="R23" s="150" t="s">
        <v>644</v>
      </c>
    </row>
    <row r="24" spans="1:24" ht="89.25" hidden="1" x14ac:dyDescent="0.2">
      <c r="A24" s="167" t="s">
        <v>405</v>
      </c>
      <c r="B24" s="167" t="s">
        <v>406</v>
      </c>
      <c r="C24" s="167" t="s">
        <v>407</v>
      </c>
      <c r="D24" s="167" t="s">
        <v>648</v>
      </c>
      <c r="E24" s="167" t="s">
        <v>649</v>
      </c>
      <c r="F24" s="167" t="s">
        <v>408</v>
      </c>
      <c r="G24" s="167" t="s">
        <v>409</v>
      </c>
      <c r="H24" s="167" t="s">
        <v>639</v>
      </c>
      <c r="I24" s="168" t="s">
        <v>640</v>
      </c>
      <c r="J24" s="167" t="s">
        <v>410</v>
      </c>
      <c r="K24" s="167" t="s">
        <v>411</v>
      </c>
      <c r="L24" s="167" t="s">
        <v>641</v>
      </c>
      <c r="M24" s="323" t="s">
        <v>642</v>
      </c>
      <c r="N24" s="322" t="s">
        <v>670</v>
      </c>
      <c r="O24" s="322" t="s">
        <v>671</v>
      </c>
      <c r="P24" s="322" t="s">
        <v>672</v>
      </c>
      <c r="Q24" s="322" t="s">
        <v>673</v>
      </c>
      <c r="R24" s="167" t="s">
        <v>643</v>
      </c>
      <c r="S24" s="168" t="s">
        <v>416</v>
      </c>
      <c r="T24" s="169">
        <f>IF(C4-C2&gt;0,C4-C2,0)-0.01</f>
        <v>79350.06</v>
      </c>
      <c r="U24" s="167" t="s">
        <v>112</v>
      </c>
      <c r="V24" s="332" t="s">
        <v>674</v>
      </c>
      <c r="W24" s="333" t="s">
        <v>675</v>
      </c>
    </row>
    <row r="25" spans="1:24" hidden="1" x14ac:dyDescent="0.2">
      <c r="A25" s="155" t="s">
        <v>21</v>
      </c>
      <c r="B25" s="170">
        <v>54844</v>
      </c>
      <c r="C25" s="144">
        <f>B25/$B$60</f>
        <v>2.4861000000000001E-2</v>
      </c>
      <c r="D25" s="299">
        <v>54844</v>
      </c>
      <c r="E25" s="297">
        <f>D25/$B$25</f>
        <v>1</v>
      </c>
      <c r="F25" s="170">
        <v>248</v>
      </c>
      <c r="G25" s="144">
        <f>F25/$F$60</f>
        <v>1.2185E-2</v>
      </c>
      <c r="H25" s="144">
        <f>(C25*2/3)+(G25/3)</f>
        <v>2.0636000000000002E-2</v>
      </c>
      <c r="I25" s="162">
        <f>$C$23*H25</f>
        <v>42259.27</v>
      </c>
      <c r="J25" s="162">
        <f>H4</f>
        <v>224.48</v>
      </c>
      <c r="K25" s="162">
        <f>I25-J25</f>
        <v>42034.79</v>
      </c>
      <c r="L25" s="153">
        <f>F4</f>
        <v>1.67E-2</v>
      </c>
      <c r="M25" s="162">
        <f>$C$2*L25</f>
        <v>32695.31</v>
      </c>
      <c r="N25" s="324">
        <f>IF(K25&gt;M25, K25-M25,0)</f>
        <v>9339.48</v>
      </c>
      <c r="O25" s="325">
        <f>IF(N25&gt;0,ROUND((N25/$N$60),7),0)</f>
        <v>2.8294E-2</v>
      </c>
      <c r="P25" s="326">
        <f>IF(M25&gt;K25, M25-K25,0)</f>
        <v>0</v>
      </c>
      <c r="Q25" s="327">
        <f>O25*$Q$60</f>
        <v>2245.13</v>
      </c>
      <c r="R25" s="144">
        <f>IF(K25-M25&lt;=0,0,H25)</f>
        <v>2.0636000000000002E-2</v>
      </c>
      <c r="S25" s="144">
        <f>IF(R25=0,0,R25/$R$60)</f>
        <v>2.6522E-2</v>
      </c>
      <c r="T25" s="162">
        <f>S25*$T$24</f>
        <v>2104.52</v>
      </c>
      <c r="U25" s="162">
        <f>M25+T25</f>
        <v>34799.83</v>
      </c>
      <c r="V25" s="334">
        <f>M25+Q25</f>
        <v>34940.44</v>
      </c>
      <c r="W25" s="338">
        <f>+U25-V25</f>
        <v>-140.61000000000001</v>
      </c>
      <c r="X25" s="162">
        <f>M25+T25</f>
        <v>34799.83</v>
      </c>
    </row>
    <row r="26" spans="1:24" hidden="1" x14ac:dyDescent="0.2">
      <c r="A26" s="155" t="s">
        <v>22</v>
      </c>
      <c r="B26" s="170">
        <v>25116</v>
      </c>
      <c r="C26" s="144">
        <f>B26/$B$60</f>
        <v>1.1384999999999999E-2</v>
      </c>
      <c r="D26" s="299">
        <v>16938</v>
      </c>
      <c r="E26" s="297">
        <f>+D26/$B$26</f>
        <v>0.67439099999999996</v>
      </c>
      <c r="F26" s="170">
        <v>595</v>
      </c>
      <c r="G26" s="144">
        <f>F26/$F$60</f>
        <v>2.9234E-2</v>
      </c>
      <c r="H26" s="144">
        <f>(C26*2/3)+(G26/3)</f>
        <v>1.7335E-2</v>
      </c>
      <c r="I26" s="162">
        <f>$C$23*H26</f>
        <v>35499.35</v>
      </c>
      <c r="J26" s="162">
        <f>H5</f>
        <v>181.72</v>
      </c>
      <c r="K26" s="162">
        <f>I26-J26</f>
        <v>35317.629999999997</v>
      </c>
      <c r="L26" s="153">
        <f>F5</f>
        <v>2.7699999999999999E-2</v>
      </c>
      <c r="M26" s="162">
        <f>$C$2*L26</f>
        <v>54231.14</v>
      </c>
      <c r="N26" s="324">
        <f>IF(K26&gt;M26, K26-M26,0)</f>
        <v>0</v>
      </c>
      <c r="O26" s="325">
        <f>IF(N26&gt;0,ROUND((N26/$N$60),7),0)</f>
        <v>0</v>
      </c>
      <c r="P26" s="326">
        <f>IF(M26&gt;K26, M26-K26,0)</f>
        <v>18913.509999999998</v>
      </c>
      <c r="Q26" s="327">
        <f>O26*$Q$60</f>
        <v>0</v>
      </c>
      <c r="R26" s="144">
        <f>IF(K26-M26&lt;=0,0,H26)</f>
        <v>0</v>
      </c>
      <c r="S26" s="144">
        <f>IF(R26=0,0,R26/$R$60)</f>
        <v>0</v>
      </c>
      <c r="T26" s="162">
        <f>S26*$T$24</f>
        <v>0</v>
      </c>
      <c r="U26" s="162">
        <f>M26+T26</f>
        <v>54231.14</v>
      </c>
      <c r="V26" s="334">
        <f>M26+Q26</f>
        <v>54231.14</v>
      </c>
      <c r="W26" s="338">
        <f t="shared" ref="W26:W60" si="2">+U26-V26</f>
        <v>0</v>
      </c>
      <c r="X26" s="162">
        <f>M26+T26</f>
        <v>54231.14</v>
      </c>
    </row>
    <row r="27" spans="1:24" hidden="1" x14ac:dyDescent="0.2">
      <c r="A27" s="301" t="s">
        <v>375</v>
      </c>
      <c r="B27" s="170"/>
      <c r="C27" s="144"/>
      <c r="D27" s="299">
        <v>8178</v>
      </c>
      <c r="E27" s="297">
        <f>+D27/$B$26</f>
        <v>0.32560899999999998</v>
      </c>
      <c r="F27" s="170"/>
      <c r="G27" s="144"/>
      <c r="H27" s="144"/>
      <c r="I27" s="162"/>
      <c r="J27" s="162"/>
      <c r="K27" s="162"/>
      <c r="L27" s="153"/>
      <c r="M27" s="162"/>
      <c r="N27" s="324" t="s">
        <v>82</v>
      </c>
      <c r="O27" s="325" t="s">
        <v>82</v>
      </c>
      <c r="P27" s="326"/>
      <c r="Q27" s="327"/>
      <c r="R27" s="144"/>
      <c r="S27" s="144"/>
      <c r="T27" s="162"/>
      <c r="U27" s="162"/>
      <c r="V27" s="334"/>
      <c r="W27" s="338">
        <f t="shared" si="2"/>
        <v>0</v>
      </c>
      <c r="X27" s="162"/>
    </row>
    <row r="28" spans="1:24" hidden="1" x14ac:dyDescent="0.2">
      <c r="A28" s="155" t="s">
        <v>23</v>
      </c>
      <c r="B28" s="170">
        <v>1549657</v>
      </c>
      <c r="C28" s="144">
        <f>B28/$B$60</f>
        <v>0.70246699999999995</v>
      </c>
      <c r="D28" s="299">
        <v>661506</v>
      </c>
      <c r="E28" s="297">
        <f t="shared" ref="E28:E33" si="3">+D28/$B$28</f>
        <v>0.426873</v>
      </c>
      <c r="F28" s="170">
        <v>4863</v>
      </c>
      <c r="G28" s="144">
        <f>F28/$F$60</f>
        <v>0.23893300000000001</v>
      </c>
      <c r="H28" s="144">
        <f>(C28*2/3)+(G28/3)</f>
        <v>0.547956</v>
      </c>
      <c r="I28" s="162">
        <f>$C$23*H28</f>
        <v>1122127.49</v>
      </c>
      <c r="J28" s="162">
        <f>H6</f>
        <v>5868.53</v>
      </c>
      <c r="K28" s="162">
        <f>I28-J28</f>
        <v>1116258.96</v>
      </c>
      <c r="L28" s="153">
        <f>F6</f>
        <v>0.43830000000000002</v>
      </c>
      <c r="M28" s="162">
        <f>$C$2*L28</f>
        <v>858104.95</v>
      </c>
      <c r="N28" s="324">
        <f>IF(K28&gt;M28, K28-M28,0)</f>
        <v>258154.01</v>
      </c>
      <c r="O28" s="325">
        <f>IF(N28&gt;0,ROUND((N28/$N$60),7),0)</f>
        <v>0.78208100000000003</v>
      </c>
      <c r="P28" s="326">
        <f>IF(M28&gt;K28, M28-K28,0)</f>
        <v>0</v>
      </c>
      <c r="Q28" s="327">
        <f>O28*$Q$60</f>
        <v>62058.17</v>
      </c>
      <c r="R28" s="144">
        <f>IF(K28-M28&lt;=0,0,H28)</f>
        <v>0.547956</v>
      </c>
      <c r="S28" s="144">
        <f>IF(R28=0,0,R28/$R$60)</f>
        <v>0.70425000000000004</v>
      </c>
      <c r="T28" s="162">
        <f>S28*$T$24</f>
        <v>55882.28</v>
      </c>
      <c r="U28" s="162">
        <f>M28+T28-Z60</f>
        <v>913987.23</v>
      </c>
      <c r="V28" s="334">
        <f>M28+Q28</f>
        <v>920163.12</v>
      </c>
      <c r="W28" s="338">
        <f t="shared" si="2"/>
        <v>-6175.89</v>
      </c>
      <c r="X28" s="162">
        <f>M28+T28</f>
        <v>913987.23</v>
      </c>
    </row>
    <row r="29" spans="1:24" hidden="1" x14ac:dyDescent="0.2">
      <c r="A29" s="301" t="s">
        <v>376</v>
      </c>
      <c r="B29" s="170"/>
      <c r="C29" s="144"/>
      <c r="D29" s="299">
        <v>14842</v>
      </c>
      <c r="E29" s="297">
        <f t="shared" si="3"/>
        <v>9.5779999999999997E-3</v>
      </c>
      <c r="F29" s="170"/>
      <c r="G29" s="144"/>
      <c r="H29" s="144"/>
      <c r="I29" s="162"/>
      <c r="J29" s="162"/>
      <c r="K29" s="162"/>
      <c r="L29" s="153"/>
      <c r="M29" s="162"/>
      <c r="N29" s="324"/>
      <c r="O29" s="325"/>
      <c r="P29" s="326"/>
      <c r="Q29" s="327"/>
      <c r="R29" s="144"/>
      <c r="S29" s="144"/>
      <c r="T29" s="162"/>
      <c r="U29" s="162"/>
      <c r="V29" s="334"/>
      <c r="W29" s="338">
        <f t="shared" si="2"/>
        <v>0</v>
      </c>
      <c r="X29" s="162"/>
    </row>
    <row r="30" spans="1:24" hidden="1" x14ac:dyDescent="0.2">
      <c r="A30" s="301" t="s">
        <v>377</v>
      </c>
      <c r="B30" s="170"/>
      <c r="C30" s="144"/>
      <c r="D30" s="299">
        <v>209486</v>
      </c>
      <c r="E30" s="297">
        <f t="shared" si="3"/>
        <v>0.135182</v>
      </c>
      <c r="F30" s="170"/>
      <c r="G30" s="144"/>
      <c r="H30" s="144"/>
      <c r="I30" s="162"/>
      <c r="J30" s="162"/>
      <c r="K30" s="162"/>
      <c r="L30" s="153"/>
      <c r="M30" s="162"/>
      <c r="N30" s="324"/>
      <c r="O30" s="325"/>
      <c r="P30" s="326"/>
      <c r="Q30" s="327"/>
      <c r="R30" s="144"/>
      <c r="S30" s="144"/>
      <c r="T30" s="162"/>
      <c r="U30" s="162"/>
      <c r="V30" s="334"/>
      <c r="W30" s="338">
        <f t="shared" si="2"/>
        <v>0</v>
      </c>
      <c r="X30" s="162"/>
    </row>
    <row r="31" spans="1:24" hidden="1" x14ac:dyDescent="0.2">
      <c r="A31" s="301" t="s">
        <v>378</v>
      </c>
      <c r="B31" s="170"/>
      <c r="C31" s="144"/>
      <c r="D31" s="299">
        <v>514640</v>
      </c>
      <c r="E31" s="297">
        <f t="shared" si="3"/>
        <v>0.33209899999999998</v>
      </c>
      <c r="F31" s="170"/>
      <c r="G31" s="144"/>
      <c r="H31" s="144"/>
      <c r="I31" s="162"/>
      <c r="J31" s="162"/>
      <c r="K31" s="162"/>
      <c r="L31" s="153"/>
      <c r="M31" s="162"/>
      <c r="N31" s="324"/>
      <c r="O31" s="325"/>
      <c r="P31" s="326"/>
      <c r="Q31" s="327"/>
      <c r="R31" s="144"/>
      <c r="S31" s="144"/>
      <c r="T31" s="162"/>
      <c r="U31" s="162"/>
      <c r="V31" s="334"/>
      <c r="W31" s="338">
        <f t="shared" si="2"/>
        <v>0</v>
      </c>
      <c r="X31" s="162"/>
    </row>
    <row r="32" spans="1:24" hidden="1" x14ac:dyDescent="0.2">
      <c r="A32" s="301" t="s">
        <v>379</v>
      </c>
      <c r="B32" s="170"/>
      <c r="C32" s="144"/>
      <c r="D32" s="299">
        <v>13216</v>
      </c>
      <c r="E32" s="297">
        <f t="shared" si="3"/>
        <v>8.5280000000000009E-3</v>
      </c>
      <c r="F32" s="170"/>
      <c r="G32" s="144"/>
      <c r="H32" s="144"/>
      <c r="I32" s="162"/>
      <c r="J32" s="162"/>
      <c r="K32" s="162"/>
      <c r="L32" s="153"/>
      <c r="M32" s="162"/>
      <c r="N32" s="324"/>
      <c r="O32" s="325"/>
      <c r="P32" s="326"/>
      <c r="Q32" s="327"/>
      <c r="R32" s="144"/>
      <c r="S32" s="144"/>
      <c r="T32" s="162"/>
      <c r="U32" s="162"/>
      <c r="V32" s="334"/>
      <c r="W32" s="338">
        <f t="shared" si="2"/>
        <v>0</v>
      </c>
      <c r="X32" s="162"/>
    </row>
    <row r="33" spans="1:24" hidden="1" x14ac:dyDescent="0.2">
      <c r="A33" s="301" t="s">
        <v>650</v>
      </c>
      <c r="B33" s="170"/>
      <c r="C33" s="144"/>
      <c r="D33" s="299">
        <v>135967</v>
      </c>
      <c r="E33" s="297">
        <f t="shared" si="3"/>
        <v>8.7739999999999999E-2</v>
      </c>
      <c r="F33" s="170"/>
      <c r="G33" s="144"/>
      <c r="H33" s="144"/>
      <c r="I33" s="162"/>
      <c r="J33" s="162"/>
      <c r="K33" s="162"/>
      <c r="L33" s="153"/>
      <c r="M33" s="162"/>
      <c r="N33" s="324"/>
      <c r="O33" s="325"/>
      <c r="P33" s="326"/>
      <c r="Q33" s="327"/>
      <c r="R33" s="144"/>
      <c r="S33" s="144"/>
      <c r="T33" s="162"/>
      <c r="U33" s="162"/>
      <c r="V33" s="334"/>
      <c r="W33" s="338">
        <f t="shared" si="2"/>
        <v>0</v>
      </c>
      <c r="X33" s="162"/>
    </row>
    <row r="34" spans="1:24" hidden="1" x14ac:dyDescent="0.2">
      <c r="A34" s="155" t="s">
        <v>24</v>
      </c>
      <c r="B34" s="170">
        <v>44212</v>
      </c>
      <c r="C34" s="144">
        <f>B34/$B$60</f>
        <v>2.0042000000000001E-2</v>
      </c>
      <c r="D34" s="299">
        <v>44212</v>
      </c>
      <c r="E34" s="297">
        <f>D34/$B$34</f>
        <v>1</v>
      </c>
      <c r="F34" s="170">
        <v>210</v>
      </c>
      <c r="G34" s="144">
        <f>F34/$F$60</f>
        <v>1.0318000000000001E-2</v>
      </c>
      <c r="H34" s="144">
        <f>(C34*2/3)+(G34/3)</f>
        <v>1.6801E-2</v>
      </c>
      <c r="I34" s="162">
        <f>$C$23*H34</f>
        <v>34405.800000000003</v>
      </c>
      <c r="J34" s="162">
        <f>H7</f>
        <v>181.72</v>
      </c>
      <c r="K34" s="162">
        <f>I34-J34</f>
        <v>34224.080000000002</v>
      </c>
      <c r="L34" s="153">
        <f>F7</f>
        <v>1.55E-2</v>
      </c>
      <c r="M34" s="162">
        <f>$C$2*L34</f>
        <v>30345.94</v>
      </c>
      <c r="N34" s="324">
        <f>IF(K34&gt;M34, K34-M34,0)</f>
        <v>3878.14</v>
      </c>
      <c r="O34" s="325">
        <f>IF(N34&gt;0,ROUND((N34/$N$60),7),0)</f>
        <v>1.1749000000000001E-2</v>
      </c>
      <c r="P34" s="326">
        <f>IF(M34&gt;K34, M34-K34,0)</f>
        <v>0</v>
      </c>
      <c r="Q34" s="327">
        <f>O34*$Q$60</f>
        <v>932.28</v>
      </c>
      <c r="R34" s="144">
        <f>IF(K34-M34&lt;=0,0,H34)</f>
        <v>1.6801E-2</v>
      </c>
      <c r="S34" s="144">
        <f>IF(R34=0,0,R34/$R$60)</f>
        <v>2.1593000000000001E-2</v>
      </c>
      <c r="T34" s="162">
        <f>S34*$T$24</f>
        <v>1713.41</v>
      </c>
      <c r="U34" s="162">
        <f>M34+T34</f>
        <v>32059.35</v>
      </c>
      <c r="V34" s="334">
        <f>M34+Q34</f>
        <v>31278.22</v>
      </c>
      <c r="W34" s="338">
        <f t="shared" si="2"/>
        <v>781.13</v>
      </c>
      <c r="X34" s="162">
        <f>M34+T34</f>
        <v>32059.35</v>
      </c>
    </row>
    <row r="35" spans="1:24" hidden="1" x14ac:dyDescent="0.2">
      <c r="A35" s="155" t="s">
        <v>25</v>
      </c>
      <c r="B35" s="170">
        <v>46577</v>
      </c>
      <c r="C35" s="144">
        <f>B35/$B$60</f>
        <v>2.1114000000000001E-2</v>
      </c>
      <c r="D35" s="299">
        <v>21763</v>
      </c>
      <c r="E35" s="297">
        <f>D35/$B$35</f>
        <v>0.467248</v>
      </c>
      <c r="F35" s="170">
        <v>1174</v>
      </c>
      <c r="G35" s="144">
        <f>F35/$F$60</f>
        <v>5.7681999999999997E-2</v>
      </c>
      <c r="H35" s="144">
        <f>(C35*2/3)+(G35/3)</f>
        <v>3.3302999999999999E-2</v>
      </c>
      <c r="I35" s="162">
        <f>$C$23*H35</f>
        <v>68199.289999999994</v>
      </c>
      <c r="J35" s="162">
        <f>H8</f>
        <v>352.75</v>
      </c>
      <c r="K35" s="162">
        <f>I35-J35</f>
        <v>67846.539999999994</v>
      </c>
      <c r="L35" s="153">
        <f>F8</f>
        <v>6.5299999999999997E-2</v>
      </c>
      <c r="M35" s="162">
        <f>$C$2*L35</f>
        <v>127844.52</v>
      </c>
      <c r="N35" s="324">
        <f>IF(K35&gt;M35, K35-M35,0)</f>
        <v>0</v>
      </c>
      <c r="O35" s="325">
        <f>IF(N35&gt;0,ROUND((N35/$N$60),7),0)</f>
        <v>0</v>
      </c>
      <c r="P35" s="326">
        <f>IF(M35&gt;K35, M35-K35,0)-0.01</f>
        <v>59997.97</v>
      </c>
      <c r="Q35" s="327">
        <f>O35*$Q$60</f>
        <v>0</v>
      </c>
      <c r="R35" s="144">
        <f>IF(K35-M35&lt;=0,0,H35)</f>
        <v>0</v>
      </c>
      <c r="S35" s="144">
        <f>IF(R35=0,0,R35/$R$60)</f>
        <v>0</v>
      </c>
      <c r="T35" s="162">
        <f>S35*$T$24</f>
        <v>0</v>
      </c>
      <c r="U35" s="162">
        <f>M35+T35</f>
        <v>127844.52</v>
      </c>
      <c r="V35" s="334">
        <f>M35+Q35</f>
        <v>127844.52</v>
      </c>
      <c r="W35" s="338">
        <f t="shared" si="2"/>
        <v>0</v>
      </c>
      <c r="X35" s="162">
        <f>M35+T35</f>
        <v>127844.52</v>
      </c>
    </row>
    <row r="36" spans="1:24" hidden="1" x14ac:dyDescent="0.2">
      <c r="A36" s="301" t="s">
        <v>381</v>
      </c>
      <c r="B36" s="170"/>
      <c r="C36" s="144"/>
      <c r="D36" s="299">
        <v>2074</v>
      </c>
      <c r="E36" s="297">
        <f>D36/$B$35</f>
        <v>4.4527999999999998E-2</v>
      </c>
      <c r="F36" s="170"/>
      <c r="G36" s="144"/>
      <c r="H36" s="144"/>
      <c r="I36" s="162"/>
      <c r="J36" s="162"/>
      <c r="K36" s="162"/>
      <c r="L36" s="153"/>
      <c r="M36" s="162"/>
      <c r="N36" s="324"/>
      <c r="O36" s="325"/>
      <c r="P36" s="326"/>
      <c r="Q36" s="327"/>
      <c r="R36" s="144"/>
      <c r="S36" s="144"/>
      <c r="T36" s="162"/>
      <c r="U36" s="162"/>
      <c r="V36" s="334"/>
      <c r="W36" s="338">
        <f t="shared" si="2"/>
        <v>0</v>
      </c>
      <c r="X36" s="162"/>
    </row>
    <row r="37" spans="1:24" hidden="1" x14ac:dyDescent="0.2">
      <c r="A37" s="301" t="s">
        <v>135</v>
      </c>
      <c r="B37" s="170"/>
      <c r="C37" s="144"/>
      <c r="D37" s="299">
        <v>16690</v>
      </c>
      <c r="E37" s="297">
        <f>D37/$B$35</f>
        <v>0.35833100000000001</v>
      </c>
      <c r="F37" s="170"/>
      <c r="G37" s="144"/>
      <c r="H37" s="144"/>
      <c r="I37" s="162"/>
      <c r="J37" s="162"/>
      <c r="K37" s="162"/>
      <c r="L37" s="153"/>
      <c r="M37" s="162"/>
      <c r="N37" s="324"/>
      <c r="O37" s="325"/>
      <c r="P37" s="326"/>
      <c r="Q37" s="327"/>
      <c r="R37" s="144"/>
      <c r="S37" s="144"/>
      <c r="T37" s="162"/>
      <c r="U37" s="162"/>
      <c r="V37" s="334"/>
      <c r="W37" s="338">
        <f t="shared" si="2"/>
        <v>0</v>
      </c>
      <c r="X37" s="162"/>
    </row>
    <row r="38" spans="1:24" hidden="1" x14ac:dyDescent="0.2">
      <c r="A38" s="301" t="s">
        <v>382</v>
      </c>
      <c r="B38" s="170"/>
      <c r="C38" s="144"/>
      <c r="D38" s="299">
        <v>1389</v>
      </c>
      <c r="E38" s="297">
        <f>D38/$B$35</f>
        <v>2.9822000000000001E-2</v>
      </c>
      <c r="F38" s="170"/>
      <c r="G38" s="144"/>
      <c r="H38" s="144"/>
      <c r="I38" s="162"/>
      <c r="J38" s="162"/>
      <c r="K38" s="162"/>
      <c r="L38" s="153"/>
      <c r="M38" s="162"/>
      <c r="N38" s="324"/>
      <c r="O38" s="325"/>
      <c r="P38" s="326"/>
      <c r="Q38" s="327"/>
      <c r="R38" s="144"/>
      <c r="S38" s="144"/>
      <c r="T38" s="162"/>
      <c r="U38" s="162"/>
      <c r="V38" s="334"/>
      <c r="W38" s="338">
        <f t="shared" si="2"/>
        <v>0</v>
      </c>
      <c r="X38" s="162"/>
    </row>
    <row r="39" spans="1:24" hidden="1" x14ac:dyDescent="0.2">
      <c r="A39" s="301" t="s">
        <v>651</v>
      </c>
      <c r="B39" s="170"/>
      <c r="C39" s="144"/>
      <c r="D39" s="299">
        <v>4661</v>
      </c>
      <c r="E39" s="297">
        <f>D39/$B$35</f>
        <v>0.10007099999999999</v>
      </c>
      <c r="F39" s="170"/>
      <c r="G39" s="144"/>
      <c r="H39" s="144"/>
      <c r="I39" s="162"/>
      <c r="J39" s="162"/>
      <c r="K39" s="162"/>
      <c r="L39" s="153"/>
      <c r="M39" s="162"/>
      <c r="N39" s="324"/>
      <c r="O39" s="325"/>
      <c r="P39" s="326"/>
      <c r="Q39" s="327"/>
      <c r="R39" s="144"/>
      <c r="S39" s="144"/>
      <c r="T39" s="162"/>
      <c r="U39" s="162"/>
      <c r="V39" s="334"/>
      <c r="W39" s="338">
        <f t="shared" si="2"/>
        <v>0</v>
      </c>
      <c r="X39" s="162"/>
    </row>
    <row r="40" spans="1:24" hidden="1" x14ac:dyDescent="0.2">
      <c r="A40" s="155" t="s">
        <v>26</v>
      </c>
      <c r="B40" s="170">
        <v>1125</v>
      </c>
      <c r="C40" s="144">
        <f>B40/$B$60</f>
        <v>5.1000000000000004E-4</v>
      </c>
      <c r="D40" s="299">
        <v>1125</v>
      </c>
      <c r="E40" s="297">
        <f>D40/$B$40</f>
        <v>1</v>
      </c>
      <c r="F40" s="170">
        <v>469</v>
      </c>
      <c r="G40" s="144">
        <f>F40/$F$60</f>
        <v>2.3043000000000001E-2</v>
      </c>
      <c r="H40" s="144">
        <f>(C40*2/3)+(G40/3)</f>
        <v>8.0210000000000004E-3</v>
      </c>
      <c r="I40" s="162">
        <f>$C$23*H40</f>
        <v>16425.740000000002</v>
      </c>
      <c r="J40" s="162">
        <f>H9</f>
        <v>85.52</v>
      </c>
      <c r="K40" s="162">
        <f>I40-J40</f>
        <v>16340.22</v>
      </c>
      <c r="L40" s="153">
        <f>F9</f>
        <v>1.52E-2</v>
      </c>
      <c r="M40" s="162">
        <f>$C$2*L40</f>
        <v>29758.6</v>
      </c>
      <c r="N40" s="324">
        <f>IF(K40&gt;M40, K40-M40,0)</f>
        <v>0</v>
      </c>
      <c r="O40" s="325">
        <f>IF(N40&gt;0,ROUND((N40/$N$60),7),0)</f>
        <v>0</v>
      </c>
      <c r="P40" s="326">
        <f>IF(M40&gt;K40, M40-K40,0)</f>
        <v>13418.38</v>
      </c>
      <c r="Q40" s="327">
        <f>O40*$Q$60</f>
        <v>0</v>
      </c>
      <c r="R40" s="144">
        <f>IF(K40-M40&lt;=0,0,H40)</f>
        <v>0</v>
      </c>
      <c r="S40" s="144">
        <f>IF(R40=0,0,R40/$R$60)</f>
        <v>0</v>
      </c>
      <c r="T40" s="162">
        <f>S40*$T$24</f>
        <v>0</v>
      </c>
      <c r="U40" s="162">
        <f>M40+T40</f>
        <v>29758.6</v>
      </c>
      <c r="V40" s="334">
        <f>M40+Q40</f>
        <v>29758.6</v>
      </c>
      <c r="W40" s="338">
        <f t="shared" si="2"/>
        <v>0</v>
      </c>
      <c r="X40" s="162">
        <f>M40+T40</f>
        <v>29758.6</v>
      </c>
    </row>
    <row r="41" spans="1:24" hidden="1" x14ac:dyDescent="0.2">
      <c r="A41" s="155" t="s">
        <v>27</v>
      </c>
      <c r="B41" s="170">
        <v>1384</v>
      </c>
      <c r="C41" s="144">
        <f>B41/$B$60</f>
        <v>6.2699999999999995E-4</v>
      </c>
      <c r="D41" s="299">
        <v>1384</v>
      </c>
      <c r="E41" s="297">
        <f>D41/$B$41</f>
        <v>1</v>
      </c>
      <c r="F41" s="170">
        <v>960</v>
      </c>
      <c r="G41" s="144">
        <f>F41/$F$60</f>
        <v>4.7167000000000001E-2</v>
      </c>
      <c r="H41" s="144">
        <f>(C41*2/3)+(G41/3)</f>
        <v>1.6140000000000002E-2</v>
      </c>
      <c r="I41" s="162">
        <f>$C$23*H41</f>
        <v>33052.18</v>
      </c>
      <c r="J41" s="162">
        <f>H10</f>
        <v>171.03</v>
      </c>
      <c r="K41" s="162">
        <f>I41-J41</f>
        <v>32881.15</v>
      </c>
      <c r="L41" s="153">
        <f>F10</f>
        <v>1.9400000000000001E-2</v>
      </c>
      <c r="M41" s="162">
        <f>$C$2*L41</f>
        <v>37981.370000000003</v>
      </c>
      <c r="N41" s="324">
        <f>IF(K41&gt;M41, K41-M41,0)</f>
        <v>0</v>
      </c>
      <c r="O41" s="325">
        <f>IF(N41&gt;0,ROUND((N41/$N$60),7),0)</f>
        <v>0</v>
      </c>
      <c r="P41" s="326">
        <f>IF(M41&gt;K41, M41-K41,0)</f>
        <v>5100.22</v>
      </c>
      <c r="Q41" s="327">
        <f>O41*$Q$60</f>
        <v>0</v>
      </c>
      <c r="R41" s="144">
        <f>IF(K41-M41&lt;=0,0,H41)</f>
        <v>0</v>
      </c>
      <c r="S41" s="144">
        <f>IF(R41=0,0,R41/$R$60)</f>
        <v>0</v>
      </c>
      <c r="T41" s="162">
        <f>S41*$T$24</f>
        <v>0</v>
      </c>
      <c r="U41" s="162">
        <f>M41+T41</f>
        <v>37981.370000000003</v>
      </c>
      <c r="V41" s="334">
        <f>M41+Q41</f>
        <v>37981.370000000003</v>
      </c>
      <c r="W41" s="338">
        <f t="shared" si="2"/>
        <v>0</v>
      </c>
      <c r="X41" s="162">
        <f>M41+T41</f>
        <v>37981.370000000003</v>
      </c>
    </row>
    <row r="42" spans="1:24" hidden="1" x14ac:dyDescent="0.2">
      <c r="A42" s="155" t="s">
        <v>28</v>
      </c>
      <c r="B42" s="170">
        <v>16308</v>
      </c>
      <c r="C42" s="144">
        <f>B42/$B$60</f>
        <v>7.3920000000000001E-3</v>
      </c>
      <c r="D42" s="299">
        <v>9074</v>
      </c>
      <c r="E42" s="297">
        <f>D42/$B$42</f>
        <v>0.55641399999999996</v>
      </c>
      <c r="F42" s="170">
        <v>996</v>
      </c>
      <c r="G42" s="144">
        <f>F42/$F$60</f>
        <v>4.8936E-2</v>
      </c>
      <c r="H42" s="144">
        <f>(C42*2/3)+(G42/3)</f>
        <v>2.1239999999999998E-2</v>
      </c>
      <c r="I42" s="162">
        <f>$C$23*H42</f>
        <v>43496.17</v>
      </c>
      <c r="J42" s="162">
        <f>H11</f>
        <v>224.48</v>
      </c>
      <c r="K42" s="162">
        <f>I42-J42</f>
        <v>43271.69</v>
      </c>
      <c r="L42" s="153">
        <f>F11</f>
        <v>3.9199999999999999E-2</v>
      </c>
      <c r="M42" s="162">
        <f>$C$2*L42</f>
        <v>76745.87</v>
      </c>
      <c r="N42" s="324">
        <f>IF(K42&gt;M42, K42-M42,0)</f>
        <v>0</v>
      </c>
      <c r="O42" s="325">
        <f>IF(N42&gt;0,ROUND((N42/$N$60),7),0)</f>
        <v>0</v>
      </c>
      <c r="P42" s="326">
        <f>IF(M42&gt;K42, M42-K42,0)</f>
        <v>33474.18</v>
      </c>
      <c r="Q42" s="327">
        <f>O42*$Q$60</f>
        <v>0</v>
      </c>
      <c r="R42" s="144">
        <f>IF(K42-M42&lt;=0,0,H42)</f>
        <v>0</v>
      </c>
      <c r="S42" s="144">
        <f>IF(R42=0,0,R42/$R$60)</f>
        <v>0</v>
      </c>
      <c r="T42" s="162">
        <f>S42*$T$24</f>
        <v>0</v>
      </c>
      <c r="U42" s="162">
        <f>M42+T42</f>
        <v>76745.87</v>
      </c>
      <c r="V42" s="334">
        <f>M42+Q42</f>
        <v>76745.87</v>
      </c>
      <c r="W42" s="338">
        <f t="shared" si="2"/>
        <v>0</v>
      </c>
      <c r="X42" s="162">
        <f>M42+T42</f>
        <v>76745.87</v>
      </c>
    </row>
    <row r="43" spans="1:24" hidden="1" x14ac:dyDescent="0.2">
      <c r="A43" s="301" t="s">
        <v>384</v>
      </c>
      <c r="B43" s="170"/>
      <c r="C43" s="144"/>
      <c r="D43" s="299">
        <v>7234</v>
      </c>
      <c r="E43" s="297">
        <f>D43/$B$42</f>
        <v>0.44358599999999998</v>
      </c>
      <c r="F43" s="170"/>
      <c r="G43" s="144"/>
      <c r="H43" s="144"/>
      <c r="I43" s="162"/>
      <c r="J43" s="162"/>
      <c r="K43" s="162"/>
      <c r="L43" s="153"/>
      <c r="M43" s="162"/>
      <c r="N43" s="324"/>
      <c r="O43" s="325"/>
      <c r="P43" s="326"/>
      <c r="Q43" s="327"/>
      <c r="R43" s="144"/>
      <c r="S43" s="144"/>
      <c r="T43" s="162"/>
      <c r="U43" s="162"/>
      <c r="V43" s="334"/>
      <c r="W43" s="338">
        <f t="shared" si="2"/>
        <v>0</v>
      </c>
      <c r="X43" s="162"/>
    </row>
    <row r="44" spans="1:24" hidden="1" x14ac:dyDescent="0.2">
      <c r="A44" s="155" t="s">
        <v>29</v>
      </c>
      <c r="B44" s="170">
        <v>5547</v>
      </c>
      <c r="C44" s="144">
        <f>B44/$B$60</f>
        <v>2.5140000000000002E-3</v>
      </c>
      <c r="D44" s="299">
        <v>5547</v>
      </c>
      <c r="E44" s="297">
        <f>D44/$B$44</f>
        <v>1</v>
      </c>
      <c r="F44" s="170">
        <v>1149</v>
      </c>
      <c r="G44" s="144">
        <f>F44/$F$60</f>
        <v>5.6453999999999997E-2</v>
      </c>
      <c r="H44" s="144">
        <f>(C44*2/3)+(G44/3)</f>
        <v>2.0493999999999998E-2</v>
      </c>
      <c r="I44" s="162">
        <f>$C$23*H44</f>
        <v>41968.480000000003</v>
      </c>
      <c r="J44" s="162">
        <f>H12</f>
        <v>213.79</v>
      </c>
      <c r="K44" s="162">
        <f>I44-J44</f>
        <v>41754.69</v>
      </c>
      <c r="L44" s="153">
        <f>F12</f>
        <v>2.4799999999999999E-2</v>
      </c>
      <c r="M44" s="162">
        <f>$C$2*L44</f>
        <v>48553.51</v>
      </c>
      <c r="N44" s="324">
        <f>IF(K44&gt;M44, K44-M44,0)</f>
        <v>0</v>
      </c>
      <c r="O44" s="325">
        <f>IF(N44&gt;0,ROUND((N44/$N$60),7),0)</f>
        <v>0</v>
      </c>
      <c r="P44" s="326">
        <f>IF(M44&gt;K44, M44-K44,0)</f>
        <v>6798.82</v>
      </c>
      <c r="Q44" s="327">
        <f>O44*$Q$60</f>
        <v>0</v>
      </c>
      <c r="R44" s="144">
        <f>IF(K44-M44&lt;=0,0,H44)</f>
        <v>0</v>
      </c>
      <c r="S44" s="144">
        <f>IF(R44=0,0,R44/$R$60)</f>
        <v>0</v>
      </c>
      <c r="T44" s="162">
        <f>S44*$T$24</f>
        <v>0</v>
      </c>
      <c r="U44" s="162">
        <f>M44+T44</f>
        <v>48553.51</v>
      </c>
      <c r="V44" s="334">
        <f>M44+Q44</f>
        <v>48553.51</v>
      </c>
      <c r="W44" s="338">
        <f t="shared" si="2"/>
        <v>0</v>
      </c>
      <c r="X44" s="162">
        <f>M44+T44</f>
        <v>48553.51</v>
      </c>
    </row>
    <row r="45" spans="1:24" hidden="1" x14ac:dyDescent="0.2">
      <c r="A45" s="155" t="s">
        <v>30</v>
      </c>
      <c r="B45" s="170">
        <v>3879</v>
      </c>
      <c r="C45" s="144">
        <f>B45/$B$60</f>
        <v>1.758E-3</v>
      </c>
      <c r="D45" s="299">
        <v>2821</v>
      </c>
      <c r="E45" s="297">
        <f>D45/$B$45</f>
        <v>0.72724900000000003</v>
      </c>
      <c r="F45" s="170">
        <v>1876</v>
      </c>
      <c r="G45" s="144">
        <f>F45/$F$60</f>
        <v>9.2173000000000005E-2</v>
      </c>
      <c r="H45" s="144">
        <f>(C45*2/3)+(G45/3)</f>
        <v>3.1896000000000001E-2</v>
      </c>
      <c r="I45" s="162">
        <f>$C$23*H45</f>
        <v>65317.98</v>
      </c>
      <c r="J45" s="162">
        <f>H13</f>
        <v>342.06</v>
      </c>
      <c r="K45" s="162">
        <f>I45-J45</f>
        <v>64975.92</v>
      </c>
      <c r="L45" s="153">
        <f>F13</f>
        <v>4.3200000000000002E-2</v>
      </c>
      <c r="M45" s="162">
        <f>$C$2*L45</f>
        <v>84577.08</v>
      </c>
      <c r="N45" s="324">
        <f>IF(K45&gt;M45, K45-M45,0)</f>
        <v>0</v>
      </c>
      <c r="O45" s="325">
        <f>IF(N45&gt;0,ROUND((N45/$N$60),7),0)</f>
        <v>0</v>
      </c>
      <c r="P45" s="326">
        <f>IF(M45&gt;K45, M45-K45,0)</f>
        <v>19601.16</v>
      </c>
      <c r="Q45" s="327">
        <f>O45*$Q$60</f>
        <v>0</v>
      </c>
      <c r="R45" s="144">
        <f>IF(K45-M45&lt;=0,0,H45)</f>
        <v>0</v>
      </c>
      <c r="S45" s="144">
        <f>IF(R45=0,0,R45/$R$60)</f>
        <v>0</v>
      </c>
      <c r="T45" s="162">
        <f>S45*$T$24</f>
        <v>0</v>
      </c>
      <c r="U45" s="162">
        <f>M45+T45</f>
        <v>84577.08</v>
      </c>
      <c r="V45" s="334">
        <f>M45+Q45</f>
        <v>84577.08</v>
      </c>
      <c r="W45" s="338">
        <f t="shared" si="2"/>
        <v>0</v>
      </c>
      <c r="X45" s="162">
        <f>M45+T45</f>
        <v>84577.08</v>
      </c>
    </row>
    <row r="46" spans="1:24" hidden="1" x14ac:dyDescent="0.2">
      <c r="A46" s="301" t="s">
        <v>386</v>
      </c>
      <c r="B46" s="170"/>
      <c r="C46" s="144"/>
      <c r="D46" s="299">
        <v>1058</v>
      </c>
      <c r="E46" s="297">
        <f>D46/$B$45</f>
        <v>0.27275100000000002</v>
      </c>
      <c r="F46" s="170"/>
      <c r="G46" s="144"/>
      <c r="H46" s="144"/>
      <c r="I46" s="162"/>
      <c r="J46" s="162"/>
      <c r="K46" s="162"/>
      <c r="L46" s="153"/>
      <c r="M46" s="162"/>
      <c r="N46" s="324"/>
      <c r="O46" s="325"/>
      <c r="P46" s="326"/>
      <c r="Q46" s="327"/>
      <c r="R46" s="144"/>
      <c r="S46" s="144"/>
      <c r="T46" s="162"/>
      <c r="U46" s="162"/>
      <c r="V46" s="334"/>
      <c r="W46" s="338">
        <f t="shared" si="2"/>
        <v>0</v>
      </c>
      <c r="X46" s="162"/>
    </row>
    <row r="47" spans="1:24" hidden="1" x14ac:dyDescent="0.2">
      <c r="A47" s="155" t="s">
        <v>31</v>
      </c>
      <c r="B47" s="170">
        <v>38777</v>
      </c>
      <c r="C47" s="144">
        <f>B47/$B$60</f>
        <v>1.7578E-2</v>
      </c>
      <c r="D47" s="299">
        <v>25478</v>
      </c>
      <c r="E47" s="297">
        <f>D47/$B$47</f>
        <v>0.65703900000000004</v>
      </c>
      <c r="F47" s="170">
        <v>587</v>
      </c>
      <c r="G47" s="144">
        <f>F47/$F$60</f>
        <v>2.8840999999999999E-2</v>
      </c>
      <c r="H47" s="144">
        <f>(C47*2/3)+(G47/3)</f>
        <v>2.1332E-2</v>
      </c>
      <c r="I47" s="162">
        <f>$C$23*H47</f>
        <v>43684.57</v>
      </c>
      <c r="J47" s="162">
        <f>H14</f>
        <v>224.48</v>
      </c>
      <c r="K47" s="162">
        <f>I47-J47</f>
        <v>43460.09</v>
      </c>
      <c r="L47" s="153">
        <f>F14</f>
        <v>1.89E-2</v>
      </c>
      <c r="M47" s="162">
        <f>$C$2*L47</f>
        <v>37002.47</v>
      </c>
      <c r="N47" s="324">
        <f>IF(K47&gt;M47, K47-M47,0)</f>
        <v>6457.62</v>
      </c>
      <c r="O47" s="325">
        <f>IF(N47&gt;0,ROUND((N47/$N$60),7),0)</f>
        <v>1.9563000000000001E-2</v>
      </c>
      <c r="P47" s="326">
        <f>IF(M47&gt;K47, M47-K47,0)</f>
        <v>0</v>
      </c>
      <c r="Q47" s="327">
        <f>O47*$Q$60</f>
        <v>1552.33</v>
      </c>
      <c r="R47" s="144">
        <f>IF(K47-M47&lt;=0,0,H47)</f>
        <v>2.1332E-2</v>
      </c>
      <c r="S47" s="144">
        <f>IF(R47=0,0,R47/$R$60)</f>
        <v>2.7417E-2</v>
      </c>
      <c r="T47" s="162">
        <f>S47*$T$24</f>
        <v>2175.54</v>
      </c>
      <c r="U47" s="162">
        <f>M47+T47</f>
        <v>39178.01</v>
      </c>
      <c r="V47" s="334">
        <f>M47+Q47</f>
        <v>38554.800000000003</v>
      </c>
      <c r="W47" s="338">
        <f t="shared" si="2"/>
        <v>623.21</v>
      </c>
      <c r="X47" s="162">
        <f>M47+T47</f>
        <v>39178.01</v>
      </c>
    </row>
    <row r="48" spans="1:24" hidden="1" x14ac:dyDescent="0.2">
      <c r="A48" s="301" t="s">
        <v>388</v>
      </c>
      <c r="B48" s="170"/>
      <c r="C48" s="144"/>
      <c r="D48" s="299">
        <v>10440</v>
      </c>
      <c r="E48" s="297">
        <f>D48/$B$47</f>
        <v>0.26923200000000003</v>
      </c>
      <c r="F48" s="170"/>
      <c r="G48" s="144"/>
      <c r="H48" s="144"/>
      <c r="I48" s="162"/>
      <c r="J48" s="162"/>
      <c r="K48" s="162"/>
      <c r="L48" s="153"/>
      <c r="M48" s="162"/>
      <c r="N48" s="324"/>
      <c r="O48" s="325"/>
      <c r="P48" s="326"/>
      <c r="Q48" s="327"/>
      <c r="R48" s="144"/>
      <c r="S48" s="144"/>
      <c r="T48" s="162"/>
      <c r="U48" s="162"/>
      <c r="V48" s="334"/>
      <c r="W48" s="338">
        <f t="shared" si="2"/>
        <v>0</v>
      </c>
      <c r="X48" s="162"/>
    </row>
    <row r="49" spans="1:26" hidden="1" x14ac:dyDescent="0.2">
      <c r="A49" s="301" t="s">
        <v>387</v>
      </c>
      <c r="B49" s="170"/>
      <c r="C49" s="144"/>
      <c r="D49" s="299">
        <v>2859</v>
      </c>
      <c r="E49" s="297">
        <f>D49/$B$47</f>
        <v>7.3729000000000003E-2</v>
      </c>
      <c r="F49" s="170"/>
      <c r="G49" s="144"/>
      <c r="H49" s="144"/>
      <c r="I49" s="162"/>
      <c r="J49" s="162"/>
      <c r="K49" s="162"/>
      <c r="L49" s="153"/>
      <c r="M49" s="162"/>
      <c r="N49" s="324"/>
      <c r="O49" s="325"/>
      <c r="P49" s="326"/>
      <c r="Q49" s="327"/>
      <c r="R49" s="144"/>
      <c r="S49" s="144"/>
      <c r="T49" s="162"/>
      <c r="U49" s="162"/>
      <c r="V49" s="334"/>
      <c r="W49" s="338">
        <f t="shared" si="2"/>
        <v>0</v>
      </c>
      <c r="X49" s="162"/>
    </row>
    <row r="50" spans="1:26" hidden="1" x14ac:dyDescent="0.2">
      <c r="A50" s="155" t="s">
        <v>404</v>
      </c>
      <c r="B50" s="170">
        <v>4695</v>
      </c>
      <c r="C50" s="144">
        <f>B50/$B$60</f>
        <v>2.1280000000000001E-3</v>
      </c>
      <c r="D50" s="299">
        <v>4695</v>
      </c>
      <c r="E50" s="297">
        <f>D50/$B$50</f>
        <v>1</v>
      </c>
      <c r="F50" s="170">
        <v>324</v>
      </c>
      <c r="G50" s="144">
        <f>F50/$F$60</f>
        <v>1.5918999999999999E-2</v>
      </c>
      <c r="H50" s="144">
        <f>(C50*2/3)+(G50/3)</f>
        <v>6.7250000000000001E-3</v>
      </c>
      <c r="I50" s="162">
        <f>$C$23*H50</f>
        <v>13771.74</v>
      </c>
      <c r="J50" s="162">
        <f>H15</f>
        <v>74.83</v>
      </c>
      <c r="K50" s="162">
        <f>I50-J50</f>
        <v>13696.91</v>
      </c>
      <c r="L50" s="153">
        <f>F15</f>
        <v>1.4E-2</v>
      </c>
      <c r="M50" s="162">
        <f>$C$2*L50</f>
        <v>27409.24</v>
      </c>
      <c r="N50" s="324">
        <f>IF(K50&gt;M50, K50-M50,0)</f>
        <v>0</v>
      </c>
      <c r="O50" s="325">
        <f>IF(N50&gt;0,ROUND((N50/$N$60),7),0)</f>
        <v>0</v>
      </c>
      <c r="P50" s="326">
        <f>IF(M50&gt;K50, M50-K50,0)</f>
        <v>13712.33</v>
      </c>
      <c r="Q50" s="327">
        <f>O50*$Q$60</f>
        <v>0</v>
      </c>
      <c r="R50" s="144">
        <f>IF(K50-M50&lt;=0,0,H50)</f>
        <v>0</v>
      </c>
      <c r="S50" s="144">
        <f>IF(R50=0,0,R50/$R$60)</f>
        <v>0</v>
      </c>
      <c r="T50" s="162">
        <f>S50*$T$24</f>
        <v>0</v>
      </c>
      <c r="U50" s="162">
        <f>M50+T50</f>
        <v>27409.24</v>
      </c>
      <c r="V50" s="334">
        <f>M50+Q50</f>
        <v>27409.24</v>
      </c>
      <c r="W50" s="338">
        <f t="shared" si="2"/>
        <v>0</v>
      </c>
      <c r="X50" s="162">
        <f>M50+T50</f>
        <v>27409.24</v>
      </c>
    </row>
    <row r="51" spans="1:26" hidden="1" x14ac:dyDescent="0.2">
      <c r="A51" s="155" t="s">
        <v>33</v>
      </c>
      <c r="B51" s="170">
        <v>35039</v>
      </c>
      <c r="C51" s="144">
        <f>B51/$B$60</f>
        <v>1.5883000000000001E-2</v>
      </c>
      <c r="D51" s="299">
        <v>35039</v>
      </c>
      <c r="E51" s="297">
        <f>D51/$B$51</f>
        <v>1</v>
      </c>
      <c r="F51" s="170">
        <v>2027</v>
      </c>
      <c r="G51" s="144">
        <f>F51/$F$60</f>
        <v>9.9592E-2</v>
      </c>
      <c r="H51" s="144">
        <f>(C51*2/3)+(G51/3)</f>
        <v>4.3785999999999999E-2</v>
      </c>
      <c r="I51" s="162">
        <f>$C$23*H51</f>
        <v>89666.82</v>
      </c>
      <c r="J51" s="162">
        <f>H16</f>
        <v>470.34</v>
      </c>
      <c r="K51" s="162">
        <f>I51-J51</f>
        <v>89196.479999999996</v>
      </c>
      <c r="L51" s="153">
        <f>F16</f>
        <v>6.7699999999999996E-2</v>
      </c>
      <c r="M51" s="162">
        <f>$C$2*L51</f>
        <v>132543.25</v>
      </c>
      <c r="N51" s="324">
        <f>IF(K51&gt;M51, K51-M51,0)</f>
        <v>0</v>
      </c>
      <c r="O51" s="325">
        <f>IF(N51&gt;0,ROUND((N51/$N$60),7),0)</f>
        <v>0</v>
      </c>
      <c r="P51" s="326">
        <f>IF(M51&gt;K51, M51-K51,0)</f>
        <v>43346.77</v>
      </c>
      <c r="Q51" s="327">
        <f>O51*$Q$60</f>
        <v>0</v>
      </c>
      <c r="R51" s="144">
        <f>IF(K51-M51&lt;=0,0,H51)</f>
        <v>0</v>
      </c>
      <c r="S51" s="144">
        <f>IF(R51=0,0,R51/$R$60)</f>
        <v>0</v>
      </c>
      <c r="T51" s="162">
        <f>S51*$T$24</f>
        <v>0</v>
      </c>
      <c r="U51" s="162">
        <f>M51+T51</f>
        <v>132543.25</v>
      </c>
      <c r="V51" s="334">
        <f>M51+Q51</f>
        <v>132543.25</v>
      </c>
      <c r="W51" s="338">
        <f t="shared" si="2"/>
        <v>0</v>
      </c>
      <c r="X51" s="162">
        <f>M51+T51</f>
        <v>132543.25</v>
      </c>
    </row>
    <row r="52" spans="1:26" hidden="1" x14ac:dyDescent="0.2">
      <c r="A52" s="155" t="s">
        <v>34</v>
      </c>
      <c r="B52" s="170">
        <v>6937</v>
      </c>
      <c r="C52" s="144">
        <f>B52/$B$60</f>
        <v>3.1449999999999998E-3</v>
      </c>
      <c r="D52" s="299">
        <v>4670</v>
      </c>
      <c r="E52" s="297">
        <f>D52/$B$52</f>
        <v>0.67320199999999997</v>
      </c>
      <c r="F52" s="170">
        <v>1887</v>
      </c>
      <c r="G52" s="144">
        <f>F52/$F$60</f>
        <v>9.2714000000000005E-2</v>
      </c>
      <c r="H52" s="144">
        <f>(C52*2/3)+(G52/3)</f>
        <v>3.3001000000000003E-2</v>
      </c>
      <c r="I52" s="162">
        <f>$C$23*H52</f>
        <v>67580.84</v>
      </c>
      <c r="J52" s="162">
        <f>H17</f>
        <v>352.75</v>
      </c>
      <c r="K52" s="162">
        <f>I52-J52</f>
        <v>67228.09</v>
      </c>
      <c r="L52" s="153">
        <f>F17</f>
        <v>2.8400000000000002E-2</v>
      </c>
      <c r="M52" s="162">
        <f>$C$2*L52</f>
        <v>55601.599999999999</v>
      </c>
      <c r="N52" s="324">
        <f>IF(K52&gt;M52, K52-M52,0)</f>
        <v>11626.49</v>
      </c>
      <c r="O52" s="325">
        <f>IF(N52&gt;0,ROUND((N52/$N$60),7),0)</f>
        <v>3.5222999999999997E-2</v>
      </c>
      <c r="P52" s="326">
        <f>IF(M52&gt;K52, M52-K52,0)</f>
        <v>0</v>
      </c>
      <c r="Q52" s="327">
        <f>O52*$Q$60</f>
        <v>2794.95</v>
      </c>
      <c r="R52" s="144">
        <f>IF(K52-M52&lt;=0,0,H52)</f>
        <v>3.3001000000000003E-2</v>
      </c>
      <c r="S52" s="144">
        <f>IF(R52=0,0,R52/$R$60)</f>
        <v>4.2414E-2</v>
      </c>
      <c r="T52" s="162">
        <f>S52*$T$24</f>
        <v>3365.55</v>
      </c>
      <c r="U52" s="162">
        <f>M52+T52</f>
        <v>58967.15</v>
      </c>
      <c r="V52" s="334">
        <f>M52+Q52</f>
        <v>58396.55</v>
      </c>
      <c r="W52" s="338">
        <f t="shared" si="2"/>
        <v>570.6</v>
      </c>
      <c r="X52" s="162">
        <f>M52+T52</f>
        <v>58967.15</v>
      </c>
    </row>
    <row r="53" spans="1:26" hidden="1" x14ac:dyDescent="0.2">
      <c r="A53" s="301" t="s">
        <v>392</v>
      </c>
      <c r="B53" s="170"/>
      <c r="C53" s="144"/>
      <c r="D53" s="299">
        <v>2267</v>
      </c>
      <c r="E53" s="297">
        <f>D53/$B$52</f>
        <v>0.32679799999999998</v>
      </c>
      <c r="F53" s="170"/>
      <c r="G53" s="144"/>
      <c r="H53" s="144"/>
      <c r="I53" s="162"/>
      <c r="J53" s="162"/>
      <c r="K53" s="162"/>
      <c r="L53" s="153"/>
      <c r="M53" s="162"/>
      <c r="N53" s="324"/>
      <c r="O53" s="325"/>
      <c r="P53" s="326"/>
      <c r="Q53" s="327"/>
      <c r="R53" s="144"/>
      <c r="S53" s="144"/>
      <c r="T53" s="162"/>
      <c r="U53" s="162"/>
      <c r="V53" s="334"/>
      <c r="W53" s="338">
        <f t="shared" si="2"/>
        <v>0</v>
      </c>
      <c r="X53" s="162"/>
    </row>
    <row r="54" spans="1:26" hidden="1" x14ac:dyDescent="0.2">
      <c r="A54" s="155" t="s">
        <v>35</v>
      </c>
      <c r="B54" s="170">
        <v>3639</v>
      </c>
      <c r="C54" s="144">
        <f>B54/$B$60</f>
        <v>1.65E-3</v>
      </c>
      <c r="D54" s="299">
        <v>3639</v>
      </c>
      <c r="E54" s="297">
        <f>D54/$B$54</f>
        <v>1</v>
      </c>
      <c r="F54" s="170">
        <v>49</v>
      </c>
      <c r="G54" s="144">
        <f>F54/$F$60</f>
        <v>2.408E-3</v>
      </c>
      <c r="H54" s="144">
        <f>(C54*2/3)+(G54/3)</f>
        <v>1.903E-3</v>
      </c>
      <c r="I54" s="162">
        <f>$C$23*H54</f>
        <v>3897.04</v>
      </c>
      <c r="J54" s="162">
        <f>H18</f>
        <v>21.38</v>
      </c>
      <c r="K54" s="162">
        <f>I54-J54</f>
        <v>3875.66</v>
      </c>
      <c r="L54" s="153">
        <f>F18</f>
        <v>2.2000000000000001E-3</v>
      </c>
      <c r="M54" s="162">
        <f>$C$2*L54</f>
        <v>4307.17</v>
      </c>
      <c r="N54" s="324">
        <f>IF(K54&gt;M54, K54-M54,0)</f>
        <v>0</v>
      </c>
      <c r="O54" s="325">
        <f>IF(N54&gt;0,ROUND((N54/$N$60),7),0)</f>
        <v>0</v>
      </c>
      <c r="P54" s="326">
        <f>IF(M54&gt;K54, M54-K54,0)</f>
        <v>431.51</v>
      </c>
      <c r="Q54" s="327">
        <f>O54*$Q$60</f>
        <v>0</v>
      </c>
      <c r="R54" s="144">
        <f>IF(K54-M54&lt;=0,0,H54)</f>
        <v>0</v>
      </c>
      <c r="S54" s="144">
        <f>IF(R54=0,0,R54/$R$60)</f>
        <v>0</v>
      </c>
      <c r="T54" s="162">
        <f>S54*$T$24</f>
        <v>0</v>
      </c>
      <c r="U54" s="162">
        <f>M54+T54</f>
        <v>4307.17</v>
      </c>
      <c r="V54" s="334">
        <f>M54+Q54</f>
        <v>4307.17</v>
      </c>
      <c r="W54" s="338">
        <f t="shared" si="2"/>
        <v>0</v>
      </c>
      <c r="X54" s="162">
        <f>M54+T54</f>
        <v>4307.17</v>
      </c>
    </row>
    <row r="55" spans="1:26" hidden="1" x14ac:dyDescent="0.2">
      <c r="A55" s="155" t="s">
        <v>36</v>
      </c>
      <c r="B55" s="170">
        <v>359423</v>
      </c>
      <c r="C55" s="144">
        <f>B55/$B$60</f>
        <v>0.16292799999999999</v>
      </c>
      <c r="D55" s="299">
        <v>96334</v>
      </c>
      <c r="E55" s="297">
        <f>D55/$B$55</f>
        <v>0.26802399999999998</v>
      </c>
      <c r="F55" s="170">
        <v>1815</v>
      </c>
      <c r="G55" s="144">
        <f>F55/$F$60</f>
        <v>8.9176000000000005E-2</v>
      </c>
      <c r="H55" s="144">
        <f>(C55*2/3)+(G55/3)</f>
        <v>0.13834399999999999</v>
      </c>
      <c r="I55" s="162">
        <f>$C$23*H55</f>
        <v>283306.7</v>
      </c>
      <c r="J55" s="162">
        <f>H19</f>
        <v>1475.15</v>
      </c>
      <c r="K55" s="162">
        <f>I55-J55</f>
        <v>281831.55</v>
      </c>
      <c r="L55" s="153">
        <f>F19</f>
        <v>0.1232</v>
      </c>
      <c r="M55" s="162">
        <f>$C$2*L55</f>
        <v>241201.3</v>
      </c>
      <c r="N55" s="324">
        <f>IF(K55&gt;M55, K55-M55,0)</f>
        <v>40630.25</v>
      </c>
      <c r="O55" s="325">
        <f>IF(N55&gt;0,ROUND((N55/$N$60),7),0)</f>
        <v>0.12309</v>
      </c>
      <c r="P55" s="326">
        <f>IF(M55&gt;K55, M55-K55,0)</f>
        <v>0</v>
      </c>
      <c r="Q55" s="327">
        <f>O55*$Q$60</f>
        <v>9767.2000000000007</v>
      </c>
      <c r="R55" s="144">
        <f>IF(K55-M55&lt;=0,0,H55)</f>
        <v>0.13834399999999999</v>
      </c>
      <c r="S55" s="144">
        <f>IF(R55=0,0,R55/$R$60)</f>
        <v>0.17780399999999999</v>
      </c>
      <c r="T55" s="162">
        <f>S55*$T$24</f>
        <v>14108.76</v>
      </c>
      <c r="U55" s="162">
        <f>M55+T55</f>
        <v>255310.06</v>
      </c>
      <c r="V55" s="334">
        <f>M55+Q55</f>
        <v>250968.5</v>
      </c>
      <c r="W55" s="338">
        <f t="shared" si="2"/>
        <v>4341.5600000000004</v>
      </c>
      <c r="X55" s="162">
        <f>M55+T55</f>
        <v>255310.06</v>
      </c>
    </row>
    <row r="56" spans="1:26" hidden="1" x14ac:dyDescent="0.2">
      <c r="A56" s="301" t="s">
        <v>393</v>
      </c>
      <c r="B56" s="170"/>
      <c r="C56" s="144"/>
      <c r="D56" s="299">
        <v>187834</v>
      </c>
      <c r="E56" s="297">
        <f>D56/$B$55</f>
        <v>0.52259900000000004</v>
      </c>
      <c r="F56" s="170"/>
      <c r="G56" s="144"/>
      <c r="H56" s="144"/>
      <c r="I56" s="162"/>
      <c r="J56" s="162"/>
      <c r="K56" s="162"/>
      <c r="L56" s="153"/>
      <c r="M56" s="162"/>
      <c r="N56" s="324"/>
      <c r="O56" s="325"/>
      <c r="P56" s="326"/>
      <c r="Q56" s="327"/>
      <c r="R56" s="144"/>
      <c r="S56" s="144"/>
      <c r="T56" s="162"/>
      <c r="U56" s="162"/>
      <c r="V56" s="334"/>
      <c r="W56" s="338">
        <f t="shared" si="2"/>
        <v>0</v>
      </c>
      <c r="X56" s="162"/>
    </row>
    <row r="57" spans="1:26" hidden="1" x14ac:dyDescent="0.2">
      <c r="A57" s="301" t="s">
        <v>394</v>
      </c>
      <c r="B57" s="170"/>
      <c r="C57" s="144"/>
      <c r="D57" s="299">
        <v>75255</v>
      </c>
      <c r="E57" s="297">
        <f>D57/$B$55</f>
        <v>0.20937700000000001</v>
      </c>
      <c r="F57" s="170"/>
      <c r="G57" s="144"/>
      <c r="H57" s="144"/>
      <c r="I57" s="162"/>
      <c r="J57" s="162"/>
      <c r="K57" s="162"/>
      <c r="L57" s="153"/>
      <c r="M57" s="162"/>
      <c r="N57" s="324"/>
      <c r="O57" s="325"/>
      <c r="P57" s="326"/>
      <c r="Q57" s="327"/>
      <c r="R57" s="144"/>
      <c r="S57" s="144"/>
      <c r="T57" s="162"/>
      <c r="U57" s="162"/>
      <c r="V57" s="334"/>
      <c r="W57" s="338">
        <f t="shared" si="2"/>
        <v>0</v>
      </c>
      <c r="X57" s="162"/>
    </row>
    <row r="58" spans="1:26" hidden="1" x14ac:dyDescent="0.2">
      <c r="A58" s="155" t="s">
        <v>37</v>
      </c>
      <c r="B58" s="170">
        <v>8863</v>
      </c>
      <c r="C58" s="144">
        <f>B58/$B$60</f>
        <v>4.0179999999999999E-3</v>
      </c>
      <c r="D58" s="299">
        <v>4977</v>
      </c>
      <c r="E58" s="297">
        <f>D58/$B$58</f>
        <v>0.56154800000000005</v>
      </c>
      <c r="F58" s="170">
        <v>1124</v>
      </c>
      <c r="G58" s="144">
        <f>F58/$F$60</f>
        <v>5.5225000000000003E-2</v>
      </c>
      <c r="H58" s="144">
        <f>(C58*2/3)+(G58/3)</f>
        <v>2.1087000000000002E-2</v>
      </c>
      <c r="I58" s="151">
        <f>$C$23*H58</f>
        <v>43182.85</v>
      </c>
      <c r="J58" s="162">
        <f>H20</f>
        <v>224.48</v>
      </c>
      <c r="K58" s="162">
        <f>I58-J58</f>
        <v>42958.37</v>
      </c>
      <c r="L58" s="171">
        <f>F20</f>
        <v>4.0300000000000002E-2</v>
      </c>
      <c r="M58" s="151">
        <f>$C$2*L58</f>
        <v>78899.45</v>
      </c>
      <c r="N58" s="324">
        <f>IF(K58&gt;M58, K58-M58,0)</f>
        <v>0</v>
      </c>
      <c r="O58" s="325">
        <f>IF(N58&gt;0,ROUND((N58/$N$60),7),0)</f>
        <v>0</v>
      </c>
      <c r="P58" s="326">
        <f>IF(M58&gt;K58, M58-K58,0)</f>
        <v>35941.08</v>
      </c>
      <c r="Q58" s="327">
        <f>O58*$Q$60</f>
        <v>0</v>
      </c>
      <c r="R58" s="144">
        <f>IF(K58-M58&lt;=0,0,H58)</f>
        <v>0</v>
      </c>
      <c r="S58" s="144">
        <f>IF(R58=0,0,R58/$R$60)</f>
        <v>0</v>
      </c>
      <c r="T58" s="151">
        <f>S58*$T$24</f>
        <v>0</v>
      </c>
      <c r="U58" s="151">
        <f>M58+T58</f>
        <v>78899.45</v>
      </c>
      <c r="V58" s="335">
        <f>M58+Q58</f>
        <v>78899.45</v>
      </c>
      <c r="W58" s="338">
        <f t="shared" si="2"/>
        <v>0</v>
      </c>
      <c r="X58" s="162">
        <f>M58+T58</f>
        <v>78899.45</v>
      </c>
      <c r="Y58" s="151"/>
      <c r="Z58" s="172"/>
    </row>
    <row r="59" spans="1:26" hidden="1" x14ac:dyDescent="0.2">
      <c r="A59" s="301" t="s">
        <v>395</v>
      </c>
      <c r="D59" s="299">
        <v>3886</v>
      </c>
      <c r="E59" s="297">
        <f>D59/$B$58</f>
        <v>0.43845200000000001</v>
      </c>
      <c r="N59" s="324"/>
      <c r="O59" s="325"/>
      <c r="P59" s="326"/>
      <c r="Q59" s="327"/>
      <c r="V59" s="336"/>
      <c r="W59" s="338">
        <f t="shared" si="2"/>
        <v>0</v>
      </c>
    </row>
    <row r="60" spans="1:26" ht="13.5" hidden="1" thickBot="1" x14ac:dyDescent="0.25">
      <c r="A60" s="150" t="s">
        <v>403</v>
      </c>
      <c r="B60" s="173">
        <f>SUM(B25:B58)</f>
        <v>2206022</v>
      </c>
      <c r="C60" s="174">
        <f>SUM(C25:C58)</f>
        <v>1</v>
      </c>
      <c r="D60" s="300">
        <f>SUM(D25:D59)</f>
        <v>2206022</v>
      </c>
      <c r="E60" s="298" t="s">
        <v>82</v>
      </c>
      <c r="F60" s="173">
        <f t="shared" ref="F60:P60" si="4">SUM(F25:F58)</f>
        <v>20353</v>
      </c>
      <c r="G60" s="175">
        <f t="shared" si="4"/>
        <v>1</v>
      </c>
      <c r="H60" s="175">
        <f t="shared" si="4"/>
        <v>1</v>
      </c>
      <c r="I60" s="164">
        <f t="shared" si="4"/>
        <v>2047842.31</v>
      </c>
      <c r="J60" s="176">
        <f t="shared" si="4"/>
        <v>10689.49</v>
      </c>
      <c r="K60" s="177">
        <f t="shared" si="4"/>
        <v>2037152.82</v>
      </c>
      <c r="L60" s="178">
        <f t="shared" si="4"/>
        <v>1</v>
      </c>
      <c r="M60" s="164">
        <f t="shared" si="4"/>
        <v>1957802.77</v>
      </c>
      <c r="N60" s="328">
        <f t="shared" si="4"/>
        <v>330085.99</v>
      </c>
      <c r="O60" s="329">
        <f t="shared" si="4"/>
        <v>1</v>
      </c>
      <c r="P60" s="330">
        <f t="shared" si="4"/>
        <v>250735.93</v>
      </c>
      <c r="Q60" s="331">
        <f>N60-P60</f>
        <v>79350.06</v>
      </c>
      <c r="R60" s="179">
        <f>SUM(R25:R58)</f>
        <v>0.77807000000000004</v>
      </c>
      <c r="S60" s="179">
        <f>SUM(S25:S58)</f>
        <v>1</v>
      </c>
      <c r="T60" s="164">
        <f>SUM(T25:T58)</f>
        <v>79350.06</v>
      </c>
      <c r="U60" s="164">
        <f>SUM(U25:U58)</f>
        <v>2037152.83</v>
      </c>
      <c r="V60" s="337">
        <f>SUM(V25:V58)</f>
        <v>2037152.83</v>
      </c>
      <c r="W60" s="339">
        <f t="shared" si="2"/>
        <v>0</v>
      </c>
      <c r="X60" s="162">
        <f>M60+T60</f>
        <v>2037152.83</v>
      </c>
      <c r="Y60" s="182">
        <f>C4</f>
        <v>2037152.83</v>
      </c>
      <c r="Z60" s="183">
        <f>X60-Y60</f>
        <v>0</v>
      </c>
    </row>
    <row r="61" spans="1:26" ht="13.5" hidden="1" thickTop="1" x14ac:dyDescent="0.2">
      <c r="G61" s="154"/>
      <c r="H61" s="180"/>
      <c r="I61" s="154"/>
      <c r="J61" s="152"/>
      <c r="K61" s="152"/>
      <c r="L61" s="181"/>
      <c r="M61" s="151"/>
      <c r="P61" t="s">
        <v>106</v>
      </c>
      <c r="Q61" s="162">
        <f>SUM(Q25:Q59)</f>
        <v>79350.06</v>
      </c>
      <c r="R61" s="151"/>
      <c r="S61" s="151"/>
      <c r="T61" s="151"/>
      <c r="U61" s="151"/>
      <c r="V61" s="154"/>
    </row>
    <row r="62" spans="1:26" hidden="1" x14ac:dyDescent="0.2">
      <c r="L62"/>
      <c r="P62" t="s">
        <v>691</v>
      </c>
      <c r="Q62" s="162">
        <f>+Q60-Q61</f>
        <v>0</v>
      </c>
    </row>
    <row r="63" spans="1:26" x14ac:dyDescent="0.2">
      <c r="A63" s="235" t="s">
        <v>427</v>
      </c>
      <c r="B63" s="20"/>
    </row>
    <row r="64" spans="1:26" x14ac:dyDescent="0.2">
      <c r="A64" s="236" t="str">
        <f>ReportMonth</f>
        <v>APRIL 2004</v>
      </c>
      <c r="B64" s="20"/>
    </row>
    <row r="65" spans="1:22" x14ac:dyDescent="0.2">
      <c r="A65" s="237" t="s">
        <v>108</v>
      </c>
      <c r="B65" s="20"/>
    </row>
    <row r="66" spans="1:22" x14ac:dyDescent="0.2">
      <c r="H66" s="302" t="s">
        <v>82</v>
      </c>
    </row>
    <row r="67" spans="1:22" x14ac:dyDescent="0.2">
      <c r="A67" s="409" t="s">
        <v>423</v>
      </c>
      <c r="B67" s="409"/>
      <c r="C67" s="409"/>
      <c r="D67" s="409"/>
      <c r="E67" s="409"/>
      <c r="F67" s="409"/>
      <c r="G67" s="409"/>
      <c r="H67" s="410" t="s">
        <v>652</v>
      </c>
      <c r="I67" s="410"/>
    </row>
    <row r="68" spans="1:22" x14ac:dyDescent="0.2">
      <c r="A68" s="234"/>
      <c r="B68" s="234"/>
      <c r="C68" s="234"/>
      <c r="D68" s="234"/>
      <c r="E68" s="234"/>
      <c r="F68" s="234"/>
      <c r="G68" s="234"/>
      <c r="H68" s="410"/>
      <c r="I68" s="410"/>
    </row>
    <row r="69" spans="1:22" x14ac:dyDescent="0.2">
      <c r="A69" s="234"/>
      <c r="B69" s="234"/>
      <c r="C69" s="234"/>
      <c r="D69" s="234"/>
      <c r="E69" s="234"/>
      <c r="F69" s="234"/>
      <c r="G69" s="234"/>
      <c r="H69" s="283"/>
    </row>
    <row r="70" spans="1:22" ht="41.25" customHeight="1" thickBot="1" x14ac:dyDescent="0.25">
      <c r="A70" s="145" t="s">
        <v>370</v>
      </c>
      <c r="B70" s="145" t="s">
        <v>371</v>
      </c>
      <c r="C70" s="216" t="s">
        <v>425</v>
      </c>
      <c r="D70" s="145" t="s">
        <v>424</v>
      </c>
      <c r="E70" s="190" t="s">
        <v>373</v>
      </c>
      <c r="F70" s="191" t="s">
        <v>374</v>
      </c>
      <c r="G70" s="146" t="s">
        <v>12</v>
      </c>
      <c r="H70" s="303" t="s">
        <v>653</v>
      </c>
      <c r="I70" s="304" t="s">
        <v>654</v>
      </c>
      <c r="J70" s="89"/>
      <c r="L70" s="89"/>
    </row>
    <row r="71" spans="1:22" ht="13.5" thickBot="1" x14ac:dyDescent="0.25">
      <c r="A71" t="s">
        <v>21</v>
      </c>
      <c r="C71" s="162">
        <f>D71+E71</f>
        <v>35164.92</v>
      </c>
      <c r="D71" s="162">
        <f>H4</f>
        <v>224.48</v>
      </c>
      <c r="E71" s="232">
        <f>IF($C$4&gt;$C$2,V25,I4)</f>
        <v>34940.44</v>
      </c>
      <c r="F71" s="186">
        <v>1</v>
      </c>
      <c r="G71" s="187">
        <f>$E$71*F71</f>
        <v>34940.44</v>
      </c>
      <c r="H71" s="305">
        <f>+NETCAG1</f>
        <v>29777.7</v>
      </c>
      <c r="I71" s="306">
        <v>1</v>
      </c>
      <c r="L71"/>
    </row>
    <row r="72" spans="1:22" ht="13.5" thickTop="1" x14ac:dyDescent="0.2">
      <c r="A72" t="s">
        <v>22</v>
      </c>
      <c r="C72" s="162">
        <f>D72+E72</f>
        <v>54412.86</v>
      </c>
      <c r="D72" s="162">
        <f>H5</f>
        <v>181.72</v>
      </c>
      <c r="E72" s="232">
        <f>IF($C$4&gt;$C$2,V26,I5)</f>
        <v>54231.14</v>
      </c>
      <c r="F72" s="147">
        <v>0.87431999999999999</v>
      </c>
      <c r="G72" s="151">
        <f>$E$72*F72+V74</f>
        <v>47415.37</v>
      </c>
      <c r="H72" s="283">
        <f>+NETCHG1*I72</f>
        <v>2060.73</v>
      </c>
      <c r="I72" s="297">
        <v>0.67439099999999996</v>
      </c>
      <c r="L72"/>
      <c r="T72" s="151">
        <f>$E$72*F72</f>
        <v>47415.37</v>
      </c>
    </row>
    <row r="73" spans="1:22" x14ac:dyDescent="0.2">
      <c r="A73" s="89"/>
      <c r="B73" s="89" t="s">
        <v>375</v>
      </c>
      <c r="C73" s="89"/>
      <c r="D73" s="89"/>
      <c r="E73" s="232"/>
      <c r="F73" s="184">
        <v>0.12567999999999999</v>
      </c>
      <c r="G73" s="151">
        <f>$E$72*F73</f>
        <v>6815.77</v>
      </c>
      <c r="H73" s="283">
        <f>+NETCHG1*I73</f>
        <v>994.96</v>
      </c>
      <c r="I73" s="297">
        <v>0.32560899999999998</v>
      </c>
      <c r="J73" s="89"/>
      <c r="K73" s="89"/>
      <c r="L73" s="89"/>
      <c r="T73" s="151">
        <f>$E$72*F73</f>
        <v>6815.77</v>
      </c>
    </row>
    <row r="74" spans="1:22" ht="13.5" thickBot="1" x14ac:dyDescent="0.25">
      <c r="E74" s="232"/>
      <c r="F74" s="185">
        <f>SUM(F72:F73)</f>
        <v>1</v>
      </c>
      <c r="G74" s="165">
        <f>SUM(G72:G73)</f>
        <v>54231.14</v>
      </c>
      <c r="H74" s="307">
        <f>SUM(H72:H73)</f>
        <v>3055.69</v>
      </c>
      <c r="I74" s="185">
        <f>SUM(I72:I73)</f>
        <v>1</v>
      </c>
      <c r="L74"/>
      <c r="T74" s="192">
        <f>SUM(T72:T73)</f>
        <v>54231.14</v>
      </c>
      <c r="U74" s="192">
        <f>E72</f>
        <v>54231.14</v>
      </c>
      <c r="V74" s="192">
        <f>U74-T74</f>
        <v>0</v>
      </c>
    </row>
    <row r="75" spans="1:22" ht="13.5" thickTop="1" x14ac:dyDescent="0.2">
      <c r="A75" t="s">
        <v>23</v>
      </c>
      <c r="C75" s="162">
        <f>D75+E75</f>
        <v>926031.64</v>
      </c>
      <c r="D75" s="162">
        <f>H6</f>
        <v>5868.53</v>
      </c>
      <c r="E75" s="232">
        <f>IF($C$4&gt;$C$2,V28,I6)-0.01</f>
        <v>920163.11</v>
      </c>
      <c r="F75" s="144">
        <v>0.61951999999999996</v>
      </c>
      <c r="G75" s="151">
        <f>$E$75*F75+V81</f>
        <v>570059.43999999994</v>
      </c>
      <c r="H75" s="283">
        <f t="shared" ref="H75:H80" si="5">+NETCLG1*I75</f>
        <v>253133.06</v>
      </c>
      <c r="I75" s="297">
        <v>0.426873</v>
      </c>
      <c r="S75" s="162"/>
      <c r="T75" s="162">
        <f t="shared" ref="T75:T80" si="6">$E$75*F75</f>
        <v>570059.44999999995</v>
      </c>
    </row>
    <row r="76" spans="1:22" x14ac:dyDescent="0.2">
      <c r="B76" t="s">
        <v>376</v>
      </c>
      <c r="E76" s="223"/>
      <c r="F76" s="144">
        <v>1.3520000000000001E-2</v>
      </c>
      <c r="G76" s="151">
        <f>$E$75*F76</f>
        <v>12440.61</v>
      </c>
      <c r="H76" s="283">
        <f t="shared" si="5"/>
        <v>5679.69</v>
      </c>
      <c r="I76" s="297">
        <v>9.5779999999999997E-3</v>
      </c>
      <c r="S76" s="162"/>
      <c r="T76" s="162">
        <f t="shared" si="6"/>
        <v>12440.61</v>
      </c>
    </row>
    <row r="77" spans="1:22" x14ac:dyDescent="0.2">
      <c r="B77" t="s">
        <v>377</v>
      </c>
      <c r="E77" s="223"/>
      <c r="F77" s="144">
        <v>8.8929999999999995E-2</v>
      </c>
      <c r="G77" s="151">
        <f>$E$75*F77</f>
        <v>81830.11</v>
      </c>
      <c r="H77" s="283">
        <f t="shared" si="5"/>
        <v>80162.09</v>
      </c>
      <c r="I77" s="297">
        <v>0.135182</v>
      </c>
      <c r="S77" s="162"/>
      <c r="T77" s="162">
        <f t="shared" si="6"/>
        <v>81830.11</v>
      </c>
    </row>
    <row r="78" spans="1:22" x14ac:dyDescent="0.2">
      <c r="B78" t="s">
        <v>378</v>
      </c>
      <c r="E78" s="223"/>
      <c r="F78" s="144">
        <v>0.21024000000000001</v>
      </c>
      <c r="G78" s="151">
        <f>$E$75*F78</f>
        <v>193455.09</v>
      </c>
      <c r="H78" s="283">
        <f t="shared" si="5"/>
        <v>196932.66</v>
      </c>
      <c r="I78" s="297">
        <v>0.33209899999999998</v>
      </c>
      <c r="S78" s="162"/>
      <c r="T78" s="162">
        <f t="shared" si="6"/>
        <v>193455.09</v>
      </c>
    </row>
    <row r="79" spans="1:22" x14ac:dyDescent="0.2">
      <c r="B79" t="s">
        <v>379</v>
      </c>
      <c r="E79" s="223"/>
      <c r="F79" s="144">
        <v>5.6100000000000004E-3</v>
      </c>
      <c r="G79" s="151">
        <f>$E$75*F79</f>
        <v>5162.12</v>
      </c>
      <c r="H79" s="283">
        <f t="shared" si="5"/>
        <v>5057.05</v>
      </c>
      <c r="I79" s="297">
        <v>8.5280000000000009E-3</v>
      </c>
      <c r="S79" s="162"/>
      <c r="T79" s="162">
        <f t="shared" si="6"/>
        <v>5162.12</v>
      </c>
    </row>
    <row r="80" spans="1:22" x14ac:dyDescent="0.2">
      <c r="B80" t="s">
        <v>380</v>
      </c>
      <c r="E80" s="223"/>
      <c r="F80" s="144">
        <v>6.2179999999999999E-2</v>
      </c>
      <c r="G80" s="151">
        <f>$E$75*F80</f>
        <v>57215.74</v>
      </c>
      <c r="H80" s="283">
        <f t="shared" si="5"/>
        <v>52029.279999999999</v>
      </c>
      <c r="I80" s="297">
        <v>8.7739999999999999E-2</v>
      </c>
      <c r="S80" s="162"/>
      <c r="T80" s="162">
        <f t="shared" si="6"/>
        <v>57215.74</v>
      </c>
    </row>
    <row r="81" spans="1:22" ht="13.5" thickBot="1" x14ac:dyDescent="0.25">
      <c r="E81" s="223"/>
      <c r="F81" s="185">
        <f>SUM(F75:F80)</f>
        <v>1</v>
      </c>
      <c r="G81" s="165">
        <f>SUM(G75:G80)</f>
        <v>920163.11</v>
      </c>
      <c r="H81" s="307">
        <f>SUM(H75:H80)</f>
        <v>592993.82999999996</v>
      </c>
      <c r="I81" s="185">
        <f>SUM(I75:I80)</f>
        <v>1</v>
      </c>
      <c r="S81" s="162"/>
      <c r="T81" s="192">
        <f>SUM(T75:T80)</f>
        <v>920163.12</v>
      </c>
      <c r="U81" s="165">
        <f>E75</f>
        <v>920163.11</v>
      </c>
      <c r="V81" s="165">
        <f>U81-T81</f>
        <v>-0.01</v>
      </c>
    </row>
    <row r="82" spans="1:22" ht="14.25" thickTop="1" thickBot="1" x14ac:dyDescent="0.25">
      <c r="A82" t="s">
        <v>24</v>
      </c>
      <c r="C82" s="162">
        <f>D82+E82</f>
        <v>31459.94</v>
      </c>
      <c r="D82" s="162">
        <f>H7</f>
        <v>181.72</v>
      </c>
      <c r="E82" s="232">
        <f>IF($C$4&gt;$C$2,V34,I7)</f>
        <v>31278.22</v>
      </c>
      <c r="F82" s="188">
        <v>1</v>
      </c>
      <c r="G82" s="233">
        <f>$E$82*F82</f>
        <v>31278.22</v>
      </c>
      <c r="H82" s="305">
        <f>+NETDOG1</f>
        <v>19678.32</v>
      </c>
      <c r="I82" s="188">
        <v>1</v>
      </c>
      <c r="L82"/>
    </row>
    <row r="83" spans="1:22" ht="13.5" thickTop="1" x14ac:dyDescent="0.2">
      <c r="A83" t="s">
        <v>25</v>
      </c>
      <c r="C83" s="162">
        <f>D83+E83</f>
        <v>128197.27</v>
      </c>
      <c r="D83" s="162">
        <f>H8</f>
        <v>352.75</v>
      </c>
      <c r="E83" s="232">
        <f>IF($C$4&gt;$C$2,V35,I8)</f>
        <v>127844.52</v>
      </c>
      <c r="F83" s="144">
        <v>0.77627999999999997</v>
      </c>
      <c r="G83" s="151">
        <f>$E$83*F83+V88</f>
        <v>99243.15</v>
      </c>
      <c r="H83" s="283">
        <f>+NETELG1*I83</f>
        <v>9755.5400000000009</v>
      </c>
      <c r="I83" s="297">
        <v>0.467248</v>
      </c>
      <c r="L83"/>
      <c r="T83" s="162">
        <f>$E$83*F83</f>
        <v>99243.14</v>
      </c>
    </row>
    <row r="84" spans="1:22" x14ac:dyDescent="0.2">
      <c r="B84" t="s">
        <v>381</v>
      </c>
      <c r="E84" s="223"/>
      <c r="F84" s="144">
        <v>1.7930000000000001E-2</v>
      </c>
      <c r="G84" s="151">
        <f>$E$83*F84</f>
        <v>2292.25</v>
      </c>
      <c r="H84" s="283">
        <f>+NETELG1*I84</f>
        <v>929.69</v>
      </c>
      <c r="I84" s="297">
        <v>4.4527999999999998E-2</v>
      </c>
      <c r="L84"/>
      <c r="T84" s="162">
        <f>$E$83*F84</f>
        <v>2292.25</v>
      </c>
    </row>
    <row r="85" spans="1:22" x14ac:dyDescent="0.2">
      <c r="B85" t="s">
        <v>135</v>
      </c>
      <c r="E85" s="223"/>
      <c r="F85" s="144">
        <v>0.15975</v>
      </c>
      <c r="G85" s="151">
        <f>$E$83*F85</f>
        <v>20423.16</v>
      </c>
      <c r="H85" s="283">
        <f>+NETELG1*I85</f>
        <v>7481.49</v>
      </c>
      <c r="I85" s="297">
        <v>0.35833100000000001</v>
      </c>
      <c r="L85"/>
      <c r="T85" s="162">
        <f>$E$83*F85</f>
        <v>20423.16</v>
      </c>
    </row>
    <row r="86" spans="1:22" x14ac:dyDescent="0.2">
      <c r="B86" t="s">
        <v>382</v>
      </c>
      <c r="E86" s="223"/>
      <c r="F86" s="144">
        <v>1.5049999999999999E-2</v>
      </c>
      <c r="G86" s="151">
        <f>$E$83*F86</f>
        <v>1924.06</v>
      </c>
      <c r="H86" s="283">
        <f>+NETELG1*I86</f>
        <v>622.65</v>
      </c>
      <c r="I86" s="297">
        <v>2.9822000000000001E-2</v>
      </c>
      <c r="L86"/>
      <c r="T86" s="162">
        <f>$E$83*F86</f>
        <v>1924.06</v>
      </c>
    </row>
    <row r="87" spans="1:22" x14ac:dyDescent="0.2">
      <c r="B87" t="s">
        <v>383</v>
      </c>
      <c r="E87" s="223"/>
      <c r="F87" s="144">
        <v>3.099E-2</v>
      </c>
      <c r="G87" s="151">
        <f>$E$83*F87</f>
        <v>3961.9</v>
      </c>
      <c r="H87" s="283">
        <f>+NETELG1*I87</f>
        <v>2089.35</v>
      </c>
      <c r="I87" s="297">
        <v>0.10007099999999999</v>
      </c>
      <c r="L87"/>
      <c r="T87" s="162">
        <f>$E$83*F87</f>
        <v>3961.9</v>
      </c>
    </row>
    <row r="88" spans="1:22" ht="13.5" thickBot="1" x14ac:dyDescent="0.25">
      <c r="E88" s="223"/>
      <c r="F88" s="185">
        <f>SUM(F83:F87)</f>
        <v>1</v>
      </c>
      <c r="G88" s="165">
        <f>SUM(G83:G87)</f>
        <v>127844.52</v>
      </c>
      <c r="H88" s="307">
        <f>SUM(H83:H87)</f>
        <v>20878.72</v>
      </c>
      <c r="I88" s="185">
        <f>SUM(I83:I87)</f>
        <v>1</v>
      </c>
      <c r="L88"/>
      <c r="T88" s="192">
        <f>SUM(T82:T87)</f>
        <v>127844.51</v>
      </c>
      <c r="U88" s="165">
        <f>E83</f>
        <v>127844.52</v>
      </c>
      <c r="V88" s="165">
        <f>U88-T88</f>
        <v>0.01</v>
      </c>
    </row>
    <row r="89" spans="1:22" ht="14.25" thickTop="1" thickBot="1" x14ac:dyDescent="0.25">
      <c r="A89" t="s">
        <v>26</v>
      </c>
      <c r="C89" s="162">
        <f>D89+E89</f>
        <v>29844.12</v>
      </c>
      <c r="D89" s="162">
        <f>H9</f>
        <v>85.52</v>
      </c>
      <c r="E89" s="232">
        <f>IF($C$4&gt;$C$2,V40,I9)</f>
        <v>29758.6</v>
      </c>
      <c r="F89" s="188">
        <v>1</v>
      </c>
      <c r="G89" s="233">
        <f>$E$89*F89</f>
        <v>29758.6</v>
      </c>
      <c r="H89" s="305">
        <f>+NETESG1</f>
        <v>317.98</v>
      </c>
      <c r="I89" s="311">
        <v>1</v>
      </c>
      <c r="L89"/>
    </row>
    <row r="90" spans="1:22" ht="14.25" thickTop="1" thickBot="1" x14ac:dyDescent="0.25">
      <c r="A90" t="s">
        <v>27</v>
      </c>
      <c r="C90" s="162">
        <f>D90+E90</f>
        <v>38152.400000000001</v>
      </c>
      <c r="D90" s="162">
        <f>H10</f>
        <v>171.03</v>
      </c>
      <c r="E90" s="232">
        <f>IF($C$4&gt;$C$2,V41,I10)</f>
        <v>37981.370000000003</v>
      </c>
      <c r="F90" s="188">
        <v>1</v>
      </c>
      <c r="G90" s="233">
        <f>$E$90*F90</f>
        <v>37981.370000000003</v>
      </c>
      <c r="H90" s="305">
        <f>+NETEUG1</f>
        <v>976.77</v>
      </c>
      <c r="I90" s="185">
        <v>1</v>
      </c>
      <c r="L90"/>
    </row>
    <row r="91" spans="1:22" ht="13.5" thickTop="1" x14ac:dyDescent="0.2">
      <c r="A91" t="s">
        <v>28</v>
      </c>
      <c r="C91" s="162">
        <f>D91+E91</f>
        <v>76970.350000000006</v>
      </c>
      <c r="D91" s="162">
        <f>H11</f>
        <v>224.48</v>
      </c>
      <c r="E91" s="232">
        <f>IF($C$4&gt;$C$2,V42,I11)</f>
        <v>76745.87</v>
      </c>
      <c r="F91" s="147">
        <v>0.84313000000000005</v>
      </c>
      <c r="G91" s="151">
        <f>$E$91*F91+V93</f>
        <v>64706.75</v>
      </c>
      <c r="H91" s="283">
        <f>+NETHUG1*I91</f>
        <v>7398.06</v>
      </c>
      <c r="I91" s="297">
        <v>0.55641399999999996</v>
      </c>
      <c r="L91"/>
      <c r="T91" s="162">
        <f>$E$91*F91</f>
        <v>64706.75</v>
      </c>
    </row>
    <row r="92" spans="1:22" x14ac:dyDescent="0.2">
      <c r="B92" t="s">
        <v>384</v>
      </c>
      <c r="E92" s="223"/>
      <c r="F92" s="189">
        <v>0.15687000000000001</v>
      </c>
      <c r="G92" s="151">
        <f>$E$91*F92</f>
        <v>12039.12</v>
      </c>
      <c r="H92" s="283">
        <f>+NETHUG1*I92</f>
        <v>5897.9</v>
      </c>
      <c r="I92" s="297">
        <v>0.44358599999999998</v>
      </c>
      <c r="L92"/>
      <c r="T92" s="162">
        <f>$E$91*F92</f>
        <v>12039.12</v>
      </c>
    </row>
    <row r="93" spans="1:22" ht="13.5" thickBot="1" x14ac:dyDescent="0.25">
      <c r="E93" s="223"/>
      <c r="F93" s="185">
        <f>SUM(F91:F92)</f>
        <v>1</v>
      </c>
      <c r="G93" s="165">
        <f>SUM(G91:G92)</f>
        <v>76745.87</v>
      </c>
      <c r="H93" s="307">
        <f>SUM(H91:H92)</f>
        <v>13295.96</v>
      </c>
      <c r="I93" s="185">
        <f>SUM(I91:I92)</f>
        <v>1</v>
      </c>
      <c r="L93"/>
      <c r="T93" s="192">
        <f>SUM(T91:T92)</f>
        <v>76745.87</v>
      </c>
      <c r="U93" s="165">
        <f>E91</f>
        <v>76745.87</v>
      </c>
      <c r="V93" s="165">
        <f>U93-T93</f>
        <v>0</v>
      </c>
    </row>
    <row r="94" spans="1:22" ht="14.25" thickTop="1" thickBot="1" x14ac:dyDescent="0.25">
      <c r="A94" t="s">
        <v>29</v>
      </c>
      <c r="C94" s="162">
        <f>D94+E94</f>
        <v>48767.3</v>
      </c>
      <c r="D94" s="162">
        <f>H12</f>
        <v>213.79</v>
      </c>
      <c r="E94" s="232">
        <f>IF($C$4&gt;$C$2,V44,I12)</f>
        <v>48553.51</v>
      </c>
      <c r="F94" s="188">
        <v>1</v>
      </c>
      <c r="G94" s="233">
        <f>$E$94*F94</f>
        <v>48553.51</v>
      </c>
      <c r="H94" s="308">
        <f>+NETLAG1</f>
        <v>3193.23</v>
      </c>
      <c r="I94" s="185">
        <v>1</v>
      </c>
      <c r="L94"/>
    </row>
    <row r="95" spans="1:22" ht="13.5" thickTop="1" x14ac:dyDescent="0.2">
      <c r="A95" t="s">
        <v>30</v>
      </c>
      <c r="C95" s="162">
        <f>D95+E95</f>
        <v>84919.14</v>
      </c>
      <c r="D95" s="162">
        <f>H13</f>
        <v>342.06</v>
      </c>
      <c r="E95" s="232">
        <f>IF($C$4&gt;$C$2,V45,I13)</f>
        <v>84577.08</v>
      </c>
      <c r="F95" s="144">
        <v>0.92620999999999998</v>
      </c>
      <c r="G95" s="151">
        <f>$E$95*F95+V97</f>
        <v>78309.919999999998</v>
      </c>
      <c r="H95" s="283">
        <f>+NETLIG1*I95</f>
        <v>1178.0899999999999</v>
      </c>
      <c r="I95" s="297">
        <v>0.72724900000000003</v>
      </c>
      <c r="L95"/>
      <c r="T95" s="162">
        <f>$E$95*F95</f>
        <v>78336.14</v>
      </c>
    </row>
    <row r="96" spans="1:22" x14ac:dyDescent="0.2">
      <c r="B96" t="s">
        <v>386</v>
      </c>
      <c r="E96" s="223"/>
      <c r="F96" s="144">
        <v>7.4099999999999999E-2</v>
      </c>
      <c r="G96" s="151">
        <f>$E$95*F96</f>
        <v>6267.16</v>
      </c>
      <c r="H96" s="283">
        <f>+NETLIG1*I96</f>
        <v>441.83</v>
      </c>
      <c r="I96" s="297">
        <v>0.27275100000000002</v>
      </c>
      <c r="L96"/>
      <c r="T96" s="162">
        <f>$E$95*F96</f>
        <v>6267.16</v>
      </c>
    </row>
    <row r="97" spans="1:22" ht="13.5" thickBot="1" x14ac:dyDescent="0.25">
      <c r="E97" s="223"/>
      <c r="F97" s="185">
        <f>SUM(F95:F96)</f>
        <v>1.00031</v>
      </c>
      <c r="G97" s="165">
        <f>SUM(G95:G96)</f>
        <v>84577.08</v>
      </c>
      <c r="H97" s="307">
        <f>SUM(H95:H96)</f>
        <v>1619.92</v>
      </c>
      <c r="I97" s="185">
        <f>SUM(I95:I96)</f>
        <v>1</v>
      </c>
      <c r="L97"/>
      <c r="T97" s="192">
        <f>SUM(T95:T96)</f>
        <v>84603.3</v>
      </c>
      <c r="U97" s="165">
        <f>E95</f>
        <v>84577.08</v>
      </c>
      <c r="V97" s="165">
        <f>U97-T97</f>
        <v>-26.22</v>
      </c>
    </row>
    <row r="98" spans="1:22" ht="13.5" thickTop="1" x14ac:dyDescent="0.2">
      <c r="A98" t="s">
        <v>31</v>
      </c>
      <c r="C98" s="162">
        <f>D98+E98</f>
        <v>38779.279999999999</v>
      </c>
      <c r="D98" s="162">
        <f>H14</f>
        <v>224.48</v>
      </c>
      <c r="E98" s="232">
        <f>IF($C$4&gt;$C$2,V47,I14)</f>
        <v>38554.800000000003</v>
      </c>
      <c r="F98" s="144">
        <v>0.83233000000000001</v>
      </c>
      <c r="G98" s="151">
        <f>$E$98*F98+V101</f>
        <v>32090.32</v>
      </c>
      <c r="H98" s="283">
        <f>+NETLYG1*I98</f>
        <v>9064.9</v>
      </c>
      <c r="I98" s="297">
        <v>0.65703900000000004</v>
      </c>
      <c r="L98"/>
      <c r="T98" s="162">
        <f>$E$98*F98</f>
        <v>32090.32</v>
      </c>
    </row>
    <row r="99" spans="1:22" x14ac:dyDescent="0.2">
      <c r="B99" t="s">
        <v>388</v>
      </c>
      <c r="E99" s="147" t="s">
        <v>82</v>
      </c>
      <c r="F99" s="184">
        <v>0.13405</v>
      </c>
      <c r="G99" s="151">
        <f>$E$98*F99</f>
        <v>5168.2700000000004</v>
      </c>
      <c r="H99" s="283">
        <f>+NETLYG1*I99</f>
        <v>3714.48</v>
      </c>
      <c r="I99" s="297">
        <v>0.26923200000000003</v>
      </c>
      <c r="L99"/>
      <c r="T99" s="162">
        <f>$E$98*F99</f>
        <v>5168.2700000000004</v>
      </c>
    </row>
    <row r="100" spans="1:22" x14ac:dyDescent="0.2">
      <c r="B100" t="s">
        <v>387</v>
      </c>
      <c r="E100" s="223"/>
      <c r="F100" s="144">
        <v>3.3619999999999997E-2</v>
      </c>
      <c r="G100" s="151">
        <f>$E$98*F100</f>
        <v>1296.21</v>
      </c>
      <c r="H100" s="283">
        <f>+NETLYG1*I100</f>
        <v>1017.21</v>
      </c>
      <c r="I100" s="297">
        <v>7.3729000000000003E-2</v>
      </c>
      <c r="L100"/>
      <c r="T100" s="162">
        <f>$E$98*F100</f>
        <v>1296.21</v>
      </c>
    </row>
    <row r="101" spans="1:22" ht="13.5" thickBot="1" x14ac:dyDescent="0.25">
      <c r="E101" s="223"/>
      <c r="F101" s="185">
        <v>1</v>
      </c>
      <c r="G101" s="165">
        <f>SUM(G98:G100)</f>
        <v>38554.800000000003</v>
      </c>
      <c r="H101" s="307">
        <f>SUM(H98:H100)</f>
        <v>13796.59</v>
      </c>
      <c r="I101" s="185">
        <f>SUM(I98:I100)</f>
        <v>1</v>
      </c>
      <c r="L101"/>
      <c r="T101" s="192">
        <f>SUM(T98:T100)</f>
        <v>38554.800000000003</v>
      </c>
      <c r="U101" s="165">
        <f>E98</f>
        <v>38554.800000000003</v>
      </c>
      <c r="V101" s="165">
        <f>U101-T101</f>
        <v>0</v>
      </c>
    </row>
    <row r="102" spans="1:22" ht="14.25" thickTop="1" thickBot="1" x14ac:dyDescent="0.25">
      <c r="A102" t="s">
        <v>32</v>
      </c>
      <c r="C102" s="162">
        <f>D102+E102</f>
        <v>27484.07</v>
      </c>
      <c r="D102" s="162">
        <f>H15</f>
        <v>74.83</v>
      </c>
      <c r="E102" s="232">
        <f>IF($C$4&gt;$C$2,V50,I15)</f>
        <v>27409.24</v>
      </c>
      <c r="F102" s="188">
        <v>1</v>
      </c>
      <c r="G102" s="233">
        <f>E102*F102</f>
        <v>27409.24</v>
      </c>
      <c r="H102" s="309">
        <f>+NETMIG1</f>
        <v>2464.0100000000002</v>
      </c>
      <c r="I102" s="185">
        <v>1</v>
      </c>
      <c r="L102"/>
    </row>
    <row r="103" spans="1:22" ht="14.25" thickTop="1" thickBot="1" x14ac:dyDescent="0.25">
      <c r="A103" t="s">
        <v>33</v>
      </c>
      <c r="C103" s="162">
        <f>D103+E103</f>
        <v>133013.59</v>
      </c>
      <c r="D103" s="162">
        <f>H16</f>
        <v>470.34</v>
      </c>
      <c r="E103" s="232">
        <f>IF($C$4&gt;$C$2,V51,I16)</f>
        <v>132543.25</v>
      </c>
      <c r="F103" s="188">
        <v>1</v>
      </c>
      <c r="G103" s="233">
        <f>E103*F103</f>
        <v>132543.25</v>
      </c>
      <c r="H103" s="305">
        <f>+NETNYG1</f>
        <v>21190.78</v>
      </c>
      <c r="I103" s="185">
        <v>1</v>
      </c>
      <c r="L103"/>
    </row>
    <row r="104" spans="1:22" ht="13.5" thickTop="1" x14ac:dyDescent="0.2">
      <c r="A104" t="s">
        <v>34</v>
      </c>
      <c r="C104" s="162">
        <f>D104+E104</f>
        <v>58749.3</v>
      </c>
      <c r="D104" s="162">
        <f>H17</f>
        <v>352.75</v>
      </c>
      <c r="E104" s="232">
        <f>IF($C$4&gt;$C$2,V52,I17)</f>
        <v>58396.55</v>
      </c>
      <c r="F104" s="144">
        <v>0.90059999999999996</v>
      </c>
      <c r="G104" s="151">
        <f>E104*F104+V104</f>
        <v>52591.93</v>
      </c>
      <c r="H104" s="283">
        <f>+NETPEG1*I104</f>
        <v>1716.11</v>
      </c>
      <c r="I104" s="297">
        <v>0.67320199999999997</v>
      </c>
      <c r="L104"/>
      <c r="T104" s="162">
        <f>$E$104*F104</f>
        <v>52591.93</v>
      </c>
    </row>
    <row r="105" spans="1:22" x14ac:dyDescent="0.2">
      <c r="B105" t="s">
        <v>392</v>
      </c>
      <c r="E105" s="223"/>
      <c r="F105" s="144">
        <v>9.9400000000000002E-2</v>
      </c>
      <c r="G105" s="151">
        <f>E104*F105</f>
        <v>5804.62</v>
      </c>
      <c r="H105" s="283">
        <f>+NETPEG1*I105</f>
        <v>833.06</v>
      </c>
      <c r="I105" s="297">
        <v>0.32679799999999998</v>
      </c>
      <c r="L105"/>
      <c r="T105" s="162">
        <f>$E$104*F105</f>
        <v>5804.62</v>
      </c>
    </row>
    <row r="106" spans="1:22" ht="13.5" thickBot="1" x14ac:dyDescent="0.25">
      <c r="E106" s="223"/>
      <c r="F106" s="185">
        <f>SUM(F104:F105)</f>
        <v>1</v>
      </c>
      <c r="G106" s="165">
        <f>SUM(G104:G105)</f>
        <v>58396.55</v>
      </c>
      <c r="H106" s="307">
        <f>SUM(H104:H105)</f>
        <v>2549.17</v>
      </c>
      <c r="I106" s="185">
        <f>SUM(I104:I105)</f>
        <v>1</v>
      </c>
      <c r="L106"/>
      <c r="T106" s="192">
        <f>SUM(T104:T105)</f>
        <v>58396.55</v>
      </c>
      <c r="U106" s="165">
        <f>E104</f>
        <v>58396.55</v>
      </c>
      <c r="V106" s="165">
        <f>U106-T106</f>
        <v>0</v>
      </c>
    </row>
    <row r="107" spans="1:22" ht="14.25" thickTop="1" thickBot="1" x14ac:dyDescent="0.25">
      <c r="A107" t="s">
        <v>35</v>
      </c>
      <c r="C107" s="162">
        <f>D107+E107</f>
        <v>4328.55</v>
      </c>
      <c r="D107" s="162">
        <f>H18</f>
        <v>21.38</v>
      </c>
      <c r="E107" s="232">
        <f>IF($C$4&gt;$C$2,V54,I18)</f>
        <v>4307.17</v>
      </c>
      <c r="F107" s="188">
        <v>1</v>
      </c>
      <c r="G107" s="233">
        <f>$E$107*F107</f>
        <v>4307.17</v>
      </c>
      <c r="H107" s="308">
        <f>+NETSTG1</f>
        <v>244.93</v>
      </c>
      <c r="I107" s="185">
        <v>1</v>
      </c>
      <c r="L107"/>
    </row>
    <row r="108" spans="1:22" ht="13.5" thickTop="1" x14ac:dyDescent="0.2">
      <c r="A108" t="s">
        <v>36</v>
      </c>
      <c r="C108" s="162">
        <f>D108+E108</f>
        <v>252443.65</v>
      </c>
      <c r="D108" s="162">
        <f>H19</f>
        <v>1475.15</v>
      </c>
      <c r="E108" s="232">
        <f>IF($C$4&gt;$C$2,V55,I19)</f>
        <v>250968.5</v>
      </c>
      <c r="F108" s="144">
        <v>0.57206999999999997</v>
      </c>
      <c r="G108" s="151">
        <f>$E$108*F108+V111</f>
        <v>143571.54999999999</v>
      </c>
      <c r="H108" s="283">
        <f>+NETWAG1*I108</f>
        <v>40185.03</v>
      </c>
      <c r="I108" s="297">
        <v>0.26802399999999998</v>
      </c>
      <c r="L108"/>
      <c r="T108" s="162">
        <f>$E$108*F108</f>
        <v>143571.54999999999</v>
      </c>
    </row>
    <row r="109" spans="1:22" x14ac:dyDescent="0.2">
      <c r="B109" t="s">
        <v>393</v>
      </c>
      <c r="E109" s="223"/>
      <c r="F109" s="144">
        <v>0.30831999999999998</v>
      </c>
      <c r="G109" s="151">
        <f>$E$108*F109</f>
        <v>77378.61</v>
      </c>
      <c r="H109" s="283">
        <f>+NETWAG1*I109</f>
        <v>78353.64</v>
      </c>
      <c r="I109" s="297">
        <v>0.52259900000000004</v>
      </c>
      <c r="L109"/>
      <c r="T109" s="162">
        <f>$E$108*F109</f>
        <v>77378.61</v>
      </c>
    </row>
    <row r="110" spans="1:22" x14ac:dyDescent="0.2">
      <c r="B110" t="s">
        <v>394</v>
      </c>
      <c r="E110" s="223"/>
      <c r="F110" s="184">
        <v>0.11960999999999999</v>
      </c>
      <c r="G110" s="151">
        <f>$E$108*F110</f>
        <v>30018.34</v>
      </c>
      <c r="H110" s="283">
        <f>+NETWAG1*I110</f>
        <v>31392.04</v>
      </c>
      <c r="I110" s="297">
        <v>0.20937700000000001</v>
      </c>
      <c r="L110"/>
      <c r="T110" s="162">
        <f>$E$108*F110</f>
        <v>30018.34</v>
      </c>
    </row>
    <row r="111" spans="1:22" ht="13.5" thickBot="1" x14ac:dyDescent="0.25">
      <c r="E111" s="223"/>
      <c r="F111" s="185">
        <f>SUM(F108:F110)</f>
        <v>1</v>
      </c>
      <c r="G111" s="165">
        <f>SUM(G108:G110)</f>
        <v>250968.5</v>
      </c>
      <c r="H111" s="307">
        <f>SUM(H108:H110)</f>
        <v>149930.71</v>
      </c>
      <c r="I111" s="185">
        <f>SUM(I108:I110)</f>
        <v>1</v>
      </c>
      <c r="L111"/>
      <c r="T111" s="192">
        <f>SUM(T108:T110)</f>
        <v>250968.5</v>
      </c>
      <c r="U111" s="165">
        <f>E108</f>
        <v>250968.5</v>
      </c>
      <c r="V111" s="165">
        <f>U111-T111</f>
        <v>0</v>
      </c>
    </row>
    <row r="112" spans="1:22" ht="13.5" thickTop="1" x14ac:dyDescent="0.2">
      <c r="A112" t="s">
        <v>37</v>
      </c>
      <c r="C112" s="162">
        <f>D112+E112</f>
        <v>79123.929999999993</v>
      </c>
      <c r="D112" s="162">
        <f>H20</f>
        <v>224.48</v>
      </c>
      <c r="E112" s="232">
        <f>IF($C$4&gt;$C$2,V58,I20)</f>
        <v>78899.45</v>
      </c>
      <c r="F112" s="144">
        <v>0.87383999999999995</v>
      </c>
      <c r="G112" s="151">
        <f>$E$112*F112+V114</f>
        <v>68945.5</v>
      </c>
      <c r="H112" s="283">
        <f>+NETWHG1*I112</f>
        <v>3149.39</v>
      </c>
      <c r="I112" s="297">
        <v>0.56154800000000005</v>
      </c>
      <c r="L112"/>
      <c r="T112" s="162">
        <f>$E$112*F112</f>
        <v>68945.5</v>
      </c>
    </row>
    <row r="113" spans="1:22" x14ac:dyDescent="0.2">
      <c r="B113" t="s">
        <v>395</v>
      </c>
      <c r="E113" s="223"/>
      <c r="F113" s="144">
        <v>0.12615999999999999</v>
      </c>
      <c r="G113" s="151">
        <f>$E$112*F113</f>
        <v>9953.9500000000007</v>
      </c>
      <c r="H113" s="283">
        <f>+NETWHG1*I113</f>
        <v>2459.02</v>
      </c>
      <c r="I113" s="297">
        <v>0.43845200000000001</v>
      </c>
      <c r="L113"/>
      <c r="T113" s="162">
        <f>$E$112*F113</f>
        <v>9953.9500000000007</v>
      </c>
    </row>
    <row r="114" spans="1:22" ht="13.5" thickBot="1" x14ac:dyDescent="0.25">
      <c r="E114" s="223"/>
      <c r="F114" s="185">
        <f>+F112+F113</f>
        <v>1</v>
      </c>
      <c r="I114" s="185">
        <f>SUM(I112:I113)</f>
        <v>1</v>
      </c>
      <c r="L114"/>
      <c r="T114" s="192">
        <f>SUM(T112:T113)</f>
        <v>78899.45</v>
      </c>
      <c r="U114" s="165">
        <f>E112</f>
        <v>78899.45</v>
      </c>
      <c r="V114" s="165">
        <f>U114-T114</f>
        <v>0</v>
      </c>
    </row>
    <row r="115" spans="1:22" ht="14.25" thickTop="1" thickBot="1" x14ac:dyDescent="0.25">
      <c r="A115" s="238" t="s">
        <v>244</v>
      </c>
      <c r="B115" s="238"/>
      <c r="C115" s="176">
        <f>SUM(C71:C114)</f>
        <v>2047842.31</v>
      </c>
      <c r="D115" s="176">
        <f>SUM(D71:D114)</f>
        <v>10689.49</v>
      </c>
      <c r="E115" s="176">
        <f>SUM(E71:E114)</f>
        <v>2037152.82</v>
      </c>
      <c r="F115" s="310" t="s">
        <v>82</v>
      </c>
      <c r="G115" s="165">
        <f>SUM(G112:G113)</f>
        <v>78899.45</v>
      </c>
      <c r="H115" s="307">
        <f>SUM(H112:H113)</f>
        <v>5608.41</v>
      </c>
      <c r="I115" s="310" t="s">
        <v>82</v>
      </c>
      <c r="L115"/>
    </row>
    <row r="116" spans="1:22" ht="13.5" hidden="1" thickTop="1" x14ac:dyDescent="0.2">
      <c r="C116" s="11">
        <f>'s3, s3b, s3d'!I9</f>
        <v>2047842.32</v>
      </c>
      <c r="G116" s="162">
        <f>G115+G111+G107+G106+G103+G102+G101+G97+G94+G93+G90+G89+G88+G82+G81+G74+G71</f>
        <v>2037152.82</v>
      </c>
      <c r="H116" s="162">
        <f>H115+H111+H107+H106+H103+H102+H101+H97+H94+H93+H90+H89+H88+H82+H81+H74+H71</f>
        <v>881572.72</v>
      </c>
      <c r="L116"/>
    </row>
    <row r="117" spans="1:22" ht="13.5" thickTop="1" x14ac:dyDescent="0.2">
      <c r="H117" s="151"/>
      <c r="L117"/>
    </row>
    <row r="118" spans="1:22" x14ac:dyDescent="0.2">
      <c r="H118" s="151"/>
      <c r="L118"/>
    </row>
    <row r="119" spans="1:22" x14ac:dyDescent="0.2">
      <c r="H119" s="151"/>
      <c r="L119"/>
    </row>
    <row r="120" spans="1:22" x14ac:dyDescent="0.2">
      <c r="H120" s="151"/>
      <c r="L120"/>
    </row>
    <row r="121" spans="1:22" x14ac:dyDescent="0.2">
      <c r="H121" s="151"/>
      <c r="L121"/>
    </row>
    <row r="122" spans="1:22" x14ac:dyDescent="0.2">
      <c r="H122" s="151"/>
      <c r="L122"/>
    </row>
    <row r="123" spans="1:22" x14ac:dyDescent="0.2">
      <c r="H123" s="151"/>
      <c r="L123"/>
    </row>
    <row r="124" spans="1:22" x14ac:dyDescent="0.2">
      <c r="H124" s="151"/>
      <c r="L124"/>
    </row>
    <row r="125" spans="1:22" x14ac:dyDescent="0.2">
      <c r="H125" s="151"/>
      <c r="L125"/>
    </row>
    <row r="126" spans="1:22" x14ac:dyDescent="0.2">
      <c r="H126" s="151"/>
      <c r="L126"/>
    </row>
    <row r="127" spans="1:22" x14ac:dyDescent="0.2">
      <c r="H127" s="151"/>
      <c r="L127"/>
    </row>
    <row r="128" spans="1:22" x14ac:dyDescent="0.2">
      <c r="H128" s="151"/>
      <c r="L128"/>
    </row>
    <row r="129" spans="8:12" x14ac:dyDescent="0.2">
      <c r="H129" s="151"/>
      <c r="L129"/>
    </row>
    <row r="130" spans="8:12" x14ac:dyDescent="0.2">
      <c r="H130" s="151"/>
      <c r="L130"/>
    </row>
    <row r="131" spans="8:12" x14ac:dyDescent="0.2">
      <c r="L131"/>
    </row>
    <row r="132" spans="8:12" x14ac:dyDescent="0.2">
      <c r="L132"/>
    </row>
    <row r="133" spans="8:12" x14ac:dyDescent="0.2">
      <c r="L133"/>
    </row>
    <row r="134" spans="8:12" x14ac:dyDescent="0.2">
      <c r="L134"/>
    </row>
    <row r="135" spans="8:12" x14ac:dyDescent="0.2"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</sheetData>
  <mergeCells count="5">
    <mergeCell ref="N23:Q23"/>
    <mergeCell ref="A22:E22"/>
    <mergeCell ref="A23:B23"/>
    <mergeCell ref="A67:G67"/>
    <mergeCell ref="H67:I68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2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5" customWidth="1"/>
    <col min="5" max="6" width="16.140625" customWidth="1"/>
    <col min="7" max="7" width="18.7109375" customWidth="1"/>
  </cols>
  <sheetData>
    <row r="1" spans="1:7" ht="15.75" x14ac:dyDescent="0.25">
      <c r="A1" s="63" t="s">
        <v>156</v>
      </c>
      <c r="B1" s="63"/>
      <c r="D1" s="292"/>
      <c r="E1" s="1"/>
      <c r="F1" s="1"/>
      <c r="G1" s="1"/>
    </row>
    <row r="2" spans="1:7" ht="15.75" x14ac:dyDescent="0.25">
      <c r="A2" s="116" t="str">
        <f>ReportMonth</f>
        <v>APRIL 2004</v>
      </c>
      <c r="B2" s="63"/>
      <c r="C2" s="63"/>
      <c r="D2" s="292"/>
      <c r="E2" s="1"/>
      <c r="F2" s="1"/>
      <c r="G2" s="1"/>
    </row>
    <row r="3" spans="1:7" ht="15.75" x14ac:dyDescent="0.25">
      <c r="A3" s="66" t="s">
        <v>157</v>
      </c>
      <c r="B3" s="66"/>
      <c r="C3" s="66"/>
      <c r="D3" s="293"/>
      <c r="E3" s="42"/>
      <c r="F3" s="42"/>
      <c r="G3" s="42"/>
    </row>
    <row r="4" spans="1:7" ht="19.5" customHeight="1" x14ac:dyDescent="0.25">
      <c r="A4" s="64"/>
      <c r="B4" s="63"/>
      <c r="C4" s="63"/>
      <c r="D4" s="292"/>
      <c r="E4" s="1"/>
      <c r="F4" s="1"/>
      <c r="G4" s="1"/>
    </row>
    <row r="5" spans="1:7" ht="13.5" customHeight="1" x14ac:dyDescent="0.25">
      <c r="A5" s="64"/>
      <c r="B5" s="63"/>
      <c r="C5" s="63"/>
      <c r="D5" s="292"/>
      <c r="E5" s="1"/>
      <c r="F5" s="1"/>
      <c r="G5" s="1"/>
    </row>
    <row r="6" spans="1:7" x14ac:dyDescent="0.2">
      <c r="A6" s="1"/>
      <c r="B6" s="1"/>
      <c r="C6" s="119" t="s">
        <v>158</v>
      </c>
      <c r="D6" s="266" t="s">
        <v>115</v>
      </c>
      <c r="E6" s="119" t="s">
        <v>159</v>
      </c>
      <c r="F6" s="119" t="s">
        <v>115</v>
      </c>
      <c r="G6" s="1"/>
    </row>
    <row r="7" spans="1:7" x14ac:dyDescent="0.2">
      <c r="A7" s="1"/>
      <c r="B7" s="97" t="s">
        <v>160</v>
      </c>
      <c r="C7" s="97" t="s">
        <v>161</v>
      </c>
      <c r="D7" s="267" t="s">
        <v>162</v>
      </c>
      <c r="E7" s="97" t="s">
        <v>163</v>
      </c>
      <c r="F7" s="97" t="s">
        <v>164</v>
      </c>
      <c r="G7" s="97" t="s">
        <v>165</v>
      </c>
    </row>
    <row r="8" spans="1:7" ht="26.25" customHeight="1" x14ac:dyDescent="0.2">
      <c r="A8" s="1" t="s">
        <v>166</v>
      </c>
      <c r="B8" s="2">
        <f>ST12.65</f>
        <v>11232761.109999999</v>
      </c>
      <c r="C8" s="2">
        <v>142246.49</v>
      </c>
      <c r="D8" s="268">
        <v>57541.3</v>
      </c>
      <c r="E8" s="1"/>
      <c r="F8" s="1"/>
      <c r="G8" s="9">
        <f>B8-C8-D8-E8-F8</f>
        <v>11032973.32</v>
      </c>
    </row>
    <row r="9" spans="1:7" x14ac:dyDescent="0.2">
      <c r="A9" s="1" t="s">
        <v>167</v>
      </c>
      <c r="B9" s="2">
        <f>_ST5</f>
        <v>4430597.54</v>
      </c>
      <c r="C9" s="2">
        <v>56210.23</v>
      </c>
      <c r="D9" s="268">
        <v>22743.57</v>
      </c>
      <c r="E9" s="1"/>
      <c r="F9" s="1"/>
      <c r="G9" s="9">
        <f>B9-C9-D9-E9-F9</f>
        <v>4351643.74</v>
      </c>
    </row>
    <row r="10" spans="1:7" x14ac:dyDescent="0.2">
      <c r="A10" s="1" t="s">
        <v>168</v>
      </c>
      <c r="B10" s="2">
        <f>ST5.35</f>
        <v>4738029.24</v>
      </c>
      <c r="C10" s="2">
        <v>60110.720000000001</v>
      </c>
      <c r="D10" s="268">
        <v>24335.55</v>
      </c>
      <c r="E10" s="1"/>
      <c r="F10" s="2">
        <v>15805.83</v>
      </c>
      <c r="G10" s="9">
        <f t="shared" ref="G10:G52" si="0">B10-C10-D10-E10-F10</f>
        <v>4637777.1399999997</v>
      </c>
    </row>
    <row r="11" spans="1:7" x14ac:dyDescent="0.2">
      <c r="A11" s="3" t="s">
        <v>338</v>
      </c>
      <c r="B11" s="2">
        <f>AVGAS10.5</f>
        <v>4545.8100000000004</v>
      </c>
      <c r="C11" s="2"/>
      <c r="D11" s="268"/>
      <c r="E11" s="2">
        <f>AVGAS10.5</f>
        <v>4545.8100000000004</v>
      </c>
      <c r="F11" s="1"/>
      <c r="G11" s="9">
        <f t="shared" si="0"/>
        <v>0</v>
      </c>
    </row>
    <row r="12" spans="1:7" x14ac:dyDescent="0.2">
      <c r="A12" s="3" t="s">
        <v>339</v>
      </c>
      <c r="B12" s="2">
        <f>AV_OPT</f>
        <v>2693.84</v>
      </c>
      <c r="C12" s="2"/>
      <c r="D12" s="268"/>
      <c r="E12" s="2"/>
      <c r="F12" s="1"/>
      <c r="G12" s="9">
        <f t="shared" si="0"/>
        <v>2693.84</v>
      </c>
    </row>
    <row r="13" spans="1:7" x14ac:dyDescent="0.2">
      <c r="A13" s="1" t="s">
        <v>169</v>
      </c>
      <c r="B13" s="2">
        <f>_JET1</f>
        <v>369454.37</v>
      </c>
      <c r="C13" s="2"/>
      <c r="D13" s="268"/>
      <c r="E13" s="1"/>
      <c r="F13" s="1"/>
      <c r="G13" s="9">
        <f t="shared" si="0"/>
        <v>369454.37</v>
      </c>
    </row>
    <row r="14" spans="1:7" x14ac:dyDescent="0.2">
      <c r="A14" s="1" t="s">
        <v>170</v>
      </c>
      <c r="B14" s="2">
        <f>_JET2</f>
        <v>686918.61</v>
      </c>
      <c r="C14" s="2"/>
      <c r="D14" s="268"/>
      <c r="E14" s="1"/>
      <c r="F14" s="1"/>
      <c r="G14" s="9">
        <f t="shared" si="0"/>
        <v>686918.61</v>
      </c>
    </row>
    <row r="15" spans="1:7" x14ac:dyDescent="0.2">
      <c r="A15" s="1" t="s">
        <v>171</v>
      </c>
      <c r="B15" s="2">
        <f>CAG</f>
        <v>268134.08</v>
      </c>
      <c r="C15" s="2"/>
      <c r="D15" s="268">
        <v>134.86000000000001</v>
      </c>
      <c r="E15" s="1"/>
      <c r="F15" s="2">
        <f>B15*0.005</f>
        <v>1340.67</v>
      </c>
      <c r="G15" s="9">
        <f t="shared" si="0"/>
        <v>266658.55</v>
      </c>
    </row>
    <row r="16" spans="1:7" x14ac:dyDescent="0.2">
      <c r="A16" s="1" t="s">
        <v>172</v>
      </c>
      <c r="B16" s="2">
        <f>_CAG1</f>
        <v>29792.68</v>
      </c>
      <c r="C16" s="2"/>
      <c r="D16" s="268">
        <v>14.98</v>
      </c>
      <c r="E16" s="1"/>
      <c r="F16" s="2">
        <v>0</v>
      </c>
      <c r="G16" s="9">
        <f t="shared" si="0"/>
        <v>29777.7</v>
      </c>
    </row>
    <row r="17" spans="1:7" x14ac:dyDescent="0.2">
      <c r="A17" s="1" t="s">
        <v>361</v>
      </c>
      <c r="B17" s="2">
        <f>CHG</f>
        <v>30086</v>
      </c>
      <c r="C17" s="2"/>
      <c r="D17" s="268">
        <v>2584.79</v>
      </c>
      <c r="E17" s="1"/>
      <c r="F17" s="2">
        <f>B17*0.005</f>
        <v>150.43</v>
      </c>
      <c r="G17" s="9">
        <f t="shared" si="0"/>
        <v>27350.78</v>
      </c>
    </row>
    <row r="18" spans="1:7" x14ac:dyDescent="0.2">
      <c r="A18" s="1" t="s">
        <v>173</v>
      </c>
      <c r="B18" s="11">
        <f>_CHG1</f>
        <v>3342.89</v>
      </c>
      <c r="C18" s="2"/>
      <c r="D18" s="268">
        <v>287.2</v>
      </c>
      <c r="E18" s="1"/>
      <c r="F18" s="2">
        <v>0</v>
      </c>
      <c r="G18" s="9">
        <f t="shared" si="0"/>
        <v>3055.69</v>
      </c>
    </row>
    <row r="19" spans="1:7" x14ac:dyDescent="0.2">
      <c r="A19" s="1" t="s">
        <v>174</v>
      </c>
      <c r="B19" s="2">
        <f>CLG</f>
        <v>5343368.26</v>
      </c>
      <c r="C19" s="2"/>
      <c r="D19" s="268">
        <v>6424.13</v>
      </c>
      <c r="E19" s="1"/>
      <c r="F19" s="2">
        <f>B19*0.005</f>
        <v>26716.84</v>
      </c>
      <c r="G19" s="9">
        <f t="shared" si="0"/>
        <v>5310227.29</v>
      </c>
    </row>
    <row r="20" spans="1:7" x14ac:dyDescent="0.2">
      <c r="A20" s="1" t="s">
        <v>175</v>
      </c>
      <c r="B20" s="11">
        <f>_CLG1</f>
        <v>593707.61</v>
      </c>
      <c r="C20" s="2"/>
      <c r="D20" s="268">
        <v>713.78</v>
      </c>
      <c r="E20" s="1"/>
      <c r="F20" s="2">
        <v>0</v>
      </c>
      <c r="G20" s="9">
        <f t="shared" si="0"/>
        <v>592993.82999999996</v>
      </c>
    </row>
    <row r="21" spans="1:7" x14ac:dyDescent="0.2">
      <c r="A21" s="1" t="s">
        <v>176</v>
      </c>
      <c r="B21" s="2">
        <f>DOG</f>
        <v>78811.600000000006</v>
      </c>
      <c r="C21" s="2"/>
      <c r="D21" s="268">
        <v>98.31</v>
      </c>
      <c r="E21" s="1"/>
      <c r="F21" s="2">
        <f>B21*0.005</f>
        <v>394.06</v>
      </c>
      <c r="G21" s="9">
        <f t="shared" si="0"/>
        <v>78319.23</v>
      </c>
    </row>
    <row r="22" spans="1:7" x14ac:dyDescent="0.2">
      <c r="A22" s="1" t="s">
        <v>177</v>
      </c>
      <c r="B22" s="11">
        <f>_DOG1</f>
        <v>19702.89</v>
      </c>
      <c r="C22" s="2"/>
      <c r="D22" s="268">
        <v>24.57</v>
      </c>
      <c r="E22" s="1"/>
      <c r="F22" s="2">
        <v>0</v>
      </c>
      <c r="G22" s="9">
        <f t="shared" si="0"/>
        <v>19678.32</v>
      </c>
    </row>
    <row r="23" spans="1:7" x14ac:dyDescent="0.2">
      <c r="A23" s="1" t="s">
        <v>178</v>
      </c>
      <c r="B23" s="2">
        <f>ELG</f>
        <v>84338.33</v>
      </c>
      <c r="C23" s="2"/>
      <c r="D23" s="268">
        <v>823.47</v>
      </c>
      <c r="E23" s="1"/>
      <c r="F23" s="2">
        <f>B23*0.005</f>
        <v>421.69</v>
      </c>
      <c r="G23" s="9">
        <f t="shared" si="0"/>
        <v>83093.17</v>
      </c>
    </row>
    <row r="24" spans="1:7" x14ac:dyDescent="0.2">
      <c r="A24" s="1" t="s">
        <v>179</v>
      </c>
      <c r="B24" s="11">
        <f>_ELG1</f>
        <v>21084.58</v>
      </c>
      <c r="C24" s="2"/>
      <c r="D24" s="268">
        <v>205.86</v>
      </c>
      <c r="E24" s="1"/>
      <c r="F24" s="2">
        <v>0</v>
      </c>
      <c r="G24" s="9">
        <f t="shared" si="0"/>
        <v>20878.72</v>
      </c>
    </row>
    <row r="25" spans="1:7" x14ac:dyDescent="0.2">
      <c r="A25" s="1" t="s">
        <v>180</v>
      </c>
      <c r="B25" s="2">
        <f>ESG</f>
        <v>1271.92</v>
      </c>
      <c r="C25" s="2"/>
      <c r="D25" s="268">
        <v>0</v>
      </c>
      <c r="E25" s="1"/>
      <c r="F25" s="2">
        <f>B25*0.005</f>
        <v>6.36</v>
      </c>
      <c r="G25" s="9">
        <f t="shared" si="0"/>
        <v>1265.56</v>
      </c>
    </row>
    <row r="26" spans="1:7" x14ac:dyDescent="0.2">
      <c r="A26" s="1" t="s">
        <v>181</v>
      </c>
      <c r="B26" s="11">
        <f>_ESG1</f>
        <v>317.98</v>
      </c>
      <c r="C26" s="2"/>
      <c r="D26" s="268">
        <v>0</v>
      </c>
      <c r="E26" s="1"/>
      <c r="F26" s="2">
        <v>0</v>
      </c>
      <c r="G26" s="9">
        <f t="shared" si="0"/>
        <v>317.98</v>
      </c>
    </row>
    <row r="27" spans="1:7" x14ac:dyDescent="0.2">
      <c r="A27" s="1" t="s">
        <v>182</v>
      </c>
      <c r="B27" s="2">
        <f>EUG</f>
        <v>3974.37</v>
      </c>
      <c r="C27" s="2"/>
      <c r="D27" s="268">
        <v>67.349999999999994</v>
      </c>
      <c r="E27" s="1"/>
      <c r="F27" s="2">
        <f>B27*0.005</f>
        <v>19.87</v>
      </c>
      <c r="G27" s="9">
        <f t="shared" si="0"/>
        <v>3887.15</v>
      </c>
    </row>
    <row r="28" spans="1:7" x14ac:dyDescent="0.2">
      <c r="A28" s="1" t="s">
        <v>183</v>
      </c>
      <c r="B28" s="11">
        <f>_EUG1</f>
        <v>993.6</v>
      </c>
      <c r="C28" s="2"/>
      <c r="D28" s="268">
        <v>16.829999999999998</v>
      </c>
      <c r="E28" s="1"/>
      <c r="F28" s="2">
        <v>0</v>
      </c>
      <c r="G28" s="9">
        <f t="shared" si="0"/>
        <v>976.77</v>
      </c>
    </row>
    <row r="29" spans="1:7" x14ac:dyDescent="0.2">
      <c r="A29" s="1" t="s">
        <v>362</v>
      </c>
      <c r="B29" s="2">
        <f>HUG</f>
        <v>120135.95</v>
      </c>
      <c r="C29" s="2"/>
      <c r="D29" s="268">
        <v>472.31</v>
      </c>
      <c r="E29" s="1"/>
      <c r="F29" s="2">
        <f>B29*0.005</f>
        <v>600.67999999999995</v>
      </c>
      <c r="G29" s="9">
        <f t="shared" si="0"/>
        <v>119062.96</v>
      </c>
    </row>
    <row r="30" spans="1:7" x14ac:dyDescent="0.2">
      <c r="A30" s="1" t="s">
        <v>184</v>
      </c>
      <c r="B30" s="11">
        <f>_HUG1</f>
        <v>13348.44</v>
      </c>
      <c r="C30" s="2"/>
      <c r="D30" s="268">
        <v>52.48</v>
      </c>
      <c r="E30" s="1"/>
      <c r="F30" s="2">
        <v>0</v>
      </c>
      <c r="G30" s="9">
        <f t="shared" si="0"/>
        <v>13295.96</v>
      </c>
    </row>
    <row r="31" spans="1:7" x14ac:dyDescent="0.2">
      <c r="A31" s="1" t="s">
        <v>700</v>
      </c>
      <c r="B31" s="2">
        <f>LAG</f>
        <v>26037.58</v>
      </c>
      <c r="C31" s="2"/>
      <c r="D31" s="268">
        <v>314.82</v>
      </c>
      <c r="E31" s="1"/>
      <c r="F31" s="2">
        <f>B31*0.005</f>
        <v>130.19</v>
      </c>
      <c r="G31" s="9">
        <f t="shared" si="0"/>
        <v>25592.57</v>
      </c>
    </row>
    <row r="32" spans="1:7" x14ac:dyDescent="0.2">
      <c r="A32" s="1" t="s">
        <v>185</v>
      </c>
      <c r="B32" s="11">
        <f>_LAG1</f>
        <v>3271.93</v>
      </c>
      <c r="C32" s="2"/>
      <c r="D32" s="268">
        <v>78.7</v>
      </c>
      <c r="E32" s="1"/>
      <c r="F32" s="2">
        <v>0</v>
      </c>
      <c r="G32" s="9">
        <f t="shared" si="0"/>
        <v>3193.23</v>
      </c>
    </row>
    <row r="33" spans="1:7" x14ac:dyDescent="0.2">
      <c r="A33" s="1" t="s">
        <v>186</v>
      </c>
      <c r="B33" s="2">
        <f>LIG</f>
        <v>6511.5</v>
      </c>
      <c r="C33" s="2"/>
      <c r="D33" s="268">
        <v>31.8</v>
      </c>
      <c r="E33" s="1"/>
      <c r="F33" s="2">
        <f>B33*0.005</f>
        <v>32.56</v>
      </c>
      <c r="G33" s="9">
        <f t="shared" si="0"/>
        <v>6447.14</v>
      </c>
    </row>
    <row r="34" spans="1:7" x14ac:dyDescent="0.2">
      <c r="A34" s="1" t="s">
        <v>187</v>
      </c>
      <c r="B34" s="11">
        <f>_LIG1</f>
        <v>1627.87</v>
      </c>
      <c r="C34" s="2"/>
      <c r="D34" s="268">
        <v>7.95</v>
      </c>
      <c r="E34" s="1"/>
      <c r="F34" s="2">
        <v>0</v>
      </c>
      <c r="G34" s="9">
        <f t="shared" si="0"/>
        <v>1619.92</v>
      </c>
    </row>
    <row r="35" spans="1:7" x14ac:dyDescent="0.2">
      <c r="A35" s="1" t="s">
        <v>188</v>
      </c>
      <c r="B35" s="2">
        <f>LYG</f>
        <v>129306.39</v>
      </c>
      <c r="C35" s="2"/>
      <c r="D35" s="268">
        <v>5137.2</v>
      </c>
      <c r="E35" s="1"/>
      <c r="F35" s="2">
        <f>B35*0.005</f>
        <v>646.53</v>
      </c>
      <c r="G35" s="9">
        <f t="shared" si="0"/>
        <v>123522.66</v>
      </c>
    </row>
    <row r="36" spans="1:7" x14ac:dyDescent="0.2">
      <c r="A36" s="1" t="s">
        <v>189</v>
      </c>
      <c r="B36" s="11">
        <f>_LYG1</f>
        <v>14367.37</v>
      </c>
      <c r="C36" s="2"/>
      <c r="D36" s="268">
        <v>570.78</v>
      </c>
      <c r="E36" s="1"/>
      <c r="F36" s="2">
        <v>0</v>
      </c>
      <c r="G36" s="9">
        <f t="shared" si="0"/>
        <v>13796.59</v>
      </c>
    </row>
    <row r="37" spans="1:7" x14ac:dyDescent="0.2">
      <c r="A37" s="1" t="s">
        <v>190</v>
      </c>
      <c r="B37" s="2">
        <f>MIG</f>
        <v>25282.35</v>
      </c>
      <c r="C37" s="2"/>
      <c r="D37" s="268">
        <v>3106.32</v>
      </c>
      <c r="E37" s="1"/>
      <c r="F37" s="2">
        <f>B37*0.005</f>
        <v>126.41</v>
      </c>
      <c r="G37" s="9">
        <f t="shared" si="0"/>
        <v>22049.62</v>
      </c>
    </row>
    <row r="38" spans="1:7" x14ac:dyDescent="0.2">
      <c r="A38" s="1" t="s">
        <v>191</v>
      </c>
      <c r="B38" s="11">
        <f>_MIG1</f>
        <v>2809.16</v>
      </c>
      <c r="C38" s="2"/>
      <c r="D38" s="268">
        <v>345.15</v>
      </c>
      <c r="E38" s="1"/>
      <c r="F38" s="2">
        <v>0</v>
      </c>
      <c r="G38" s="9">
        <f t="shared" si="0"/>
        <v>2464.0100000000002</v>
      </c>
    </row>
    <row r="39" spans="1:7" x14ac:dyDescent="0.2">
      <c r="A39" s="1" t="s">
        <v>192</v>
      </c>
      <c r="B39" s="2">
        <f>NYG</f>
        <v>84990.29</v>
      </c>
      <c r="C39" s="2"/>
      <c r="D39" s="268">
        <v>227.25</v>
      </c>
      <c r="E39" s="1"/>
      <c r="F39" s="2">
        <f>B39*0.005</f>
        <v>424.95</v>
      </c>
      <c r="G39" s="9">
        <f t="shared" si="0"/>
        <v>84338.09</v>
      </c>
    </row>
    <row r="40" spans="1:7" x14ac:dyDescent="0.2">
      <c r="A40" s="1" t="s">
        <v>193</v>
      </c>
      <c r="B40" s="11">
        <f>_NYG1</f>
        <v>21247.58</v>
      </c>
      <c r="C40" s="2"/>
      <c r="D40" s="268">
        <v>56.8</v>
      </c>
      <c r="E40" s="1"/>
      <c r="F40" s="2">
        <v>0</v>
      </c>
      <c r="G40" s="9">
        <f t="shared" si="0"/>
        <v>21190.78</v>
      </c>
    </row>
    <row r="41" spans="1:7" x14ac:dyDescent="0.2">
      <c r="A41" s="1" t="s">
        <v>194</v>
      </c>
      <c r="B41" s="2">
        <f>PEG</f>
        <v>23006.35</v>
      </c>
      <c r="C41" s="2"/>
      <c r="D41" s="268">
        <v>63.77</v>
      </c>
      <c r="E41" s="1"/>
      <c r="F41" s="2">
        <f>B41*0.005</f>
        <v>115.03</v>
      </c>
      <c r="G41" s="9">
        <f t="shared" si="0"/>
        <v>22827.55</v>
      </c>
    </row>
    <row r="42" spans="1:7" x14ac:dyDescent="0.2">
      <c r="A42" s="1" t="s">
        <v>195</v>
      </c>
      <c r="B42" s="11">
        <f>_PEG1</f>
        <v>2556.2600000000002</v>
      </c>
      <c r="C42" s="2"/>
      <c r="D42" s="268">
        <v>7.09</v>
      </c>
      <c r="E42" s="1"/>
      <c r="F42" s="2">
        <v>0</v>
      </c>
      <c r="G42" s="9">
        <f t="shared" si="0"/>
        <v>2549.17</v>
      </c>
    </row>
    <row r="43" spans="1:7" x14ac:dyDescent="0.2">
      <c r="A43" s="1" t="s">
        <v>196</v>
      </c>
      <c r="B43" s="2">
        <f>STG</f>
        <v>979.73</v>
      </c>
      <c r="C43" s="2"/>
      <c r="D43" s="268">
        <v>0</v>
      </c>
      <c r="E43" s="1"/>
      <c r="F43" s="2">
        <f>B43*0.005</f>
        <v>4.9000000000000004</v>
      </c>
      <c r="G43" s="9">
        <f t="shared" si="0"/>
        <v>974.83</v>
      </c>
    </row>
    <row r="44" spans="1:7" x14ac:dyDescent="0.2">
      <c r="A44" s="1" t="s">
        <v>197</v>
      </c>
      <c r="B44" s="11">
        <f>_STG1</f>
        <v>244.93</v>
      </c>
      <c r="C44" s="2"/>
      <c r="D44" s="268">
        <v>0</v>
      </c>
      <c r="E44" s="1"/>
      <c r="F44" s="2">
        <v>0</v>
      </c>
      <c r="G44" s="9">
        <f t="shared" si="0"/>
        <v>244.93</v>
      </c>
    </row>
    <row r="45" spans="1:7" x14ac:dyDescent="0.2">
      <c r="A45" s="1" t="s">
        <v>198</v>
      </c>
      <c r="B45" s="2">
        <f>WAG</f>
        <v>1368499.33</v>
      </c>
      <c r="C45" s="2"/>
      <c r="D45" s="268">
        <v>19123.16</v>
      </c>
      <c r="E45" s="1"/>
      <c r="F45" s="2">
        <f>B45*0.005</f>
        <v>6842.5</v>
      </c>
      <c r="G45" s="9">
        <f t="shared" si="0"/>
        <v>1342533.67</v>
      </c>
    </row>
    <row r="46" spans="1:7" x14ac:dyDescent="0.2">
      <c r="A46" s="1" t="s">
        <v>199</v>
      </c>
      <c r="B46" s="11">
        <f>_WAG1</f>
        <v>152055.51999999999</v>
      </c>
      <c r="C46" s="2"/>
      <c r="D46" s="268">
        <v>2124.8000000000002</v>
      </c>
      <c r="E46" s="1"/>
      <c r="F46" s="2">
        <v>0</v>
      </c>
      <c r="G46" s="9">
        <f t="shared" si="0"/>
        <v>149930.72</v>
      </c>
    </row>
    <row r="47" spans="1:7" x14ac:dyDescent="0.2">
      <c r="A47" s="1" t="s">
        <v>632</v>
      </c>
      <c r="B47" s="2">
        <f>WHG</f>
        <v>50850.82</v>
      </c>
      <c r="C47" s="2"/>
      <c r="D47" s="268">
        <v>375.21</v>
      </c>
      <c r="E47" s="1"/>
      <c r="F47" s="2">
        <f>B47*0.005</f>
        <v>254.25</v>
      </c>
      <c r="G47" s="9">
        <f t="shared" si="0"/>
        <v>50221.36</v>
      </c>
    </row>
    <row r="48" spans="1:7" x14ac:dyDescent="0.2">
      <c r="A48" s="1" t="s">
        <v>200</v>
      </c>
      <c r="B48" s="11">
        <f>_WHG1</f>
        <v>5650.09</v>
      </c>
      <c r="C48" s="2"/>
      <c r="D48" s="268">
        <v>41.68</v>
      </c>
      <c r="E48" s="1"/>
      <c r="F48" s="2">
        <v>0</v>
      </c>
      <c r="G48" s="9">
        <f t="shared" si="0"/>
        <v>5608.41</v>
      </c>
    </row>
    <row r="49" spans="1:7" x14ac:dyDescent="0.2">
      <c r="A49" s="1" t="s">
        <v>663</v>
      </c>
      <c r="B49" s="11"/>
      <c r="C49" s="2"/>
      <c r="D49" s="268">
        <f>SUM(D8:D48)</f>
        <v>148153.82</v>
      </c>
      <c r="E49" s="1"/>
      <c r="F49" s="2"/>
      <c r="G49" s="9"/>
    </row>
    <row r="50" spans="1:7" ht="21" customHeight="1" x14ac:dyDescent="0.2">
      <c r="A50" s="1" t="s">
        <v>201</v>
      </c>
      <c r="B50" s="2">
        <f>CUFEE</f>
        <v>922289.7</v>
      </c>
      <c r="C50" s="2"/>
      <c r="D50" s="268"/>
      <c r="E50" s="1"/>
      <c r="F50" s="2"/>
      <c r="G50" s="9">
        <f t="shared" si="0"/>
        <v>922289.7</v>
      </c>
    </row>
    <row r="51" spans="1:7" x14ac:dyDescent="0.2">
      <c r="A51" s="1" t="s">
        <v>202</v>
      </c>
      <c r="B51" s="2">
        <f>INSFEE</f>
        <v>51635.32</v>
      </c>
      <c r="C51" s="2"/>
      <c r="D51" s="268"/>
      <c r="E51" s="1"/>
      <c r="F51" s="2"/>
      <c r="G51" s="9">
        <f t="shared" si="0"/>
        <v>51635.32</v>
      </c>
    </row>
    <row r="52" spans="1:7" x14ac:dyDescent="0.2">
      <c r="A52" s="1" t="s">
        <v>664</v>
      </c>
      <c r="B52" s="2">
        <f>'s1'!I126</f>
        <v>63915.1</v>
      </c>
      <c r="C52" s="2"/>
      <c r="D52" s="268"/>
      <c r="E52" s="1"/>
      <c r="F52" s="2"/>
      <c r="G52" s="9">
        <f t="shared" si="0"/>
        <v>63915.1</v>
      </c>
    </row>
    <row r="53" spans="1:7" ht="25.5" customHeight="1" thickBot="1" x14ac:dyDescent="0.25">
      <c r="A53" s="93" t="s">
        <v>12</v>
      </c>
      <c r="B53" s="132">
        <f t="shared" ref="B53:G53" si="1">SUM(B8:B52)</f>
        <v>31034546.870000001</v>
      </c>
      <c r="C53" s="132">
        <f t="shared" si="1"/>
        <v>258567.44</v>
      </c>
      <c r="D53" s="269">
        <f>+D49+D50+D51+D52</f>
        <v>148153.82</v>
      </c>
      <c r="E53" s="132">
        <f t="shared" si="1"/>
        <v>4545.8100000000004</v>
      </c>
      <c r="F53" s="132">
        <f t="shared" si="1"/>
        <v>54033.75</v>
      </c>
      <c r="G53" s="132">
        <f t="shared" si="1"/>
        <v>30569246.050000001</v>
      </c>
    </row>
    <row r="54" spans="1:7" x14ac:dyDescent="0.2">
      <c r="A54" s="1"/>
      <c r="B54" s="1"/>
      <c r="C54" s="1"/>
      <c r="D54" s="292"/>
      <c r="E54" s="1"/>
      <c r="F54" s="1"/>
      <c r="G54" s="1"/>
    </row>
    <row r="55" spans="1:7" x14ac:dyDescent="0.2">
      <c r="A55" s="1"/>
      <c r="B55" s="2"/>
      <c r="C55" s="1"/>
      <c r="D55" s="294"/>
      <c r="E55" s="1"/>
      <c r="F55" s="1"/>
      <c r="G55" s="2"/>
    </row>
    <row r="56" spans="1:7" x14ac:dyDescent="0.2">
      <c r="A56" s="1"/>
      <c r="B56" s="1"/>
      <c r="C56" s="1"/>
      <c r="D56" s="292"/>
      <c r="E56" s="1"/>
      <c r="F56" s="1"/>
      <c r="G56" s="1"/>
    </row>
    <row r="57" spans="1:7" x14ac:dyDescent="0.2">
      <c r="A57" s="1"/>
      <c r="B57" s="2"/>
      <c r="C57" s="1"/>
      <c r="D57" s="292"/>
      <c r="E57" s="1"/>
      <c r="F57" s="1"/>
      <c r="G57" s="1"/>
    </row>
    <row r="58" spans="1:7" x14ac:dyDescent="0.2">
      <c r="A58" s="1"/>
      <c r="B58" s="2"/>
      <c r="C58" s="1"/>
      <c r="D58" s="292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226</vt:i4>
      </vt:variant>
    </vt:vector>
  </HeadingPairs>
  <TitlesOfParts>
    <vt:vector size="243" baseType="lpstr">
      <vt:lpstr>s1</vt:lpstr>
      <vt:lpstr>zerortn</vt:lpstr>
      <vt:lpstr>s2</vt:lpstr>
      <vt:lpstr>s2a</vt:lpstr>
      <vt:lpstr>s3, s3b, s3d</vt:lpstr>
      <vt:lpstr>s3a</vt:lpstr>
      <vt:lpstr>s3b</vt:lpstr>
      <vt:lpstr>s3c</vt:lpstr>
      <vt:lpstr>s4</vt:lpstr>
      <vt:lpstr>s5</vt:lpstr>
      <vt:lpstr>s5a</vt:lpstr>
      <vt:lpstr>s6, s6a</vt:lpstr>
      <vt:lpstr>s7</vt:lpstr>
      <vt:lpstr>col</vt:lpstr>
      <vt:lpstr>dis</vt:lpstr>
      <vt:lpstr>s8</vt:lpstr>
      <vt:lpstr>Journal</vt:lpstr>
      <vt:lpstr>_CAG1</vt:lpstr>
      <vt:lpstr>_CHG1</vt:lpstr>
      <vt:lpstr>_CLG1</vt:lpstr>
      <vt:lpstr>_DOG1</vt:lpstr>
      <vt:lpstr>_ELG1</vt:lpstr>
      <vt:lpstr>_ESG1</vt:lpstr>
      <vt:lpstr>_EUG1</vt:lpstr>
      <vt:lpstr>_HUG1</vt:lpstr>
      <vt:lpstr>_JET1</vt:lpstr>
      <vt:lpstr>_JET2</vt:lpstr>
      <vt:lpstr>_LAG1</vt:lpstr>
      <vt:lpstr>_LIG1</vt:lpstr>
      <vt:lpstr>_LYG1</vt:lpstr>
      <vt:lpstr>_MIG1</vt:lpstr>
      <vt:lpstr>_NET5</vt:lpstr>
      <vt:lpstr>_NYG1</vt:lpstr>
      <vt:lpstr>_PEG1</vt:lpstr>
      <vt:lpstr>_ST5</vt:lpstr>
      <vt:lpstr>_STG1</vt:lpstr>
      <vt:lpstr>_WAG1</vt:lpstr>
      <vt:lpstr>_WHG1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CAP</vt:lpstr>
      <vt:lpstr>CH</vt:lpstr>
      <vt:lpstr>CHG</vt:lpstr>
      <vt:lpstr>CIVILA</vt:lpstr>
      <vt:lpstr>CL</vt:lpstr>
      <vt:lpstr>CLG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EL</vt:lpstr>
      <vt:lpstr>ELG</vt:lpstr>
      <vt:lpstr>ES</vt:lpstr>
      <vt:lpstr>ESG</vt:lpstr>
      <vt:lpstr>EU</vt:lpstr>
      <vt:lpstr>EUG</vt:lpstr>
      <vt:lpstr>HU</vt:lpstr>
      <vt:lpstr>HUG</vt:lpstr>
      <vt:lpstr>INSFEE</vt:lpstr>
      <vt:lpstr>JETTOTAL</vt:lpstr>
      <vt:lpstr>LA</vt:lpstr>
      <vt:lpstr>LAG</vt:lpstr>
      <vt:lpstr>LessAF535</vt:lpstr>
      <vt:lpstr>LessWP535</vt:lpstr>
      <vt:lpstr>LI</vt:lpstr>
      <vt:lpstr>LICFEE</vt:lpstr>
      <vt:lpstr>LIG</vt:lpstr>
      <vt:lpstr>LY</vt:lpstr>
      <vt:lpstr>LYG</vt:lpstr>
      <vt:lpstr>MI</vt:lpstr>
      <vt:lpstr>MIG</vt:lpstr>
      <vt:lpstr>MthDist</vt:lpstr>
      <vt:lpstr>NET12.65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PARKWILD</vt:lpstr>
      <vt:lpstr>PE</vt:lpstr>
      <vt:lpstr>PEG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ST5.35</vt:lpstr>
      <vt:lpstr>STG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WH</vt:lpstr>
      <vt:lpstr>WHG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2004-06-29T14:53:29Z</cp:lastPrinted>
  <dcterms:created xsi:type="dcterms:W3CDTF">1995-12-21T16:04:23Z</dcterms:created>
  <dcterms:modified xsi:type="dcterms:W3CDTF">2013-09-13T23:03:51Z</dcterms:modified>
</cp:coreProperties>
</file>